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355121\Desktop\New folder (3)\SP Distribution 2024\"/>
    </mc:Choice>
  </mc:AlternateContent>
  <xr:revisionPtr revIDLastSave="0" documentId="13_ncr:1_{BD086872-5B83-4193-B9A3-47F727B79F07}" xr6:coauthVersionLast="47" xr6:coauthVersionMax="47" xr10:uidLastSave="{00000000-0000-0000-0000-000000000000}"/>
  <workbookProtection lockStructure="1"/>
  <bookViews>
    <workbookView xWindow="-120" yWindow="-120" windowWidth="29040" windowHeight="16440" tabRatio="933" firstSheet="7" activeTab="12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inputs'!$H$96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inputs'!$H$97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01" i="98" l="1"/>
  <c r="R101" i="98" l="1"/>
  <c r="Q101" i="98"/>
  <c r="P90" i="98"/>
  <c r="P101" i="98"/>
  <c r="L90" i="98" l="1"/>
  <c r="M90" i="98"/>
  <c r="N90" i="98"/>
  <c r="S181" i="100"/>
  <c r="R178" i="100"/>
  <c r="S177" i="100"/>
  <c r="R169" i="100"/>
  <c r="S166" i="100"/>
  <c r="R165" i="100"/>
  <c r="S157" i="100"/>
  <c r="R154" i="100"/>
  <c r="S153" i="100"/>
  <c r="R141" i="100"/>
  <c r="S142" i="100"/>
  <c r="R145" i="100"/>
  <c r="S114" i="100"/>
  <c r="S113" i="100"/>
  <c r="Q112" i="100"/>
  <c r="R111" i="100"/>
  <c r="Q145" i="100" l="1"/>
  <c r="S111" i="100"/>
  <c r="Q177" i="100"/>
  <c r="Q165" i="100"/>
  <c r="Q153" i="100"/>
  <c r="Q166" i="100"/>
  <c r="Q154" i="100"/>
  <c r="P181" i="100"/>
  <c r="Q141" i="100"/>
  <c r="Q169" i="100"/>
  <c r="R181" i="100"/>
  <c r="Q111" i="100"/>
  <c r="Q142" i="100"/>
  <c r="Q157" i="100"/>
  <c r="S141" i="100"/>
  <c r="S145" i="100"/>
  <c r="S154" i="100"/>
  <c r="S165" i="100"/>
  <c r="S169" i="100"/>
  <c r="S178" i="100"/>
  <c r="P112" i="100"/>
  <c r="P142" i="100"/>
  <c r="P153" i="100"/>
  <c r="P157" i="100"/>
  <c r="P166" i="100"/>
  <c r="P177" i="100"/>
  <c r="Q181" i="100"/>
  <c r="P33" i="98"/>
  <c r="S33" i="98"/>
  <c r="R33" i="98"/>
  <c r="Q33" i="98"/>
  <c r="P34" i="98"/>
  <c r="S34" i="98"/>
  <c r="Q34" i="98"/>
  <c r="R34" i="98"/>
  <c r="R112" i="100"/>
  <c r="S112" i="100"/>
  <c r="R142" i="100"/>
  <c r="R153" i="100"/>
  <c r="R157" i="100"/>
  <c r="R166" i="100"/>
  <c r="R177" i="100"/>
  <c r="P36" i="98"/>
  <c r="R36" i="98"/>
  <c r="S36" i="98"/>
  <c r="Q36" i="98"/>
  <c r="P35" i="98"/>
  <c r="S35" i="98"/>
  <c r="R35" i="98"/>
  <c r="Q35" i="98"/>
  <c r="R114" i="100"/>
  <c r="P111" i="100"/>
  <c r="P141" i="100"/>
  <c r="P145" i="100"/>
  <c r="P154" i="100"/>
  <c r="P165" i="100"/>
  <c r="P169" i="100"/>
  <c r="P178" i="100"/>
  <c r="Q178" i="100"/>
  <c r="P113" i="100"/>
  <c r="Q113" i="100"/>
  <c r="R113" i="100"/>
  <c r="P114" i="100"/>
  <c r="Q114" i="100"/>
  <c r="P85" i="100" l="1"/>
  <c r="S84" i="100"/>
  <c r="P83" i="100"/>
  <c r="P82" i="100"/>
  <c r="P81" i="100"/>
  <c r="S80" i="100"/>
  <c r="P79" i="100"/>
  <c r="R78" i="100"/>
  <c r="Q85" i="100"/>
  <c r="Q82" i="100"/>
  <c r="R56" i="100"/>
  <c r="P55" i="100"/>
  <c r="Q54" i="100"/>
  <c r="P52" i="100"/>
  <c r="S51" i="100"/>
  <c r="S50" i="100"/>
  <c r="S49" i="100"/>
  <c r="S48" i="100"/>
  <c r="S56" i="100"/>
  <c r="R39" i="100"/>
  <c r="S26" i="100"/>
  <c r="R23" i="100"/>
  <c r="S21" i="100"/>
  <c r="R20" i="100"/>
  <c r="P2070" i="97"/>
  <c r="S2069" i="97"/>
  <c r="P2068" i="97"/>
  <c r="S2067" i="97"/>
  <c r="P2066" i="97"/>
  <c r="S2063" i="97"/>
  <c r="P2062" i="97"/>
  <c r="S2061" i="97"/>
  <c r="P2060" i="97"/>
  <c r="S2059" i="97"/>
  <c r="P2056" i="97"/>
  <c r="S2055" i="97"/>
  <c r="P2054" i="97"/>
  <c r="S2053" i="97"/>
  <c r="P2052" i="97"/>
  <c r="S2047" i="97"/>
  <c r="P2046" i="97"/>
  <c r="S2045" i="97"/>
  <c r="P2044" i="97"/>
  <c r="S2043" i="97"/>
  <c r="P2040" i="97"/>
  <c r="S2039" i="97"/>
  <c r="P2038" i="97"/>
  <c r="S2037" i="97"/>
  <c r="P2036" i="97"/>
  <c r="S2033" i="97"/>
  <c r="P2032" i="97"/>
  <c r="S2031" i="97"/>
  <c r="P2030" i="97"/>
  <c r="S2029" i="97"/>
  <c r="P2024" i="97"/>
  <c r="S2023" i="97"/>
  <c r="P2022" i="97"/>
  <c r="S2021" i="97"/>
  <c r="P2020" i="97"/>
  <c r="S2017" i="97"/>
  <c r="P2016" i="97"/>
  <c r="S2015" i="97"/>
  <c r="P2014" i="97"/>
  <c r="S2013" i="97"/>
  <c r="S2010" i="97"/>
  <c r="P2009" i="97"/>
  <c r="S2008" i="97"/>
  <c r="P2007" i="97"/>
  <c r="S2006" i="97"/>
  <c r="S1996" i="97"/>
  <c r="S1995" i="97"/>
  <c r="S1994" i="97"/>
  <c r="S1993" i="97"/>
  <c r="S1992" i="97"/>
  <c r="S1991" i="97"/>
  <c r="S1990" i="97"/>
  <c r="S1989" i="97"/>
  <c r="S1988" i="97"/>
  <c r="S1987" i="97"/>
  <c r="S1986" i="97"/>
  <c r="S1985" i="97"/>
  <c r="S1984" i="97"/>
  <c r="S1983" i="97"/>
  <c r="S1982" i="97"/>
  <c r="S1981" i="97"/>
  <c r="S55" i="100" l="1"/>
  <c r="Q81" i="100"/>
  <c r="S81" i="100"/>
  <c r="R55" i="100"/>
  <c r="R81" i="100"/>
  <c r="R82" i="100"/>
  <c r="S82" i="100"/>
  <c r="Q55" i="100"/>
  <c r="P48" i="100"/>
  <c r="R85" i="100"/>
  <c r="S85" i="100"/>
  <c r="P49" i="100"/>
  <c r="Q2053" i="97"/>
  <c r="P80" i="100"/>
  <c r="Q2017" i="97"/>
  <c r="Q2047" i="97"/>
  <c r="Q2054" i="97"/>
  <c r="Q2066" i="97"/>
  <c r="Q2067" i="97"/>
  <c r="S78" i="100"/>
  <c r="Q2007" i="97"/>
  <c r="P56" i="100"/>
  <c r="Q79" i="100"/>
  <c r="Q2016" i="97"/>
  <c r="Q56" i="100"/>
  <c r="Q2021" i="97"/>
  <c r="Q2009" i="97"/>
  <c r="Q2022" i="97"/>
  <c r="Q2039" i="97"/>
  <c r="Q2055" i="97"/>
  <c r="Q50" i="100"/>
  <c r="Q2036" i="97"/>
  <c r="Q2010" i="97"/>
  <c r="Q2023" i="97"/>
  <c r="Q2040" i="97"/>
  <c r="Q2059" i="97"/>
  <c r="R50" i="100"/>
  <c r="R2006" i="97"/>
  <c r="Q2029" i="97"/>
  <c r="Q2043" i="97"/>
  <c r="Q2060" i="97"/>
  <c r="Q23" i="100"/>
  <c r="P51" i="100"/>
  <c r="R79" i="100"/>
  <c r="Q2037" i="97"/>
  <c r="P50" i="100"/>
  <c r="Q2013" i="97"/>
  <c r="Q2030" i="97"/>
  <c r="Q2045" i="97"/>
  <c r="Q2061" i="97"/>
  <c r="S23" i="100"/>
  <c r="P54" i="100"/>
  <c r="Q2033" i="97"/>
  <c r="Q2070" i="97"/>
  <c r="Q2015" i="97"/>
  <c r="Q2031" i="97"/>
  <c r="Q2046" i="97"/>
  <c r="Q2063" i="97"/>
  <c r="Q80" i="100"/>
  <c r="Q1981" i="97"/>
  <c r="Q1993" i="97"/>
  <c r="Q2014" i="97"/>
  <c r="Q2020" i="97"/>
  <c r="Q2024" i="97"/>
  <c r="Q2032" i="97"/>
  <c r="Q2038" i="97"/>
  <c r="Q2044" i="97"/>
  <c r="Q2052" i="97"/>
  <c r="Q2056" i="97"/>
  <c r="Q2062" i="97"/>
  <c r="Q2068" i="97"/>
  <c r="S90" i="100"/>
  <c r="R90" i="100"/>
  <c r="Q90" i="100"/>
  <c r="P90" i="100"/>
  <c r="Q1983" i="97"/>
  <c r="Q1995" i="97"/>
  <c r="R2007" i="97"/>
  <c r="R2009" i="97"/>
  <c r="Q2006" i="97"/>
  <c r="R2014" i="97"/>
  <c r="R2016" i="97"/>
  <c r="R2020" i="97"/>
  <c r="R2022" i="97"/>
  <c r="R2024" i="97"/>
  <c r="R2030" i="97"/>
  <c r="R2032" i="97"/>
  <c r="R2036" i="97"/>
  <c r="R2038" i="97"/>
  <c r="R2040" i="97"/>
  <c r="R2044" i="97"/>
  <c r="R2046" i="97"/>
  <c r="R2052" i="97"/>
  <c r="R2054" i="97"/>
  <c r="R2056" i="97"/>
  <c r="R2060" i="97"/>
  <c r="R2062" i="97"/>
  <c r="R2066" i="97"/>
  <c r="R2068" i="97"/>
  <c r="R2070" i="97"/>
  <c r="Q48" i="100"/>
  <c r="R89" i="100"/>
  <c r="P89" i="100"/>
  <c r="S89" i="100"/>
  <c r="Q89" i="100"/>
  <c r="Q1984" i="97"/>
  <c r="S2007" i="97"/>
  <c r="S2009" i="97"/>
  <c r="P2006" i="97"/>
  <c r="S2014" i="97"/>
  <c r="S2016" i="97"/>
  <c r="S2020" i="97"/>
  <c r="S2022" i="97"/>
  <c r="S2024" i="97"/>
  <c r="S2030" i="97"/>
  <c r="S2032" i="97"/>
  <c r="S2036" i="97"/>
  <c r="S2038" i="97"/>
  <c r="S2040" i="97"/>
  <c r="S2044" i="97"/>
  <c r="S2046" i="97"/>
  <c r="S2052" i="97"/>
  <c r="S2054" i="97"/>
  <c r="S2056" i="97"/>
  <c r="S2060" i="97"/>
  <c r="S2062" i="97"/>
  <c r="S2066" i="97"/>
  <c r="S2068" i="97"/>
  <c r="S2070" i="97"/>
  <c r="P26" i="100"/>
  <c r="R48" i="100"/>
  <c r="S100" i="100"/>
  <c r="R100" i="100"/>
  <c r="Q100" i="100"/>
  <c r="P100" i="100"/>
  <c r="Q1985" i="97"/>
  <c r="P2008" i="97"/>
  <c r="P2010" i="97"/>
  <c r="P2013" i="97"/>
  <c r="P2015" i="97"/>
  <c r="P2017" i="97"/>
  <c r="P2021" i="97"/>
  <c r="P2023" i="97"/>
  <c r="P2029" i="97"/>
  <c r="P2031" i="97"/>
  <c r="P2033" i="97"/>
  <c r="P2037" i="97"/>
  <c r="P2039" i="97"/>
  <c r="P2043" i="97"/>
  <c r="P2045" i="97"/>
  <c r="P2047" i="97"/>
  <c r="P2053" i="97"/>
  <c r="P2055" i="97"/>
  <c r="P2059" i="97"/>
  <c r="P2061" i="97"/>
  <c r="P2063" i="97"/>
  <c r="P2067" i="97"/>
  <c r="P2069" i="97"/>
  <c r="Q26" i="100"/>
  <c r="S79" i="100"/>
  <c r="S95" i="100"/>
  <c r="R95" i="100"/>
  <c r="Q95" i="100"/>
  <c r="P95" i="100"/>
  <c r="R101" i="100"/>
  <c r="P101" i="100"/>
  <c r="S101" i="100"/>
  <c r="Q101" i="100"/>
  <c r="Q1987" i="97"/>
  <c r="Q2008" i="97"/>
  <c r="Q2069" i="97"/>
  <c r="S94" i="100"/>
  <c r="R94" i="100"/>
  <c r="Q94" i="100"/>
  <c r="P94" i="100"/>
  <c r="S102" i="100"/>
  <c r="Q102" i="100"/>
  <c r="R102" i="100"/>
  <c r="P102" i="100"/>
  <c r="Q1988" i="97"/>
  <c r="R2008" i="97"/>
  <c r="R2010" i="97"/>
  <c r="R2013" i="97"/>
  <c r="R2015" i="97"/>
  <c r="R2017" i="97"/>
  <c r="R2021" i="97"/>
  <c r="R2023" i="97"/>
  <c r="R2029" i="97"/>
  <c r="R2031" i="97"/>
  <c r="R2033" i="97"/>
  <c r="R2037" i="97"/>
  <c r="R2039" i="97"/>
  <c r="R2043" i="97"/>
  <c r="R2045" i="97"/>
  <c r="R2047" i="97"/>
  <c r="R2053" i="97"/>
  <c r="R2055" i="97"/>
  <c r="R2059" i="97"/>
  <c r="R2061" i="97"/>
  <c r="R2063" i="97"/>
  <c r="R2067" i="97"/>
  <c r="R2069" i="97"/>
  <c r="S20" i="100"/>
  <c r="P39" i="100"/>
  <c r="Q49" i="100"/>
  <c r="Q51" i="100"/>
  <c r="P78" i="100"/>
  <c r="R93" i="100"/>
  <c r="Q93" i="100"/>
  <c r="P93" i="100"/>
  <c r="S93" i="100"/>
  <c r="R103" i="100"/>
  <c r="Q103" i="100"/>
  <c r="P103" i="100"/>
  <c r="S103" i="100"/>
  <c r="Q1989" i="97"/>
  <c r="P21" i="100"/>
  <c r="S39" i="100"/>
  <c r="R49" i="100"/>
  <c r="R51" i="100"/>
  <c r="Q78" i="100"/>
  <c r="R80" i="100"/>
  <c r="Q92" i="100"/>
  <c r="S92" i="100"/>
  <c r="R92" i="100"/>
  <c r="P92" i="100"/>
  <c r="S104" i="100"/>
  <c r="R104" i="100"/>
  <c r="Q104" i="100"/>
  <c r="P104" i="100"/>
  <c r="Q1991" i="97"/>
  <c r="P23" i="100"/>
  <c r="Q39" i="100"/>
  <c r="R91" i="100"/>
  <c r="Q91" i="100"/>
  <c r="P91" i="100"/>
  <c r="S91" i="100"/>
  <c r="R105" i="100"/>
  <c r="Q105" i="100"/>
  <c r="P105" i="100"/>
  <c r="S105" i="100"/>
  <c r="P1981" i="97"/>
  <c r="P1983" i="97"/>
  <c r="P1985" i="97"/>
  <c r="P1987" i="97"/>
  <c r="P1989" i="97"/>
  <c r="P1991" i="97"/>
  <c r="P1993" i="97"/>
  <c r="P1995" i="97"/>
  <c r="R1981" i="97"/>
  <c r="R1983" i="97"/>
  <c r="R1985" i="97"/>
  <c r="R1987" i="97"/>
  <c r="R1989" i="97"/>
  <c r="R1991" i="97"/>
  <c r="R1993" i="97"/>
  <c r="R1995" i="97"/>
  <c r="P1982" i="97"/>
  <c r="P1984" i="97"/>
  <c r="P1986" i="97"/>
  <c r="P1988" i="97"/>
  <c r="P1990" i="97"/>
  <c r="P1992" i="97"/>
  <c r="P1994" i="97"/>
  <c r="P1996" i="97"/>
  <c r="Q1990" i="97"/>
  <c r="Q1992" i="97"/>
  <c r="Q1994" i="97"/>
  <c r="Q1996" i="97"/>
  <c r="Q1982" i="97"/>
  <c r="R1982" i="97"/>
  <c r="R1984" i="97"/>
  <c r="R1986" i="97"/>
  <c r="R1988" i="97"/>
  <c r="R1990" i="97"/>
  <c r="R1992" i="97"/>
  <c r="R1994" i="97"/>
  <c r="R1996" i="97"/>
  <c r="Q1986" i="97"/>
  <c r="R83" i="100"/>
  <c r="S83" i="100"/>
  <c r="P84" i="100"/>
  <c r="Q84" i="100"/>
  <c r="Q83" i="100"/>
  <c r="R84" i="100"/>
  <c r="Q52" i="100"/>
  <c r="R52" i="100"/>
  <c r="S52" i="100"/>
  <c r="R54" i="100"/>
  <c r="S54" i="100"/>
  <c r="P20" i="100"/>
  <c r="Q20" i="100"/>
  <c r="R21" i="100"/>
  <c r="R26" i="100"/>
  <c r="Q21" i="100"/>
  <c r="S1966" i="97" l="1"/>
  <c r="R1967" i="97"/>
  <c r="S1965" i="97"/>
  <c r="S1949" i="97"/>
  <c r="S1948" i="97"/>
  <c r="S1947" i="97"/>
  <c r="R1931" i="97"/>
  <c r="S1930" i="97"/>
  <c r="S1913" i="97"/>
  <c r="S1912" i="97"/>
  <c r="P1911" i="97"/>
  <c r="Q1909" i="97"/>
  <c r="S1895" i="97"/>
  <c r="S1894" i="97"/>
  <c r="S1893" i="97"/>
  <c r="S1877" i="97"/>
  <c r="S1876" i="97"/>
  <c r="S1875" i="97"/>
  <c r="S1873" i="97"/>
  <c r="S1859" i="97"/>
  <c r="S1858" i="97"/>
  <c r="S1857" i="97"/>
  <c r="Q1855" i="97"/>
  <c r="P1838" i="97"/>
  <c r="S1839" i="97"/>
  <c r="S1837" i="97"/>
  <c r="R1821" i="97"/>
  <c r="S1820" i="97"/>
  <c r="S1819" i="97"/>
  <c r="S1803" i="97"/>
  <c r="Q1802" i="97"/>
  <c r="S1801" i="97"/>
  <c r="S1785" i="97"/>
  <c r="P1784" i="97"/>
  <c r="S1783" i="97"/>
  <c r="S1781" i="97"/>
  <c r="P1767" i="97"/>
  <c r="Q1766" i="97"/>
  <c r="Q1765" i="97"/>
  <c r="S1763" i="97"/>
  <c r="S1749" i="97"/>
  <c r="Q1748" i="97"/>
  <c r="S1747" i="97"/>
  <c r="P1745" i="97"/>
  <c r="S1731" i="97"/>
  <c r="Q1730" i="97"/>
  <c r="Q1727" i="97"/>
  <c r="P1711" i="97"/>
  <c r="P1710" i="97"/>
  <c r="S1709" i="97"/>
  <c r="Q1693" i="97"/>
  <c r="S1692" i="97"/>
  <c r="Q1691" i="97"/>
  <c r="R1674" i="97"/>
  <c r="Q1673" i="97"/>
  <c r="P1657" i="97"/>
  <c r="R1656" i="97"/>
  <c r="R1655" i="97"/>
  <c r="S1653" i="97"/>
  <c r="S1639" i="97"/>
  <c r="S1637" i="97"/>
  <c r="S1635" i="97"/>
  <c r="P1621" i="97"/>
  <c r="Q1620" i="97"/>
  <c r="S1619" i="97"/>
  <c r="P1617" i="97"/>
  <c r="R1603" i="97"/>
  <c r="R1601" i="97"/>
  <c r="R1599" i="97"/>
  <c r="R1583" i="97"/>
  <c r="S1582" i="97"/>
  <c r="S1581" i="97"/>
  <c r="S1565" i="97"/>
  <c r="S1564" i="97"/>
  <c r="S1546" i="97"/>
  <c r="R1547" i="97"/>
  <c r="R1545" i="97"/>
  <c r="S1530" i="97"/>
  <c r="S1529" i="97"/>
  <c r="S1528" i="97"/>
  <c r="Q1527" i="97"/>
  <c r="Q1525" i="97"/>
  <c r="Q1523" i="97"/>
  <c r="P1512" i="97"/>
  <c r="R1511" i="97"/>
  <c r="P1510" i="97"/>
  <c r="P1509" i="97"/>
  <c r="Q1507" i="97"/>
  <c r="S1505" i="97"/>
  <c r="Q1494" i="97"/>
  <c r="R1493" i="97"/>
  <c r="Q1492" i="97"/>
  <c r="P1491" i="97"/>
  <c r="S1489" i="97"/>
  <c r="Q1487" i="97"/>
  <c r="S1476" i="97"/>
  <c r="Q1475" i="97"/>
  <c r="Q1474" i="97"/>
  <c r="S1473" i="97"/>
  <c r="P1471" i="97"/>
  <c r="S1469" i="97"/>
  <c r="S1463" i="97"/>
  <c r="P1461" i="97"/>
  <c r="S1459" i="97"/>
  <c r="S1455" i="97"/>
  <c r="P1454" i="97"/>
  <c r="Q1453" i="97"/>
  <c r="S1437" i="97"/>
  <c r="P1436" i="97"/>
  <c r="R1435" i="97"/>
  <c r="P1419" i="97"/>
  <c r="S1418" i="97"/>
  <c r="S1417" i="97"/>
  <c r="Q1409" i="97"/>
  <c r="S1407" i="97"/>
  <c r="S1405" i="97"/>
  <c r="S1404" i="97"/>
  <c r="Q1403" i="97"/>
  <c r="P1401" i="97"/>
  <c r="S1400" i="97"/>
  <c r="P1399" i="97"/>
  <c r="R1398" i="97"/>
  <c r="Q1397" i="97"/>
  <c r="R1396" i="97"/>
  <c r="R1391" i="97"/>
  <c r="S1389" i="97"/>
  <c r="P1387" i="97"/>
  <c r="S1386" i="97"/>
  <c r="S1385" i="97"/>
  <c r="P1383" i="97"/>
  <c r="Q1382" i="97"/>
  <c r="S1381" i="97"/>
  <c r="R1380" i="97"/>
  <c r="Q1379" i="97"/>
  <c r="P1378" i="97"/>
  <c r="R1373" i="97"/>
  <c r="R1371" i="97"/>
  <c r="Q1369" i="97"/>
  <c r="S1368" i="97"/>
  <c r="P1367" i="97"/>
  <c r="S1365" i="97"/>
  <c r="S1364" i="97"/>
  <c r="P1363" i="97"/>
  <c r="P1362" i="97"/>
  <c r="S1361" i="97"/>
  <c r="Q1360" i="97"/>
  <c r="P1355" i="97"/>
  <c r="S1353" i="97"/>
  <c r="P1351" i="97"/>
  <c r="S1350" i="97"/>
  <c r="S1349" i="97"/>
  <c r="S1347" i="97"/>
  <c r="S1346" i="97"/>
  <c r="Q1345" i="97"/>
  <c r="R1344" i="97"/>
  <c r="S1343" i="97"/>
  <c r="Q1342" i="97"/>
  <c r="P1325" i="97"/>
  <c r="P1307" i="97"/>
  <c r="Q1289" i="97"/>
  <c r="S1271" i="97"/>
  <c r="Q1269" i="97"/>
  <c r="S1253" i="97"/>
  <c r="P1251" i="97"/>
  <c r="Q1235" i="97"/>
  <c r="S1233" i="97"/>
  <c r="Q1217" i="97"/>
  <c r="S1215" i="97"/>
  <c r="Q1197" i="97"/>
  <c r="S1179" i="97"/>
  <c r="S1161" i="97"/>
  <c r="S1143" i="97"/>
  <c r="Q1141" i="97"/>
  <c r="P1125" i="97"/>
  <c r="Q1123" i="97"/>
  <c r="S1107" i="97"/>
  <c r="Q1105" i="97"/>
  <c r="R1089" i="97"/>
  <c r="Q1087" i="97"/>
  <c r="R1069" i="97"/>
  <c r="S1051" i="97"/>
  <c r="S1033" i="97"/>
  <c r="R1015" i="97"/>
  <c r="P1013" i="97"/>
  <c r="S997" i="97"/>
  <c r="P995" i="97"/>
  <c r="R979" i="97"/>
  <c r="S977" i="97"/>
  <c r="R961" i="97"/>
  <c r="S959" i="97"/>
  <c r="R941" i="97"/>
  <c r="R923" i="97"/>
  <c r="R905" i="97"/>
  <c r="S890" i="97"/>
  <c r="S887" i="97"/>
  <c r="S885" i="97"/>
  <c r="S883" i="97"/>
  <c r="R872" i="97"/>
  <c r="R869" i="97"/>
  <c r="S867" i="97"/>
  <c r="S865" i="97"/>
  <c r="S854" i="97"/>
  <c r="R851" i="97"/>
  <c r="S849" i="97"/>
  <c r="S847" i="97"/>
  <c r="S836" i="97"/>
  <c r="R833" i="97"/>
  <c r="S831" i="97"/>
  <c r="R829" i="97"/>
  <c r="S819" i="97"/>
  <c r="R813" i="97"/>
  <c r="Q795" i="97"/>
  <c r="S777" i="97"/>
  <c r="R765" i="97"/>
  <c r="S763" i="97"/>
  <c r="S757" i="97"/>
  <c r="R758" i="97"/>
  <c r="S759" i="97"/>
  <c r="R756" i="97"/>
  <c r="P747" i="97"/>
  <c r="S745" i="97"/>
  <c r="S739" i="97"/>
  <c r="Q740" i="97"/>
  <c r="R741" i="97"/>
  <c r="Q738" i="97"/>
  <c r="Q729" i="97"/>
  <c r="S727" i="97"/>
  <c r="S723" i="97"/>
  <c r="S722" i="97"/>
  <c r="Q721" i="97"/>
  <c r="R720" i="97"/>
  <c r="Q711" i="97"/>
  <c r="R709" i="97"/>
  <c r="Q703" i="97"/>
  <c r="P704" i="97"/>
  <c r="Q705" i="97"/>
  <c r="S702" i="97"/>
  <c r="Q687" i="97"/>
  <c r="S686" i="97"/>
  <c r="Q685" i="97"/>
  <c r="S669" i="97"/>
  <c r="Q668" i="97"/>
  <c r="R667" i="97"/>
  <c r="P651" i="97"/>
  <c r="S650" i="97"/>
  <c r="R649" i="97"/>
  <c r="Q633" i="97"/>
  <c r="R632" i="97"/>
  <c r="S631" i="97"/>
  <c r="R629" i="97"/>
  <c r="S615" i="97"/>
  <c r="Q614" i="97"/>
  <c r="S613" i="97"/>
  <c r="R611" i="97"/>
  <c r="R597" i="97"/>
  <c r="R596" i="97"/>
  <c r="Q595" i="97"/>
  <c r="S593" i="97"/>
  <c r="S577" i="97"/>
  <c r="R578" i="97"/>
  <c r="R579" i="97"/>
  <c r="R575" i="97"/>
  <c r="R559" i="97"/>
  <c r="R558" i="97"/>
  <c r="R557" i="97"/>
  <c r="S504" i="97"/>
  <c r="R505" i="97"/>
  <c r="P503" i="97"/>
  <c r="Q541" i="97"/>
  <c r="S540" i="97"/>
  <c r="R539" i="97"/>
  <c r="S501" i="97"/>
  <c r="Q523" i="97"/>
  <c r="P522" i="97"/>
  <c r="S521" i="97"/>
  <c r="P487" i="97"/>
  <c r="Q486" i="97"/>
  <c r="S485" i="97"/>
  <c r="P483" i="97"/>
  <c r="S469" i="97"/>
  <c r="R468" i="97"/>
  <c r="R467" i="97"/>
  <c r="Q465" i="97"/>
  <c r="R451" i="97"/>
  <c r="Q450" i="97"/>
  <c r="S449" i="97"/>
  <c r="S447" i="97"/>
  <c r="Q1966" i="97"/>
  <c r="S1931" i="97"/>
  <c r="S1929" i="97"/>
  <c r="R1929" i="97"/>
  <c r="Q1929" i="97"/>
  <c r="P1929" i="97"/>
  <c r="S1911" i="97"/>
  <c r="Q1911" i="97"/>
  <c r="S1891" i="97"/>
  <c r="R1891" i="97"/>
  <c r="Q1891" i="97"/>
  <c r="P1891" i="97"/>
  <c r="Q1873" i="97"/>
  <c r="S1855" i="97"/>
  <c r="R1855" i="97"/>
  <c r="Q1858" i="97"/>
  <c r="P1858" i="97"/>
  <c r="R1802" i="97"/>
  <c r="R1767" i="97"/>
  <c r="Q1767" i="97"/>
  <c r="R1765" i="97"/>
  <c r="S1729" i="97"/>
  <c r="R1729" i="97"/>
  <c r="Q1729" i="97"/>
  <c r="P1729" i="97"/>
  <c r="S1675" i="97"/>
  <c r="R1675" i="97"/>
  <c r="Q1675" i="97"/>
  <c r="P1675" i="97"/>
  <c r="Q1674" i="97"/>
  <c r="P1653" i="97"/>
  <c r="S1638" i="97"/>
  <c r="R1638" i="97"/>
  <c r="Q1638" i="97"/>
  <c r="P1638" i="97"/>
  <c r="R1637" i="97"/>
  <c r="S1620" i="97"/>
  <c r="R1617" i="97"/>
  <c r="Q1617" i="97"/>
  <c r="S1602" i="97"/>
  <c r="R1602" i="97"/>
  <c r="Q1602" i="97"/>
  <c r="P1602" i="97"/>
  <c r="S1583" i="97"/>
  <c r="P1582" i="97"/>
  <c r="S1563" i="97"/>
  <c r="R1563" i="97"/>
  <c r="Q1563" i="97"/>
  <c r="P1563" i="97"/>
  <c r="S1545" i="97"/>
  <c r="Q1528" i="97"/>
  <c r="P1528" i="97"/>
  <c r="R1525" i="97"/>
  <c r="S1511" i="97"/>
  <c r="P1511" i="97"/>
  <c r="P1507" i="97"/>
  <c r="R1494" i="97"/>
  <c r="S1491" i="97"/>
  <c r="Q1491" i="97"/>
  <c r="S1474" i="97"/>
  <c r="R1474" i="97"/>
  <c r="P1474" i="97"/>
  <c r="Q1469" i="97"/>
  <c r="S1454" i="97"/>
  <c r="R1454" i="97"/>
  <c r="Q1454" i="97"/>
  <c r="S1436" i="97"/>
  <c r="S1409" i="97"/>
  <c r="R1409" i="97"/>
  <c r="P1409" i="97"/>
  <c r="S1398" i="97"/>
  <c r="Q1398" i="97"/>
  <c r="P1389" i="97"/>
  <c r="S1383" i="97"/>
  <c r="R1383" i="97"/>
  <c r="Q1383" i="97"/>
  <c r="S1373" i="97"/>
  <c r="Q1373" i="97"/>
  <c r="S1369" i="97"/>
  <c r="R1369" i="97"/>
  <c r="R1364" i="97"/>
  <c r="S1360" i="97"/>
  <c r="R1360" i="97"/>
  <c r="P1360" i="97"/>
  <c r="R1289" i="97"/>
  <c r="R1269" i="97"/>
  <c r="S1235" i="97"/>
  <c r="S1141" i="97"/>
  <c r="S1089" i="97"/>
  <c r="Q1089" i="97"/>
  <c r="P1089" i="97"/>
  <c r="R1051" i="97"/>
  <c r="S1013" i="97"/>
  <c r="S995" i="97"/>
  <c r="R995" i="97"/>
  <c r="Q995" i="97"/>
  <c r="S961" i="97"/>
  <c r="S923" i="97"/>
  <c r="Q923" i="97"/>
  <c r="R890" i="97"/>
  <c r="P890" i="97"/>
  <c r="R854" i="97"/>
  <c r="R819" i="97"/>
  <c r="Q819" i="97"/>
  <c r="R759" i="97"/>
  <c r="P759" i="97"/>
  <c r="Q741" i="97"/>
  <c r="P741" i="97"/>
  <c r="R729" i="97"/>
  <c r="P729" i="97"/>
  <c r="Q723" i="97"/>
  <c r="S705" i="97"/>
  <c r="S703" i="97"/>
  <c r="P703" i="97"/>
  <c r="P668" i="97"/>
  <c r="S651" i="97"/>
  <c r="Q629" i="97"/>
  <c r="P629" i="97"/>
  <c r="Q593" i="97"/>
  <c r="P578" i="97"/>
  <c r="P557" i="97"/>
  <c r="R504" i="97"/>
  <c r="S503" i="97"/>
  <c r="R487" i="97"/>
  <c r="P485" i="97"/>
  <c r="S451" i="97"/>
  <c r="P451" i="97"/>
  <c r="S431" i="97"/>
  <c r="S430" i="97"/>
  <c r="S429" i="97"/>
  <c r="S413" i="97"/>
  <c r="S412" i="97"/>
  <c r="S411" i="97"/>
  <c r="S395" i="97"/>
  <c r="S394" i="97"/>
  <c r="S393" i="97"/>
  <c r="S377" i="97"/>
  <c r="S376" i="97"/>
  <c r="S375" i="97"/>
  <c r="S373" i="97"/>
  <c r="S359" i="97"/>
  <c r="S358" i="97"/>
  <c r="S357" i="97"/>
  <c r="S355" i="97"/>
  <c r="S341" i="97"/>
  <c r="S340" i="97"/>
  <c r="S339" i="97"/>
  <c r="S337" i="97"/>
  <c r="S323" i="97"/>
  <c r="S322" i="97"/>
  <c r="S321" i="97"/>
  <c r="S319" i="97"/>
  <c r="S303" i="97"/>
  <c r="S302" i="97"/>
  <c r="S301" i="97"/>
  <c r="S285" i="97"/>
  <c r="S284" i="97"/>
  <c r="S283" i="97"/>
  <c r="P267" i="97"/>
  <c r="S266" i="97"/>
  <c r="S265" i="97"/>
  <c r="S250" i="97"/>
  <c r="S249" i="97"/>
  <c r="S248" i="97"/>
  <c r="S247" i="97"/>
  <c r="S245" i="97"/>
  <c r="S243" i="97"/>
  <c r="S232" i="97"/>
  <c r="S231" i="97"/>
  <c r="S230" i="97"/>
  <c r="S229" i="97"/>
  <c r="S227" i="97"/>
  <c r="S225" i="97"/>
  <c r="S214" i="97"/>
  <c r="P213" i="97"/>
  <c r="S212" i="97"/>
  <c r="S211" i="97"/>
  <c r="S209" i="97"/>
  <c r="S207" i="97"/>
  <c r="S196" i="97"/>
  <c r="S195" i="97"/>
  <c r="S194" i="97"/>
  <c r="S193" i="97"/>
  <c r="S191" i="97"/>
  <c r="S189" i="97"/>
  <c r="S183" i="97"/>
  <c r="S181" i="97"/>
  <c r="S179" i="97"/>
  <c r="S175" i="97"/>
  <c r="S174" i="97"/>
  <c r="S173" i="97"/>
  <c r="S157" i="97"/>
  <c r="S156" i="97"/>
  <c r="S155" i="97"/>
  <c r="S139" i="97"/>
  <c r="S138" i="97"/>
  <c r="S137" i="97"/>
  <c r="S130" i="97"/>
  <c r="S129" i="97"/>
  <c r="S128" i="97"/>
  <c r="S127" i="97"/>
  <c r="S126" i="97"/>
  <c r="R125" i="97"/>
  <c r="S124" i="97"/>
  <c r="R123" i="97"/>
  <c r="S121" i="97"/>
  <c r="S120" i="97"/>
  <c r="S119" i="97"/>
  <c r="R118" i="97"/>
  <c r="S117" i="97"/>
  <c r="R116" i="97"/>
  <c r="S112" i="97"/>
  <c r="R111" i="97"/>
  <c r="S110" i="97"/>
  <c r="S109" i="97"/>
  <c r="S108" i="97"/>
  <c r="R107" i="97"/>
  <c r="S106" i="97"/>
  <c r="R105" i="97"/>
  <c r="S103" i="97"/>
  <c r="R102" i="97"/>
  <c r="S101" i="97"/>
  <c r="P100" i="97"/>
  <c r="S99" i="97"/>
  <c r="R98" i="97"/>
  <c r="S94" i="97"/>
  <c r="R93" i="97"/>
  <c r="S92" i="97"/>
  <c r="R91" i="97"/>
  <c r="S90" i="97"/>
  <c r="S89" i="97"/>
  <c r="S88" i="97"/>
  <c r="R87" i="97"/>
  <c r="S85" i="97"/>
  <c r="R84" i="97"/>
  <c r="S83" i="97"/>
  <c r="R82" i="97"/>
  <c r="S81" i="97"/>
  <c r="S80" i="97"/>
  <c r="S70" i="97"/>
  <c r="R71" i="97"/>
  <c r="S72" i="97"/>
  <c r="R73" i="97"/>
  <c r="S74" i="97"/>
  <c r="R75" i="97"/>
  <c r="S76" i="97"/>
  <c r="S69" i="97"/>
  <c r="P63" i="97"/>
  <c r="Q64" i="97"/>
  <c r="P65" i="97"/>
  <c r="Q66" i="97"/>
  <c r="P67" i="97"/>
  <c r="R62" i="97"/>
  <c r="R1528" i="97" l="1"/>
  <c r="S1617" i="97"/>
  <c r="Q1653" i="97"/>
  <c r="P1692" i="97"/>
  <c r="P1731" i="97"/>
  <c r="S1767" i="97"/>
  <c r="R1858" i="97"/>
  <c r="P1476" i="97"/>
  <c r="Q468" i="97"/>
  <c r="P595" i="97"/>
  <c r="S741" i="97"/>
  <c r="P867" i="97"/>
  <c r="P1347" i="97"/>
  <c r="R1362" i="97"/>
  <c r="P1400" i="97"/>
  <c r="Q1418" i="97"/>
  <c r="Q1459" i="97"/>
  <c r="Q1476" i="97"/>
  <c r="R1507" i="97"/>
  <c r="R1653" i="97"/>
  <c r="Q1692" i="97"/>
  <c r="Q1731" i="97"/>
  <c r="P1894" i="97"/>
  <c r="P1459" i="97"/>
  <c r="P709" i="97"/>
  <c r="P757" i="97"/>
  <c r="Q867" i="97"/>
  <c r="Q1347" i="97"/>
  <c r="Q1400" i="97"/>
  <c r="R1418" i="97"/>
  <c r="R1459" i="97"/>
  <c r="R1476" i="97"/>
  <c r="S1507" i="97"/>
  <c r="R1692" i="97"/>
  <c r="R1731" i="97"/>
  <c r="P1819" i="97"/>
  <c r="Q1894" i="97"/>
  <c r="P1418" i="97"/>
  <c r="Q757" i="97"/>
  <c r="R867" i="97"/>
  <c r="R1107" i="97"/>
  <c r="R1347" i="97"/>
  <c r="P1386" i="97"/>
  <c r="R1400" i="97"/>
  <c r="Q1819" i="97"/>
  <c r="R1894" i="97"/>
  <c r="P1931" i="97"/>
  <c r="S1289" i="97"/>
  <c r="Q1362" i="97"/>
  <c r="R631" i="97"/>
  <c r="Q1013" i="97"/>
  <c r="Q1386" i="97"/>
  <c r="R1819" i="97"/>
  <c r="Q1931" i="97"/>
  <c r="R1013" i="97"/>
  <c r="P1373" i="97"/>
  <c r="R1386" i="97"/>
  <c r="Q557" i="97"/>
  <c r="P1051" i="97"/>
  <c r="R1235" i="97"/>
  <c r="R1491" i="97"/>
  <c r="Q1511" i="97"/>
  <c r="R1911" i="97"/>
  <c r="Q777" i="97"/>
  <c r="S1657" i="97"/>
  <c r="P1949" i="97"/>
  <c r="S1380" i="97"/>
  <c r="R595" i="97"/>
  <c r="R883" i="97"/>
  <c r="R1351" i="97"/>
  <c r="P1365" i="97"/>
  <c r="P1382" i="97"/>
  <c r="P1391" i="97"/>
  <c r="R1727" i="97"/>
  <c r="Q1784" i="97"/>
  <c r="P1837" i="97"/>
  <c r="R1949" i="97"/>
  <c r="Q1351" i="97"/>
  <c r="Q1949" i="97"/>
  <c r="Q745" i="97"/>
  <c r="P847" i="97"/>
  <c r="R1342" i="97"/>
  <c r="S1351" i="97"/>
  <c r="R1365" i="97"/>
  <c r="Q1391" i="97"/>
  <c r="P1404" i="97"/>
  <c r="Q1436" i="97"/>
  <c r="P1583" i="97"/>
  <c r="R1748" i="97"/>
  <c r="R1784" i="97"/>
  <c r="Q1837" i="97"/>
  <c r="P883" i="97"/>
  <c r="S523" i="97"/>
  <c r="R847" i="97"/>
  <c r="P1141" i="97"/>
  <c r="S1342" i="97"/>
  <c r="S1391" i="97"/>
  <c r="R1436" i="97"/>
  <c r="Q1583" i="97"/>
  <c r="S1748" i="97"/>
  <c r="S1784" i="97"/>
  <c r="R1837" i="97"/>
  <c r="Q1875" i="97"/>
  <c r="Q1253" i="97"/>
  <c r="P745" i="97"/>
  <c r="P777" i="97"/>
  <c r="Q847" i="97"/>
  <c r="Q883" i="97"/>
  <c r="P979" i="97"/>
  <c r="Q1051" i="97"/>
  <c r="R1141" i="97"/>
  <c r="Q1355" i="97"/>
  <c r="Q1365" i="97"/>
  <c r="R1453" i="97"/>
  <c r="P1469" i="97"/>
  <c r="S1493" i="97"/>
  <c r="P1546" i="97"/>
  <c r="S1674" i="97"/>
  <c r="P1875" i="97"/>
  <c r="R745" i="97"/>
  <c r="R777" i="97"/>
  <c r="Q1233" i="97"/>
  <c r="P1380" i="97"/>
  <c r="P1397" i="97"/>
  <c r="Q1404" i="97"/>
  <c r="R1469" i="97"/>
  <c r="P1601" i="97"/>
  <c r="S1727" i="97"/>
  <c r="R1875" i="97"/>
  <c r="P1235" i="97"/>
  <c r="P1342" i="97"/>
  <c r="Q1368" i="97"/>
  <c r="Q1380" i="97"/>
  <c r="R1404" i="97"/>
  <c r="P1748" i="97"/>
  <c r="S483" i="97"/>
  <c r="S813" i="97"/>
  <c r="R1368" i="97"/>
  <c r="Q1473" i="97"/>
  <c r="S1621" i="97"/>
  <c r="P1344" i="97"/>
  <c r="Q483" i="97"/>
  <c r="Q503" i="97"/>
  <c r="S578" i="97"/>
  <c r="R614" i="97"/>
  <c r="Q651" i="97"/>
  <c r="S720" i="97"/>
  <c r="P447" i="97"/>
  <c r="R483" i="97"/>
  <c r="R503" i="97"/>
  <c r="S539" i="97"/>
  <c r="S614" i="97"/>
  <c r="R651" i="97"/>
  <c r="R705" i="97"/>
  <c r="P723" i="97"/>
  <c r="P1349" i="97"/>
  <c r="Q1601" i="97"/>
  <c r="P1727" i="97"/>
  <c r="Q1967" i="97"/>
  <c r="R723" i="97"/>
  <c r="Q451" i="97"/>
  <c r="Q487" i="97"/>
  <c r="R522" i="97"/>
  <c r="P559" i="97"/>
  <c r="S595" i="97"/>
  <c r="Q631" i="97"/>
  <c r="P686" i="97"/>
  <c r="Q709" i="97"/>
  <c r="P923" i="97"/>
  <c r="R1087" i="97"/>
  <c r="Q1179" i="97"/>
  <c r="P1289" i="97"/>
  <c r="S1344" i="97"/>
  <c r="S1362" i="97"/>
  <c r="P1369" i="97"/>
  <c r="P1398" i="97"/>
  <c r="P1493" i="97"/>
  <c r="Q1637" i="97"/>
  <c r="Q1745" i="97"/>
  <c r="R1838" i="97"/>
  <c r="P597" i="97"/>
  <c r="P720" i="97"/>
  <c r="P539" i="97"/>
  <c r="Q578" i="97"/>
  <c r="P633" i="97"/>
  <c r="Q720" i="97"/>
  <c r="R1781" i="97"/>
  <c r="Q869" i="97"/>
  <c r="S487" i="97"/>
  <c r="P614" i="97"/>
  <c r="S468" i="97"/>
  <c r="Q539" i="97"/>
  <c r="P705" i="97"/>
  <c r="S756" i="97"/>
  <c r="P851" i="97"/>
  <c r="S1382" i="97"/>
  <c r="R1473" i="97"/>
  <c r="R1487" i="97"/>
  <c r="R1523" i="97"/>
  <c r="P467" i="97"/>
  <c r="P505" i="97"/>
  <c r="R668" i="97"/>
  <c r="S979" i="97"/>
  <c r="R1033" i="97"/>
  <c r="R1143" i="97"/>
  <c r="R1253" i="97"/>
  <c r="Q1407" i="97"/>
  <c r="S1453" i="97"/>
  <c r="S1523" i="97"/>
  <c r="S1599" i="97"/>
  <c r="P1749" i="97"/>
  <c r="R1912" i="97"/>
  <c r="S465" i="97"/>
  <c r="Q522" i="97"/>
  <c r="Q813" i="97"/>
  <c r="Q1381" i="97"/>
  <c r="S1396" i="97"/>
  <c r="R1407" i="97"/>
  <c r="P523" i="97"/>
  <c r="S557" i="97"/>
  <c r="R593" i="97"/>
  <c r="R703" i="97"/>
  <c r="S709" i="97"/>
  <c r="Q759" i="97"/>
  <c r="P819" i="97"/>
  <c r="S851" i="97"/>
  <c r="Q1107" i="97"/>
  <c r="Q1344" i="97"/>
  <c r="R1382" i="97"/>
  <c r="R1397" i="97"/>
  <c r="S1403" i="97"/>
  <c r="Q1493" i="97"/>
  <c r="S1601" i="97"/>
  <c r="P1674" i="97"/>
  <c r="P1747" i="97"/>
  <c r="R1785" i="97"/>
  <c r="R1876" i="97"/>
  <c r="Q577" i="97"/>
  <c r="S1069" i="97"/>
  <c r="Q1437" i="97"/>
  <c r="R1965" i="97"/>
  <c r="S629" i="97"/>
  <c r="S667" i="97"/>
  <c r="S729" i="97"/>
  <c r="R887" i="97"/>
  <c r="Q977" i="97"/>
  <c r="P1087" i="97"/>
  <c r="R1353" i="97"/>
  <c r="P1453" i="97"/>
  <c r="P1523" i="97"/>
  <c r="P1709" i="97"/>
  <c r="R1839" i="97"/>
  <c r="R1873" i="97"/>
  <c r="P1635" i="97"/>
  <c r="S505" i="97"/>
  <c r="Q704" i="97"/>
  <c r="Q747" i="97"/>
  <c r="R795" i="97"/>
  <c r="R885" i="97"/>
  <c r="P1405" i="97"/>
  <c r="R1492" i="97"/>
  <c r="Q1512" i="97"/>
  <c r="R1673" i="97"/>
  <c r="Q1711" i="97"/>
  <c r="P468" i="97"/>
  <c r="R486" i="97"/>
  <c r="P504" i="97"/>
  <c r="P521" i="97"/>
  <c r="R523" i="97"/>
  <c r="P615" i="97"/>
  <c r="P631" i="97"/>
  <c r="S668" i="97"/>
  <c r="R704" i="97"/>
  <c r="R747" i="97"/>
  <c r="S795" i="97"/>
  <c r="Q851" i="97"/>
  <c r="P887" i="97"/>
  <c r="Q979" i="97"/>
  <c r="S1087" i="97"/>
  <c r="R1179" i="97"/>
  <c r="Q1251" i="97"/>
  <c r="P1343" i="97"/>
  <c r="R1345" i="97"/>
  <c r="R1355" i="97"/>
  <c r="Q1367" i="97"/>
  <c r="S1397" i="97"/>
  <c r="Q1405" i="97"/>
  <c r="Q1471" i="97"/>
  <c r="P1489" i="97"/>
  <c r="S1492" i="97"/>
  <c r="R1512" i="97"/>
  <c r="P1637" i="97"/>
  <c r="S1673" i="97"/>
  <c r="R1711" i="97"/>
  <c r="Q1838" i="97"/>
  <c r="Q504" i="97"/>
  <c r="Q521" i="97"/>
  <c r="Q615" i="97"/>
  <c r="P667" i="97"/>
  <c r="S704" i="97"/>
  <c r="S747" i="97"/>
  <c r="P813" i="97"/>
  <c r="Q887" i="97"/>
  <c r="P1069" i="97"/>
  <c r="P1233" i="97"/>
  <c r="R1251" i="97"/>
  <c r="Q1343" i="97"/>
  <c r="S1355" i="97"/>
  <c r="R1367" i="97"/>
  <c r="P1396" i="97"/>
  <c r="P1403" i="97"/>
  <c r="R1405" i="97"/>
  <c r="R1471" i="97"/>
  <c r="S1512" i="97"/>
  <c r="P1599" i="97"/>
  <c r="P1620" i="97"/>
  <c r="S1711" i="97"/>
  <c r="R521" i="97"/>
  <c r="Q667" i="97"/>
  <c r="R1343" i="97"/>
  <c r="S1367" i="97"/>
  <c r="Q1396" i="97"/>
  <c r="S1471" i="97"/>
  <c r="Q1599" i="97"/>
  <c r="P1876" i="97"/>
  <c r="P1965" i="97"/>
  <c r="P465" i="97"/>
  <c r="R615" i="97"/>
  <c r="Q1069" i="97"/>
  <c r="P1143" i="97"/>
  <c r="S1251" i="97"/>
  <c r="P1353" i="97"/>
  <c r="P1785" i="97"/>
  <c r="P1839" i="97"/>
  <c r="P1912" i="97"/>
  <c r="R465" i="97"/>
  <c r="P577" i="97"/>
  <c r="P593" i="97"/>
  <c r="P854" i="97"/>
  <c r="P977" i="97"/>
  <c r="S1015" i="97"/>
  <c r="Q1143" i="97"/>
  <c r="P1253" i="97"/>
  <c r="Q1353" i="97"/>
  <c r="P1368" i="97"/>
  <c r="P1381" i="97"/>
  <c r="Q1387" i="97"/>
  <c r="P1407" i="97"/>
  <c r="P1437" i="97"/>
  <c r="P1473" i="97"/>
  <c r="R1529" i="97"/>
  <c r="Q1581" i="97"/>
  <c r="Q1785" i="97"/>
  <c r="Q1820" i="97"/>
  <c r="Q1839" i="97"/>
  <c r="Q1876" i="97"/>
  <c r="Q1912" i="97"/>
  <c r="Q1965" i="97"/>
  <c r="Q505" i="97"/>
  <c r="R977" i="97"/>
  <c r="R1437" i="97"/>
  <c r="P1673" i="97"/>
  <c r="R577" i="97"/>
  <c r="P795" i="97"/>
  <c r="P849" i="97"/>
  <c r="R1381" i="97"/>
  <c r="P1492" i="97"/>
  <c r="Q1635" i="97"/>
  <c r="Q1749" i="97"/>
  <c r="Q467" i="97"/>
  <c r="S522" i="97"/>
  <c r="R849" i="97"/>
  <c r="P885" i="97"/>
  <c r="P1161" i="97"/>
  <c r="S1547" i="97"/>
  <c r="R1635" i="97"/>
  <c r="R1749" i="97"/>
  <c r="S467" i="97"/>
  <c r="S579" i="97"/>
  <c r="Q836" i="97"/>
  <c r="S872" i="97"/>
  <c r="Q739" i="97"/>
  <c r="R740" i="97"/>
  <c r="R836" i="97"/>
  <c r="Q1033" i="97"/>
  <c r="R1217" i="97"/>
  <c r="R1349" i="97"/>
  <c r="R1403" i="97"/>
  <c r="P1529" i="97"/>
  <c r="R1620" i="97"/>
  <c r="Q1709" i="97"/>
  <c r="P1781" i="97"/>
  <c r="S1821" i="97"/>
  <c r="P449" i="97"/>
  <c r="P540" i="97"/>
  <c r="Q575" i="97"/>
  <c r="R721" i="97"/>
  <c r="S941" i="97"/>
  <c r="P1463" i="97"/>
  <c r="Q1489" i="97"/>
  <c r="Q1655" i="97"/>
  <c r="R1909" i="97"/>
  <c r="R450" i="97"/>
  <c r="R541" i="97"/>
  <c r="R687" i="97"/>
  <c r="P722" i="97"/>
  <c r="Q763" i="97"/>
  <c r="Q959" i="97"/>
  <c r="P1123" i="97"/>
  <c r="Q1325" i="97"/>
  <c r="R1379" i="97"/>
  <c r="Q1463" i="97"/>
  <c r="S1656" i="97"/>
  <c r="Q1947" i="97"/>
  <c r="R613" i="97"/>
  <c r="P702" i="97"/>
  <c r="Q722" i="97"/>
  <c r="S765" i="97"/>
  <c r="R959" i="97"/>
  <c r="S1125" i="97"/>
  <c r="S1325" i="97"/>
  <c r="Q1363" i="97"/>
  <c r="Q1510" i="97"/>
  <c r="P1948" i="97"/>
  <c r="Q702" i="97"/>
  <c r="P739" i="97"/>
  <c r="S833" i="97"/>
  <c r="Q1364" i="97"/>
  <c r="S1435" i="97"/>
  <c r="S1510" i="97"/>
  <c r="R1693" i="97"/>
  <c r="S1399" i="97"/>
  <c r="P1385" i="97"/>
  <c r="S1527" i="97"/>
  <c r="R1766" i="97"/>
  <c r="Q829" i="97"/>
  <c r="Q865" i="97"/>
  <c r="P1346" i="97"/>
  <c r="P1361" i="97"/>
  <c r="S1766" i="97"/>
  <c r="Q1803" i="97"/>
  <c r="Q758" i="97"/>
  <c r="R1346" i="97"/>
  <c r="R1361" i="97"/>
  <c r="S1371" i="97"/>
  <c r="P1505" i="97"/>
  <c r="R1803" i="97"/>
  <c r="R1691" i="97"/>
  <c r="R1730" i="97"/>
  <c r="P1857" i="97"/>
  <c r="P469" i="97"/>
  <c r="S905" i="97"/>
  <c r="Q1455" i="97"/>
  <c r="R1475" i="97"/>
  <c r="S1603" i="97"/>
  <c r="R1455" i="97"/>
  <c r="P1527" i="97"/>
  <c r="Q1564" i="97"/>
  <c r="Q1639" i="97"/>
  <c r="R711" i="97"/>
  <c r="R738" i="97"/>
  <c r="Q1399" i="97"/>
  <c r="R1527" i="97"/>
  <c r="R1639" i="97"/>
  <c r="P1766" i="97"/>
  <c r="S450" i="97"/>
  <c r="S486" i="97"/>
  <c r="S541" i="97"/>
  <c r="P575" i="97"/>
  <c r="S632" i="97"/>
  <c r="S687" i="97"/>
  <c r="S711" i="97"/>
  <c r="S721" i="97"/>
  <c r="S738" i="97"/>
  <c r="S740" i="97"/>
  <c r="P758" i="97"/>
  <c r="P763" i="97"/>
  <c r="P829" i="97"/>
  <c r="P836" i="97"/>
  <c r="P865" i="97"/>
  <c r="P869" i="97"/>
  <c r="P959" i="97"/>
  <c r="P1033" i="97"/>
  <c r="S1217" i="97"/>
  <c r="R1325" i="97"/>
  <c r="Q1346" i="97"/>
  <c r="Q1349" i="97"/>
  <c r="Q1361" i="97"/>
  <c r="P1364" i="97"/>
  <c r="S1379" i="97"/>
  <c r="R1399" i="97"/>
  <c r="P1455" i="97"/>
  <c r="Q1461" i="97"/>
  <c r="S1475" i="97"/>
  <c r="S1487" i="97"/>
  <c r="R1510" i="97"/>
  <c r="Q1529" i="97"/>
  <c r="P1581" i="97"/>
  <c r="P1639" i="97"/>
  <c r="P1655" i="97"/>
  <c r="S1691" i="97"/>
  <c r="S1693" i="97"/>
  <c r="S1730" i="97"/>
  <c r="Q1781" i="97"/>
  <c r="P1803" i="97"/>
  <c r="P1820" i="97"/>
  <c r="P1873" i="97"/>
  <c r="S1909" i="97"/>
  <c r="Q449" i="97"/>
  <c r="Q485" i="97"/>
  <c r="Q540" i="97"/>
  <c r="S596" i="97"/>
  <c r="R685" i="97"/>
  <c r="R763" i="97"/>
  <c r="R865" i="97"/>
  <c r="P1271" i="97"/>
  <c r="Q1385" i="97"/>
  <c r="R1820" i="97"/>
  <c r="R449" i="97"/>
  <c r="R469" i="97"/>
  <c r="R485" i="97"/>
  <c r="R540" i="97"/>
  <c r="P650" i="97"/>
  <c r="S685" i="97"/>
  <c r="R702" i="97"/>
  <c r="R722" i="97"/>
  <c r="R739" i="97"/>
  <c r="S758" i="97"/>
  <c r="S829" i="97"/>
  <c r="S869" i="97"/>
  <c r="R1123" i="97"/>
  <c r="R1197" i="97"/>
  <c r="R1233" i="97"/>
  <c r="Q1271" i="97"/>
  <c r="Q1307" i="97"/>
  <c r="P1350" i="97"/>
  <c r="R1385" i="97"/>
  <c r="Q1389" i="97"/>
  <c r="P1417" i="97"/>
  <c r="Q1419" i="97"/>
  <c r="R1463" i="97"/>
  <c r="R1489" i="97"/>
  <c r="Q1505" i="97"/>
  <c r="Q1509" i="97"/>
  <c r="P1530" i="97"/>
  <c r="Q1582" i="97"/>
  <c r="P1619" i="97"/>
  <c r="S1655" i="97"/>
  <c r="R1709" i="97"/>
  <c r="Q1747" i="97"/>
  <c r="P1783" i="97"/>
  <c r="Q1857" i="97"/>
  <c r="Q1859" i="97"/>
  <c r="Q1948" i="97"/>
  <c r="Q469" i="97"/>
  <c r="S649" i="97"/>
  <c r="P1197" i="97"/>
  <c r="P1859" i="97"/>
  <c r="S611" i="97"/>
  <c r="Q650" i="97"/>
  <c r="P765" i="97"/>
  <c r="P833" i="97"/>
  <c r="P872" i="97"/>
  <c r="P905" i="97"/>
  <c r="P941" i="97"/>
  <c r="P1015" i="97"/>
  <c r="P1105" i="97"/>
  <c r="S1123" i="97"/>
  <c r="S1197" i="97"/>
  <c r="R1271" i="97"/>
  <c r="R1307" i="97"/>
  <c r="Q1350" i="97"/>
  <c r="P1371" i="97"/>
  <c r="Q1378" i="97"/>
  <c r="R1389" i="97"/>
  <c r="Q1417" i="97"/>
  <c r="P1435" i="97"/>
  <c r="R1505" i="97"/>
  <c r="R1509" i="97"/>
  <c r="Q1530" i="97"/>
  <c r="R1582" i="97"/>
  <c r="Q1619" i="97"/>
  <c r="P1656" i="97"/>
  <c r="R1747" i="97"/>
  <c r="Q1783" i="97"/>
  <c r="P1821" i="97"/>
  <c r="R1857" i="97"/>
  <c r="R1859" i="97"/>
  <c r="Q1895" i="97"/>
  <c r="R1948" i="97"/>
  <c r="P450" i="97"/>
  <c r="P486" i="97"/>
  <c r="P541" i="97"/>
  <c r="S558" i="97"/>
  <c r="P613" i="97"/>
  <c r="R650" i="97"/>
  <c r="P687" i="97"/>
  <c r="P711" i="97"/>
  <c r="P721" i="97"/>
  <c r="P738" i="97"/>
  <c r="P740" i="97"/>
  <c r="Q765" i="97"/>
  <c r="Q833" i="97"/>
  <c r="Q872" i="97"/>
  <c r="Q905" i="97"/>
  <c r="Q941" i="97"/>
  <c r="Q1015" i="97"/>
  <c r="R1105" i="97"/>
  <c r="Q1125" i="97"/>
  <c r="P1217" i="97"/>
  <c r="S1307" i="97"/>
  <c r="R1350" i="97"/>
  <c r="Q1371" i="97"/>
  <c r="P1379" i="97"/>
  <c r="R1417" i="97"/>
  <c r="Q1435" i="97"/>
  <c r="P1475" i="97"/>
  <c r="P1487" i="97"/>
  <c r="S1509" i="97"/>
  <c r="R1530" i="97"/>
  <c r="R1619" i="97"/>
  <c r="Q1656" i="97"/>
  <c r="P1691" i="97"/>
  <c r="P1693" i="97"/>
  <c r="P1730" i="97"/>
  <c r="R1783" i="97"/>
  <c r="Q1821" i="97"/>
  <c r="P1909" i="97"/>
  <c r="Q613" i="97"/>
  <c r="S1105" i="97"/>
  <c r="R1125" i="97"/>
  <c r="Q1401" i="97"/>
  <c r="P1564" i="97"/>
  <c r="P71" i="97"/>
  <c r="P84" i="97"/>
  <c r="P98" i="97"/>
  <c r="S107" i="97"/>
  <c r="S123" i="97"/>
  <c r="P181" i="97"/>
  <c r="P247" i="97"/>
  <c r="P341" i="97"/>
  <c r="S71" i="97"/>
  <c r="S84" i="97"/>
  <c r="S98" i="97"/>
  <c r="P111" i="97"/>
  <c r="P125" i="97"/>
  <c r="P189" i="97"/>
  <c r="P249" i="97"/>
  <c r="P359" i="97"/>
  <c r="P62" i="97"/>
  <c r="P73" i="97"/>
  <c r="P87" i="97"/>
  <c r="S100" i="97"/>
  <c r="S111" i="97"/>
  <c r="S125" i="97"/>
  <c r="P195" i="97"/>
  <c r="P265" i="97"/>
  <c r="P375" i="97"/>
  <c r="S62" i="97"/>
  <c r="S73" i="97"/>
  <c r="S87" i="97"/>
  <c r="P102" i="97"/>
  <c r="P116" i="97"/>
  <c r="P127" i="97"/>
  <c r="P207" i="97"/>
  <c r="P284" i="97"/>
  <c r="P377" i="97"/>
  <c r="S66" i="97"/>
  <c r="P75" i="97"/>
  <c r="P91" i="97"/>
  <c r="S102" i="97"/>
  <c r="S116" i="97"/>
  <c r="P137" i="97"/>
  <c r="P211" i="97"/>
  <c r="P301" i="97"/>
  <c r="P411" i="97"/>
  <c r="P66" i="97"/>
  <c r="S75" i="97"/>
  <c r="S91" i="97"/>
  <c r="P105" i="97"/>
  <c r="P118" i="97"/>
  <c r="P139" i="97"/>
  <c r="P225" i="97"/>
  <c r="P303" i="97"/>
  <c r="P413" i="97"/>
  <c r="S64" i="97"/>
  <c r="P82" i="97"/>
  <c r="P93" i="97"/>
  <c r="S105" i="97"/>
  <c r="S118" i="97"/>
  <c r="P156" i="97"/>
  <c r="P229" i="97"/>
  <c r="P323" i="97"/>
  <c r="P430" i="97"/>
  <c r="P64" i="97"/>
  <c r="S82" i="97"/>
  <c r="S93" i="97"/>
  <c r="P107" i="97"/>
  <c r="P123" i="97"/>
  <c r="P175" i="97"/>
  <c r="P231" i="97"/>
  <c r="P339" i="97"/>
  <c r="S1967" i="97"/>
  <c r="P1877" i="97"/>
  <c r="P1893" i="97"/>
  <c r="P1895" i="97"/>
  <c r="P1913" i="97"/>
  <c r="P1930" i="97"/>
  <c r="P1947" i="97"/>
  <c r="P1966" i="97"/>
  <c r="Q1877" i="97"/>
  <c r="Q1893" i="97"/>
  <c r="Q1913" i="97"/>
  <c r="Q1930" i="97"/>
  <c r="R1877" i="97"/>
  <c r="R1893" i="97"/>
  <c r="R1895" i="97"/>
  <c r="R1913" i="97"/>
  <c r="R1930" i="97"/>
  <c r="R1947" i="97"/>
  <c r="R1966" i="97"/>
  <c r="P1967" i="97"/>
  <c r="P1855" i="97"/>
  <c r="S1765" i="97"/>
  <c r="S1802" i="97"/>
  <c r="S1838" i="97"/>
  <c r="P1763" i="97"/>
  <c r="P1801" i="97"/>
  <c r="Q1763" i="97"/>
  <c r="Q1801" i="97"/>
  <c r="R1763" i="97"/>
  <c r="R1801" i="97"/>
  <c r="P1765" i="97"/>
  <c r="P1802" i="97"/>
  <c r="R1745" i="97"/>
  <c r="S1745" i="97"/>
  <c r="Q1621" i="97"/>
  <c r="Q1657" i="97"/>
  <c r="Q1710" i="97"/>
  <c r="R1621" i="97"/>
  <c r="R1657" i="97"/>
  <c r="R1710" i="97"/>
  <c r="S1710" i="97"/>
  <c r="R1564" i="97"/>
  <c r="R1581" i="97"/>
  <c r="P1565" i="97"/>
  <c r="P1603" i="97"/>
  <c r="Q1565" i="97"/>
  <c r="Q1603" i="97"/>
  <c r="R1565" i="97"/>
  <c r="Q1546" i="97"/>
  <c r="R1546" i="97"/>
  <c r="P1547" i="97"/>
  <c r="Q1545" i="97"/>
  <c r="Q1547" i="97"/>
  <c r="P1545" i="97"/>
  <c r="S1494" i="97"/>
  <c r="S1525" i="97"/>
  <c r="P1494" i="97"/>
  <c r="P1525" i="97"/>
  <c r="R1363" i="97"/>
  <c r="R1378" i="97"/>
  <c r="R1387" i="97"/>
  <c r="R1401" i="97"/>
  <c r="R1419" i="97"/>
  <c r="R1461" i="97"/>
  <c r="S1363" i="97"/>
  <c r="S1378" i="97"/>
  <c r="S1387" i="97"/>
  <c r="S1401" i="97"/>
  <c r="S1419" i="97"/>
  <c r="S1461" i="97"/>
  <c r="S1269" i="97"/>
  <c r="S1345" i="97"/>
  <c r="P1269" i="97"/>
  <c r="P1345" i="97"/>
  <c r="P1215" i="97"/>
  <c r="Q1215" i="97"/>
  <c r="R1215" i="97"/>
  <c r="Q1161" i="97"/>
  <c r="R1161" i="97"/>
  <c r="P1107" i="97"/>
  <c r="P1179" i="97"/>
  <c r="P997" i="97"/>
  <c r="Q997" i="97"/>
  <c r="R997" i="97"/>
  <c r="P961" i="97"/>
  <c r="Q961" i="97"/>
  <c r="Q849" i="97"/>
  <c r="Q854" i="97"/>
  <c r="Q885" i="97"/>
  <c r="Q890" i="97"/>
  <c r="P831" i="97"/>
  <c r="Q831" i="97"/>
  <c r="R831" i="97"/>
  <c r="R757" i="97"/>
  <c r="P756" i="97"/>
  <c r="Q756" i="97"/>
  <c r="P727" i="97"/>
  <c r="Q727" i="97"/>
  <c r="R727" i="97"/>
  <c r="P669" i="97"/>
  <c r="Q669" i="97"/>
  <c r="Q686" i="97"/>
  <c r="R669" i="97"/>
  <c r="R686" i="97"/>
  <c r="P685" i="97"/>
  <c r="Q559" i="97"/>
  <c r="R633" i="97"/>
  <c r="S559" i="97"/>
  <c r="S575" i="97"/>
  <c r="S597" i="97"/>
  <c r="S633" i="97"/>
  <c r="Q597" i="97"/>
  <c r="P558" i="97"/>
  <c r="P579" i="97"/>
  <c r="P596" i="97"/>
  <c r="P611" i="97"/>
  <c r="P632" i="97"/>
  <c r="P649" i="97"/>
  <c r="Q558" i="97"/>
  <c r="Q579" i="97"/>
  <c r="Q596" i="97"/>
  <c r="Q611" i="97"/>
  <c r="Q632" i="97"/>
  <c r="Q649" i="97"/>
  <c r="P501" i="97"/>
  <c r="Q501" i="97"/>
  <c r="R501" i="97"/>
  <c r="Q447" i="97"/>
  <c r="R447" i="97"/>
  <c r="P80" i="97"/>
  <c r="P321" i="97"/>
  <c r="P357" i="97"/>
  <c r="Q62" i="97"/>
  <c r="R66" i="97"/>
  <c r="R64" i="97"/>
  <c r="Q69" i="97"/>
  <c r="Q71" i="97"/>
  <c r="Q73" i="97"/>
  <c r="Q75" i="97"/>
  <c r="Q80" i="97"/>
  <c r="Q82" i="97"/>
  <c r="Q84" i="97"/>
  <c r="Q87" i="97"/>
  <c r="Q89" i="97"/>
  <c r="Q91" i="97"/>
  <c r="Q93" i="97"/>
  <c r="Q98" i="97"/>
  <c r="Q100" i="97"/>
  <c r="Q102" i="97"/>
  <c r="Q105" i="97"/>
  <c r="Q107" i="97"/>
  <c r="Q109" i="97"/>
  <c r="Q111" i="97"/>
  <c r="Q116" i="97"/>
  <c r="Q118" i="97"/>
  <c r="Q120" i="97"/>
  <c r="Q123" i="97"/>
  <c r="Q125" i="97"/>
  <c r="Q127" i="97"/>
  <c r="Q129" i="97"/>
  <c r="Q137" i="97"/>
  <c r="Q139" i="97"/>
  <c r="Q156" i="97"/>
  <c r="Q173" i="97"/>
  <c r="Q175" i="97"/>
  <c r="Q181" i="97"/>
  <c r="Q189" i="97"/>
  <c r="Q193" i="97"/>
  <c r="Q195" i="97"/>
  <c r="Q207" i="97"/>
  <c r="Q211" i="97"/>
  <c r="Q213" i="97"/>
  <c r="Q225" i="97"/>
  <c r="Q229" i="97"/>
  <c r="Q231" i="97"/>
  <c r="Q243" i="97"/>
  <c r="Q247" i="97"/>
  <c r="Q249" i="97"/>
  <c r="Q265" i="97"/>
  <c r="Q267" i="97"/>
  <c r="Q284" i="97"/>
  <c r="Q301" i="97"/>
  <c r="Q303" i="97"/>
  <c r="Q321" i="97"/>
  <c r="Q323" i="97"/>
  <c r="Q339" i="97"/>
  <c r="Q341" i="97"/>
  <c r="Q357" i="97"/>
  <c r="Q359" i="97"/>
  <c r="Q375" i="97"/>
  <c r="Q377" i="97"/>
  <c r="Q394" i="97"/>
  <c r="Q411" i="97"/>
  <c r="Q413" i="97"/>
  <c r="Q430" i="97"/>
  <c r="P129" i="97"/>
  <c r="P173" i="97"/>
  <c r="P193" i="97"/>
  <c r="P243" i="97"/>
  <c r="P394" i="97"/>
  <c r="R69" i="97"/>
  <c r="R80" i="97"/>
  <c r="R89" i="97"/>
  <c r="R100" i="97"/>
  <c r="R109" i="97"/>
  <c r="R120" i="97"/>
  <c r="R127" i="97"/>
  <c r="R129" i="97"/>
  <c r="R137" i="97"/>
  <c r="R139" i="97"/>
  <c r="R156" i="97"/>
  <c r="R173" i="97"/>
  <c r="R175" i="97"/>
  <c r="R181" i="97"/>
  <c r="R189" i="97"/>
  <c r="R193" i="97"/>
  <c r="R195" i="97"/>
  <c r="R207" i="97"/>
  <c r="R211" i="97"/>
  <c r="R213" i="97"/>
  <c r="R225" i="97"/>
  <c r="R229" i="97"/>
  <c r="R231" i="97"/>
  <c r="R243" i="97"/>
  <c r="R247" i="97"/>
  <c r="R249" i="97"/>
  <c r="R265" i="97"/>
  <c r="R267" i="97"/>
  <c r="R284" i="97"/>
  <c r="R301" i="97"/>
  <c r="R303" i="97"/>
  <c r="R321" i="97"/>
  <c r="R323" i="97"/>
  <c r="R339" i="97"/>
  <c r="R341" i="97"/>
  <c r="R357" i="97"/>
  <c r="R359" i="97"/>
  <c r="R375" i="97"/>
  <c r="R377" i="97"/>
  <c r="R394" i="97"/>
  <c r="R411" i="97"/>
  <c r="R413" i="97"/>
  <c r="R430" i="97"/>
  <c r="S213" i="97"/>
  <c r="S267" i="97"/>
  <c r="P69" i="97"/>
  <c r="S67" i="97"/>
  <c r="S65" i="97"/>
  <c r="S63" i="97"/>
  <c r="P70" i="97"/>
  <c r="P72" i="97"/>
  <c r="P74" i="97"/>
  <c r="P76" i="97"/>
  <c r="P81" i="97"/>
  <c r="P83" i="97"/>
  <c r="P85" i="97"/>
  <c r="P88" i="97"/>
  <c r="P90" i="97"/>
  <c r="P92" i="97"/>
  <c r="P94" i="97"/>
  <c r="P99" i="97"/>
  <c r="P101" i="97"/>
  <c r="P103" i="97"/>
  <c r="P106" i="97"/>
  <c r="P108" i="97"/>
  <c r="P110" i="97"/>
  <c r="P112" i="97"/>
  <c r="P117" i="97"/>
  <c r="P119" i="97"/>
  <c r="P121" i="97"/>
  <c r="P124" i="97"/>
  <c r="P126" i="97"/>
  <c r="P128" i="97"/>
  <c r="P130" i="97"/>
  <c r="P138" i="97"/>
  <c r="P155" i="97"/>
  <c r="P157" i="97"/>
  <c r="P174" i="97"/>
  <c r="P179" i="97"/>
  <c r="P183" i="97"/>
  <c r="P191" i="97"/>
  <c r="P194" i="97"/>
  <c r="P196" i="97"/>
  <c r="P209" i="97"/>
  <c r="P212" i="97"/>
  <c r="P214" i="97"/>
  <c r="P227" i="97"/>
  <c r="P230" i="97"/>
  <c r="P232" i="97"/>
  <c r="P245" i="97"/>
  <c r="P248" i="97"/>
  <c r="P250" i="97"/>
  <c r="P266" i="97"/>
  <c r="P283" i="97"/>
  <c r="P285" i="97"/>
  <c r="P302" i="97"/>
  <c r="P319" i="97"/>
  <c r="P322" i="97"/>
  <c r="P337" i="97"/>
  <c r="P340" i="97"/>
  <c r="P355" i="97"/>
  <c r="P358" i="97"/>
  <c r="P373" i="97"/>
  <c r="P376" i="97"/>
  <c r="P393" i="97"/>
  <c r="P395" i="97"/>
  <c r="P412" i="97"/>
  <c r="P429" i="97"/>
  <c r="P431" i="97"/>
  <c r="P109" i="97"/>
  <c r="P120" i="97"/>
  <c r="R67" i="97"/>
  <c r="R65" i="97"/>
  <c r="R63" i="97"/>
  <c r="Q70" i="97"/>
  <c r="Q72" i="97"/>
  <c r="Q74" i="97"/>
  <c r="Q76" i="97"/>
  <c r="Q81" i="97"/>
  <c r="Q83" i="97"/>
  <c r="Q85" i="97"/>
  <c r="Q88" i="97"/>
  <c r="Q90" i="97"/>
  <c r="Q92" i="97"/>
  <c r="Q94" i="97"/>
  <c r="Q99" i="97"/>
  <c r="Q101" i="97"/>
  <c r="Q103" i="97"/>
  <c r="Q106" i="97"/>
  <c r="Q108" i="97"/>
  <c r="Q110" i="97"/>
  <c r="Q112" i="97"/>
  <c r="Q117" i="97"/>
  <c r="Q119" i="97"/>
  <c r="Q121" i="97"/>
  <c r="Q124" i="97"/>
  <c r="Q126" i="97"/>
  <c r="Q128" i="97"/>
  <c r="Q130" i="97"/>
  <c r="Q138" i="97"/>
  <c r="Q155" i="97"/>
  <c r="Q157" i="97"/>
  <c r="Q174" i="97"/>
  <c r="Q179" i="97"/>
  <c r="Q183" i="97"/>
  <c r="Q191" i="97"/>
  <c r="Q194" i="97"/>
  <c r="Q196" i="97"/>
  <c r="Q209" i="97"/>
  <c r="Q212" i="97"/>
  <c r="Q214" i="97"/>
  <c r="Q227" i="97"/>
  <c r="Q230" i="97"/>
  <c r="Q232" i="97"/>
  <c r="Q245" i="97"/>
  <c r="Q248" i="97"/>
  <c r="Q250" i="97"/>
  <c r="Q266" i="97"/>
  <c r="Q283" i="97"/>
  <c r="Q285" i="97"/>
  <c r="Q302" i="97"/>
  <c r="Q319" i="97"/>
  <c r="Q322" i="97"/>
  <c r="Q337" i="97"/>
  <c r="Q340" i="97"/>
  <c r="Q355" i="97"/>
  <c r="Q358" i="97"/>
  <c r="Q373" i="97"/>
  <c r="Q376" i="97"/>
  <c r="Q393" i="97"/>
  <c r="Q395" i="97"/>
  <c r="Q412" i="97"/>
  <c r="Q429" i="97"/>
  <c r="Q431" i="97"/>
  <c r="P89" i="97"/>
  <c r="Q67" i="97"/>
  <c r="Q65" i="97"/>
  <c r="Q63" i="97"/>
  <c r="R70" i="97"/>
  <c r="R72" i="97"/>
  <c r="R74" i="97"/>
  <c r="R76" i="97"/>
  <c r="R81" i="97"/>
  <c r="R83" i="97"/>
  <c r="R85" i="97"/>
  <c r="R88" i="97"/>
  <c r="R90" i="97"/>
  <c r="R92" i="97"/>
  <c r="R94" i="97"/>
  <c r="R99" i="97"/>
  <c r="R101" i="97"/>
  <c r="R103" i="97"/>
  <c r="R106" i="97"/>
  <c r="R108" i="97"/>
  <c r="R110" i="97"/>
  <c r="R112" i="97"/>
  <c r="R117" i="97"/>
  <c r="R119" i="97"/>
  <c r="R121" i="97"/>
  <c r="R124" i="97"/>
  <c r="R126" i="97"/>
  <c r="R128" i="97"/>
  <c r="R130" i="97"/>
  <c r="R138" i="97"/>
  <c r="R155" i="97"/>
  <c r="R157" i="97"/>
  <c r="R174" i="97"/>
  <c r="R179" i="97"/>
  <c r="R183" i="97"/>
  <c r="R191" i="97"/>
  <c r="R194" i="97"/>
  <c r="R196" i="97"/>
  <c r="R209" i="97"/>
  <c r="R212" i="97"/>
  <c r="R214" i="97"/>
  <c r="R227" i="97"/>
  <c r="R230" i="97"/>
  <c r="R232" i="97"/>
  <c r="R245" i="97"/>
  <c r="R248" i="97"/>
  <c r="R250" i="97"/>
  <c r="R266" i="97"/>
  <c r="R283" i="97"/>
  <c r="R285" i="97"/>
  <c r="R302" i="97"/>
  <c r="R319" i="97"/>
  <c r="R322" i="97"/>
  <c r="R337" i="97"/>
  <c r="R340" i="97"/>
  <c r="R355" i="97"/>
  <c r="R358" i="97"/>
  <c r="R373" i="97"/>
  <c r="R376" i="97"/>
  <c r="R393" i="97"/>
  <c r="R395" i="97"/>
  <c r="R412" i="97"/>
  <c r="R429" i="97"/>
  <c r="R431" i="97"/>
  <c r="J26" i="94" l="1"/>
  <c r="J32" i="94" l="1"/>
  <c r="K27" i="195" l="1"/>
  <c r="K49" i="195" s="1"/>
  <c r="L27" i="195"/>
  <c r="M27" i="195"/>
  <c r="M49" i="195" s="1"/>
  <c r="N27" i="195"/>
  <c r="O27" i="195"/>
  <c r="P27" i="195"/>
  <c r="Q27" i="195"/>
  <c r="Q49" i="195" s="1"/>
  <c r="R27" i="195"/>
  <c r="R49" i="195" s="1"/>
  <c r="S27" i="195"/>
  <c r="S49" i="195" s="1"/>
  <c r="T27" i="195"/>
  <c r="T49" i="195" s="1"/>
  <c r="U27" i="195"/>
  <c r="U49" i="195" s="1"/>
  <c r="V27" i="195"/>
  <c r="V49" i="195" s="1"/>
  <c r="W27" i="195"/>
  <c r="W49" i="195" s="1"/>
  <c r="X27" i="195"/>
  <c r="X49" i="195" s="1"/>
  <c r="Y27" i="195"/>
  <c r="Y49" i="195" s="1"/>
  <c r="J27" i="195"/>
  <c r="G73" i="85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6" i="196"/>
  <c r="AO208" i="196" s="1"/>
  <c r="AN206" i="196"/>
  <c r="AN208" i="196" s="1"/>
  <c r="AM206" i="196"/>
  <c r="AM208" i="196" s="1"/>
  <c r="AL206" i="196"/>
  <c r="AL208" i="196" s="1"/>
  <c r="AK206" i="196"/>
  <c r="AK208" i="196" s="1"/>
  <c r="AJ206" i="196"/>
  <c r="AJ208" i="196" s="1"/>
  <c r="AI206" i="196"/>
  <c r="AI208" i="196" s="1"/>
  <c r="AH206" i="196"/>
  <c r="AH208" i="196" s="1"/>
  <c r="AB206" i="196"/>
  <c r="AB208" i="196" s="1"/>
  <c r="W206" i="196"/>
  <c r="W208" i="196" s="1"/>
  <c r="R206" i="196"/>
  <c r="R208" i="196" s="1"/>
  <c r="Q206" i="196"/>
  <c r="Q208" i="196" s="1"/>
  <c r="L206" i="196"/>
  <c r="L208" i="196" s="1"/>
  <c r="K206" i="196"/>
  <c r="K208" i="196" s="1"/>
  <c r="AO197" i="196"/>
  <c r="AN197" i="196"/>
  <c r="AM197" i="196"/>
  <c r="AL197" i="196"/>
  <c r="AK197" i="196"/>
  <c r="AJ197" i="196"/>
  <c r="AI197" i="196"/>
  <c r="AH197" i="196"/>
  <c r="AB197" i="196"/>
  <c r="W197" i="196"/>
  <c r="R197" i="196"/>
  <c r="Q197" i="196"/>
  <c r="L197" i="196"/>
  <c r="K197" i="196"/>
  <c r="AO148" i="196" a="1"/>
  <c r="AO148" i="196" s="1"/>
  <c r="AO150" i="196" s="1"/>
  <c r="AN148" i="196" a="1"/>
  <c r="AN148" i="196" s="1"/>
  <c r="AN150" i="196" s="1"/>
  <c r="AM148" i="196" a="1"/>
  <c r="AM148" i="196" s="1"/>
  <c r="AM150" i="196" s="1"/>
  <c r="AL148" i="196" a="1"/>
  <c r="AL148" i="196" s="1"/>
  <c r="AL150" i="196" s="1"/>
  <c r="AK148" i="196" a="1"/>
  <c r="AK148" i="196" s="1"/>
  <c r="AK150" i="196" s="1"/>
  <c r="AJ148" i="196" a="1"/>
  <c r="AJ148" i="196" s="1"/>
  <c r="AJ150" i="196" s="1"/>
  <c r="AI148" i="196" a="1"/>
  <c r="AI148" i="196" s="1"/>
  <c r="AI150" i="196" s="1"/>
  <c r="AH148" i="196" a="1"/>
  <c r="AH148" i="196" s="1"/>
  <c r="AH150" i="196" s="1"/>
  <c r="AB148" i="196" a="1"/>
  <c r="AB148" i="196" s="1"/>
  <c r="AB150" i="196" s="1"/>
  <c r="W148" i="196" a="1"/>
  <c r="W148" i="196" s="1"/>
  <c r="W150" i="196" s="1"/>
  <c r="R148" i="196" a="1"/>
  <c r="R148" i="196" s="1"/>
  <c r="R150" i="196" s="1"/>
  <c r="Q148" i="196" a="1"/>
  <c r="Q148" i="196" s="1"/>
  <c r="Q150" i="196" s="1"/>
  <c r="L148" i="196" a="1"/>
  <c r="L148" i="196" s="1"/>
  <c r="L150" i="196" s="1"/>
  <c r="K148" i="196" a="1"/>
  <c r="K148" i="196" s="1"/>
  <c r="K150" i="196" s="1"/>
  <c r="H124" i="196"/>
  <c r="AG102" i="196"/>
  <c r="AF102" i="196"/>
  <c r="AE102" i="196"/>
  <c r="AD102" i="196"/>
  <c r="AC102" i="196"/>
  <c r="AA102" i="196"/>
  <c r="Z102" i="196"/>
  <c r="Y102" i="196"/>
  <c r="X102" i="196"/>
  <c r="V102" i="196"/>
  <c r="U102" i="196"/>
  <c r="T102" i="196"/>
  <c r="S102" i="196"/>
  <c r="P102" i="196"/>
  <c r="O102" i="196"/>
  <c r="N102" i="196"/>
  <c r="M102" i="196"/>
  <c r="J102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6" i="196" s="1"/>
  <c r="AF208" i="196" s="1"/>
  <c r="AE34" i="196"/>
  <c r="AE206" i="196" s="1"/>
  <c r="AE208" i="196" s="1"/>
  <c r="AD34" i="196"/>
  <c r="AD206" i="196" s="1"/>
  <c r="AD208" i="196" s="1"/>
  <c r="AC34" i="196"/>
  <c r="AC206" i="196" s="1"/>
  <c r="AC208" i="196" s="1"/>
  <c r="AA34" i="196"/>
  <c r="AA206" i="196" s="1"/>
  <c r="AA208" i="196" s="1"/>
  <c r="Z34" i="196"/>
  <c r="Z206" i="196" s="1"/>
  <c r="Z208" i="196" s="1"/>
  <c r="Y34" i="196"/>
  <c r="Y206" i="196" s="1"/>
  <c r="Y208" i="196" s="1"/>
  <c r="X34" i="196"/>
  <c r="X206" i="196" s="1"/>
  <c r="X208" i="196" s="1"/>
  <c r="V34" i="196"/>
  <c r="V206" i="196" s="1"/>
  <c r="V208" i="196" s="1"/>
  <c r="U34" i="196"/>
  <c r="U206" i="196" s="1"/>
  <c r="U208" i="196" s="1"/>
  <c r="T34" i="196"/>
  <c r="T206" i="196" s="1"/>
  <c r="T208" i="196" s="1"/>
  <c r="S34" i="196"/>
  <c r="S206" i="196" s="1"/>
  <c r="S208" i="196" s="1"/>
  <c r="P34" i="196"/>
  <c r="P206" i="196" s="1"/>
  <c r="P208" i="196" s="1"/>
  <c r="O34" i="196"/>
  <c r="O206" i="196" s="1"/>
  <c r="O208" i="196" s="1"/>
  <c r="N34" i="196"/>
  <c r="N206" i="196" s="1"/>
  <c r="N208" i="196" s="1"/>
  <c r="M34" i="196"/>
  <c r="M206" i="196" s="1"/>
  <c r="M208" i="196" s="1"/>
  <c r="J34" i="196"/>
  <c r="J206" i="196" s="1"/>
  <c r="J208" i="196" s="1"/>
  <c r="AG33" i="196"/>
  <c r="AG197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4" i="196" s="1"/>
  <c r="AO376" i="196" s="1"/>
  <c r="AO387" i="196" s="1"/>
  <c r="AN32" i="196"/>
  <c r="AN167" i="196" s="1"/>
  <c r="AN175" i="196" s="1"/>
  <c r="AM32" i="196"/>
  <c r="AL32" i="196"/>
  <c r="AK32" i="196"/>
  <c r="AJ32" i="196"/>
  <c r="AI32" i="196"/>
  <c r="AI154" i="196" s="1"/>
  <c r="AH32" i="196"/>
  <c r="AH167" i="196" s="1"/>
  <c r="AH175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1" i="196" s="1"/>
  <c r="Q32" i="196"/>
  <c r="Q374" i="196" s="1"/>
  <c r="Q376" i="196" s="1"/>
  <c r="Q387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8" i="195"/>
  <c r="Y50" i="195" s="1"/>
  <c r="X28" i="195"/>
  <c r="X50" i="195" s="1"/>
  <c r="W28" i="195"/>
  <c r="W50" i="195" s="1"/>
  <c r="V28" i="195"/>
  <c r="U28" i="195"/>
  <c r="U50" i="195" s="1"/>
  <c r="T28" i="195"/>
  <c r="T50" i="195" s="1"/>
  <c r="S28" i="195"/>
  <c r="S50" i="195" s="1"/>
  <c r="R28" i="195"/>
  <c r="R50" i="195" s="1"/>
  <c r="Q28" i="195"/>
  <c r="Q50" i="195" s="1"/>
  <c r="P28" i="195"/>
  <c r="O28" i="195"/>
  <c r="N28" i="195"/>
  <c r="M28" i="195"/>
  <c r="M50" i="195" s="1"/>
  <c r="L28" i="195"/>
  <c r="K28" i="195"/>
  <c r="K50" i="195" s="1"/>
  <c r="J28" i="195"/>
  <c r="Y26" i="195"/>
  <c r="Y48" i="195" s="1"/>
  <c r="Y51" i="195" s="1"/>
  <c r="X26" i="195"/>
  <c r="X48" i="195" s="1"/>
  <c r="X51" i="195" s="1"/>
  <c r="W26" i="195"/>
  <c r="W48" i="195" s="1"/>
  <c r="W51" i="195" s="1"/>
  <c r="V26" i="195"/>
  <c r="U26" i="195"/>
  <c r="U48" i="195" s="1"/>
  <c r="U51" i="195" s="1"/>
  <c r="T26" i="195"/>
  <c r="T48" i="195" s="1"/>
  <c r="T51" i="195" s="1"/>
  <c r="S26" i="195"/>
  <c r="S48" i="195" s="1"/>
  <c r="R26" i="195"/>
  <c r="R48" i="195" s="1"/>
  <c r="R51" i="195" s="1"/>
  <c r="Q26" i="195"/>
  <c r="Q48" i="195" s="1"/>
  <c r="Q51" i="195" s="1"/>
  <c r="P26" i="195"/>
  <c r="P48" i="195" s="1"/>
  <c r="O26" i="195"/>
  <c r="O48" i="195" s="1"/>
  <c r="N26" i="195"/>
  <c r="M26" i="195"/>
  <c r="M48" i="195" s="1"/>
  <c r="M51" i="195" s="1"/>
  <c r="L26" i="195"/>
  <c r="L48" i="195" s="1"/>
  <c r="K26" i="195"/>
  <c r="K48" i="195" s="1"/>
  <c r="K51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2" i="184" s="1"/>
  <c r="S284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35" i="183"/>
  <c r="K31" i="183"/>
  <c r="M29" i="183"/>
  <c r="J27" i="183"/>
  <c r="K23" i="183"/>
  <c r="M21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J48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K27" i="183" l="1"/>
  <c r="K21" i="183"/>
  <c r="K29" i="183"/>
  <c r="J23" i="183"/>
  <c r="J31" i="183"/>
  <c r="AK171" i="197"/>
  <c r="AK76" i="198" s="1"/>
  <c r="Q48" i="181"/>
  <c r="S51" i="195"/>
  <c r="S29" i="196" s="1"/>
  <c r="AI48" i="196" s="1"/>
  <c r="AI47" i="197" s="1"/>
  <c r="O49" i="181"/>
  <c r="K25" i="183"/>
  <c r="K33" i="183"/>
  <c r="M25" i="183"/>
  <c r="M33" i="183"/>
  <c r="T85" i="194"/>
  <c r="T87" i="194"/>
  <c r="T88" i="194"/>
  <c r="T76" i="194"/>
  <c r="T73" i="194"/>
  <c r="T29" i="196"/>
  <c r="AJ48" i="196" s="1"/>
  <c r="AJ47" i="197" s="1"/>
  <c r="S234" i="184"/>
  <c r="S236" i="184" s="1"/>
  <c r="S272" i="184"/>
  <c r="S320" i="184"/>
  <c r="S340" i="184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297" i="184" s="1"/>
  <c r="S189" i="186" s="1"/>
  <c r="S318" i="184"/>
  <c r="S60" i="197" s="1"/>
  <c r="AI78" i="197" s="1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286" i="184" s="1"/>
  <c r="S188" i="186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8" i="196"/>
  <c r="AC112" i="196"/>
  <c r="Y110" i="196"/>
  <c r="S319" i="184"/>
  <c r="S61" i="197" s="1"/>
  <c r="AI79" i="197" s="1"/>
  <c r="O105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7" i="196"/>
  <c r="AO175" i="196" s="1"/>
  <c r="J111" i="196"/>
  <c r="Q154" i="196"/>
  <c r="R154" i="196"/>
  <c r="AO154" i="196"/>
  <c r="Q167" i="196"/>
  <c r="Q175" i="196" s="1"/>
  <c r="U29" i="196"/>
  <c r="AK48" i="196" s="1"/>
  <c r="AK47" i="197" s="1"/>
  <c r="M29" i="196"/>
  <c r="Q48" i="196" s="1"/>
  <c r="Q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29" i="196"/>
  <c r="AO48" i="196" s="1"/>
  <c r="AO47" i="197" s="1"/>
  <c r="K29" i="196"/>
  <c r="K48" i="196" s="1"/>
  <c r="K47" i="197" s="1"/>
  <c r="R29" i="196"/>
  <c r="AH48" i="196" s="1"/>
  <c r="AH47" i="197" s="1"/>
  <c r="S307" i="184"/>
  <c r="W29" i="196"/>
  <c r="AM48" i="196" s="1"/>
  <c r="AM47" i="197" s="1"/>
  <c r="W307" i="184"/>
  <c r="W296" i="184"/>
  <c r="X296" i="184"/>
  <c r="W274" i="184"/>
  <c r="Q29" i="196"/>
  <c r="AG48" i="196" s="1"/>
  <c r="AG47" i="197" s="1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6" i="196"/>
  <c r="W92" i="194"/>
  <c r="AK44" i="196"/>
  <c r="AK24" i="197" s="1"/>
  <c r="AK114" i="197" s="1"/>
  <c r="AK125" i="197" s="1"/>
  <c r="AK154" i="197" s="1"/>
  <c r="AK59" i="198" s="1"/>
  <c r="N105" i="196"/>
  <c r="Y105" i="196"/>
  <c r="AF106" i="196"/>
  <c r="AA108" i="196"/>
  <c r="N109" i="196"/>
  <c r="V110" i="196"/>
  <c r="AF110" i="196"/>
  <c r="P112" i="196"/>
  <c r="AA112" i="196"/>
  <c r="V107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5" i="196"/>
  <c r="M106" i="196"/>
  <c r="O109" i="196"/>
  <c r="Z109" i="196"/>
  <c r="AG110" i="196"/>
  <c r="AC108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5" i="196"/>
  <c r="N106" i="196"/>
  <c r="Y106" i="196"/>
  <c r="AF107" i="196"/>
  <c r="AA109" i="196"/>
  <c r="N110" i="196"/>
  <c r="V111" i="196"/>
  <c r="AF111" i="196"/>
  <c r="J110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8" i="196"/>
  <c r="AD112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4" i="196"/>
  <c r="AK376" i="196" s="1"/>
  <c r="AK387" i="196" s="1"/>
  <c r="AK342" i="196"/>
  <c r="AK341" i="196"/>
  <c r="AK310" i="196"/>
  <c r="AK309" i="196"/>
  <c r="AK308" i="196"/>
  <c r="AK167" i="196"/>
  <c r="AK175" i="196" s="1"/>
  <c r="AK154" i="196"/>
  <c r="U110" i="196"/>
  <c r="U106" i="196"/>
  <c r="U109" i="196"/>
  <c r="U105" i="196"/>
  <c r="U112" i="196"/>
  <c r="U108" i="196"/>
  <c r="U107" i="196"/>
  <c r="U111" i="196"/>
  <c r="AE110" i="196"/>
  <c r="AE106" i="196"/>
  <c r="AE109" i="196"/>
  <c r="AE105" i="196"/>
  <c r="AE112" i="196"/>
  <c r="AE108" i="196"/>
  <c r="AE111" i="196"/>
  <c r="AE107" i="196"/>
  <c r="AK45" i="196"/>
  <c r="AK25" i="197" s="1"/>
  <c r="AK115" i="197" s="1"/>
  <c r="AK126" i="197" s="1"/>
  <c r="AK155" i="197" s="1"/>
  <c r="AK60" i="198" s="1"/>
  <c r="S112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1" i="196"/>
  <c r="X111" i="196"/>
  <c r="AG111" i="196"/>
  <c r="AI45" i="196"/>
  <c r="AI25" i="197" s="1"/>
  <c r="AI115" i="197" s="1"/>
  <c r="AJ45" i="196"/>
  <c r="AJ25" i="197" s="1"/>
  <c r="AJ115" i="197" s="1"/>
  <c r="O111" i="196"/>
  <c r="Z111" i="196"/>
  <c r="AA105" i="196"/>
  <c r="AG106" i="196"/>
  <c r="P108" i="196"/>
  <c r="P109" i="196"/>
  <c r="X110" i="196"/>
  <c r="AD111" i="196"/>
  <c r="N48" i="195"/>
  <c r="V48" i="195"/>
  <c r="V50" i="195"/>
  <c r="J106" i="196"/>
  <c r="J107" i="196"/>
  <c r="Y109" i="196"/>
  <c r="K374" i="196"/>
  <c r="K376" i="196" s="1"/>
  <c r="K387" i="196" s="1"/>
  <c r="K341" i="196"/>
  <c r="K308" i="196"/>
  <c r="K309" i="196"/>
  <c r="K310" i="196"/>
  <c r="K167" i="196"/>
  <c r="K175" i="196" s="1"/>
  <c r="K154" i="196"/>
  <c r="AI374" i="196"/>
  <c r="AI376" i="196" s="1"/>
  <c r="AI387" i="196" s="1"/>
  <c r="AI342" i="196"/>
  <c r="AI341" i="196"/>
  <c r="AI310" i="196"/>
  <c r="AI309" i="196"/>
  <c r="AI308" i="196"/>
  <c r="AI167" i="196"/>
  <c r="AI175" i="196" s="1"/>
  <c r="S111" i="196"/>
  <c r="S107" i="196"/>
  <c r="S110" i="196"/>
  <c r="S106" i="196"/>
  <c r="S109" i="196"/>
  <c r="S105" i="196"/>
  <c r="AC111" i="196"/>
  <c r="AC107" i="196"/>
  <c r="AC110" i="196"/>
  <c r="AC106" i="196"/>
  <c r="AC109" i="196"/>
  <c r="AC105" i="196"/>
  <c r="AI44" i="196"/>
  <c r="AI24" i="197" s="1"/>
  <c r="AI114" i="197" s="1"/>
  <c r="T107" i="196"/>
  <c r="L374" i="196"/>
  <c r="L376" i="196" s="1"/>
  <c r="L387" i="196" s="1"/>
  <c r="L342" i="196"/>
  <c r="L341" i="196"/>
  <c r="L310" i="196"/>
  <c r="L309" i="196"/>
  <c r="L308" i="196"/>
  <c r="L167" i="196"/>
  <c r="L175" i="196" s="1"/>
  <c r="L154" i="196"/>
  <c r="AB374" i="196"/>
  <c r="AB376" i="196" s="1"/>
  <c r="AB387" i="196" s="1"/>
  <c r="AB342" i="196"/>
  <c r="AB341" i="196"/>
  <c r="AB310" i="196"/>
  <c r="AB309" i="196"/>
  <c r="AB308" i="196"/>
  <c r="AB167" i="196"/>
  <c r="AB175" i="196" s="1"/>
  <c r="AB154" i="196"/>
  <c r="AJ374" i="196"/>
  <c r="AJ376" i="196" s="1"/>
  <c r="AJ387" i="196" s="1"/>
  <c r="AJ342" i="196"/>
  <c r="AJ341" i="196"/>
  <c r="AJ310" i="196"/>
  <c r="AJ309" i="196"/>
  <c r="AJ308" i="196"/>
  <c r="AJ167" i="196"/>
  <c r="AJ175" i="196" s="1"/>
  <c r="AJ154" i="196"/>
  <c r="T110" i="196"/>
  <c r="T106" i="196"/>
  <c r="T109" i="196"/>
  <c r="T105" i="196"/>
  <c r="AD110" i="196"/>
  <c r="AD106" i="196"/>
  <c r="AD109" i="196"/>
  <c r="AD105" i="196"/>
  <c r="AJ44" i="196"/>
  <c r="AJ24" i="197" s="1"/>
  <c r="AJ114" i="197" s="1"/>
  <c r="K342" i="196"/>
  <c r="AL374" i="196"/>
  <c r="AL376" i="196" s="1"/>
  <c r="AL387" i="196" s="1"/>
  <c r="AL342" i="196"/>
  <c r="AL341" i="196"/>
  <c r="AL310" i="196"/>
  <c r="AL167" i="196"/>
  <c r="AL175" i="196" s="1"/>
  <c r="AL154" i="196"/>
  <c r="AL308" i="196"/>
  <c r="AL309" i="196"/>
  <c r="X106" i="196"/>
  <c r="AD107" i="196"/>
  <c r="AD108" i="196"/>
  <c r="M110" i="196"/>
  <c r="T111" i="196"/>
  <c r="T112" i="196"/>
  <c r="R167" i="196"/>
  <c r="R175" i="196" s="1"/>
  <c r="AL90" i="197"/>
  <c r="AL44" i="196"/>
  <c r="AL24" i="197" s="1"/>
  <c r="AL114" i="197" s="1"/>
  <c r="AL45" i="196"/>
  <c r="AL25" i="197" s="1"/>
  <c r="AL115" i="197" s="1"/>
  <c r="O106" i="196"/>
  <c r="Z106" i="196"/>
  <c r="M107" i="196"/>
  <c r="X107" i="196"/>
  <c r="AG107" i="196"/>
  <c r="O110" i="196"/>
  <c r="Z110" i="196"/>
  <c r="W374" i="196"/>
  <c r="W376" i="196" s="1"/>
  <c r="W387" i="196" s="1"/>
  <c r="W342" i="196"/>
  <c r="W341" i="196"/>
  <c r="W310" i="196"/>
  <c r="W309" i="196"/>
  <c r="W308" i="196"/>
  <c r="W167" i="196"/>
  <c r="W175" i="196" s="1"/>
  <c r="W154" i="196"/>
  <c r="AM374" i="196"/>
  <c r="AM376" i="196" s="1"/>
  <c r="AM387" i="196" s="1"/>
  <c r="AM342" i="196"/>
  <c r="AM341" i="196"/>
  <c r="AM310" i="196"/>
  <c r="AM309" i="196"/>
  <c r="AM308" i="196"/>
  <c r="AM167" i="196"/>
  <c r="AM175" i="196" s="1"/>
  <c r="AM154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6" i="196"/>
  <c r="AA106" i="196"/>
  <c r="N107" i="196"/>
  <c r="Y107" i="196"/>
  <c r="J108" i="196"/>
  <c r="V108" i="196"/>
  <c r="AF108" i="196"/>
  <c r="P110" i="196"/>
  <c r="AA110" i="196"/>
  <c r="N111" i="196"/>
  <c r="Y111" i="196"/>
  <c r="J112" i="196"/>
  <c r="V112" i="196"/>
  <c r="AF112" i="196"/>
  <c r="AN374" i="196"/>
  <c r="AN376" i="196" s="1"/>
  <c r="AN387" i="196" s="1"/>
  <c r="AN342" i="196"/>
  <c r="AN341" i="196"/>
  <c r="AN310" i="196"/>
  <c r="AN309" i="196"/>
  <c r="AN308" i="196"/>
  <c r="AN154" i="196"/>
  <c r="AN44" i="196"/>
  <c r="AN24" i="197" s="1"/>
  <c r="AN114" i="197" s="1"/>
  <c r="AN45" i="196"/>
  <c r="AN25" i="197" s="1"/>
  <c r="AN115" i="197" s="1"/>
  <c r="O107" i="196"/>
  <c r="Z107" i="196"/>
  <c r="M108" i="196"/>
  <c r="X108" i="196"/>
  <c r="AG108" i="196"/>
  <c r="M112" i="196"/>
  <c r="X112" i="196"/>
  <c r="AG112" i="196"/>
  <c r="Q342" i="196"/>
  <c r="Q341" i="196"/>
  <c r="Q310" i="196"/>
  <c r="Q309" i="196"/>
  <c r="Q308" i="196"/>
  <c r="AO342" i="196"/>
  <c r="AO341" i="196"/>
  <c r="AO310" i="196"/>
  <c r="AO309" i="196"/>
  <c r="AO308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5" i="196"/>
  <c r="V105" i="196"/>
  <c r="AF105" i="196"/>
  <c r="P107" i="196"/>
  <c r="AA107" i="196"/>
  <c r="N108" i="196"/>
  <c r="Y108" i="196"/>
  <c r="J109" i="196"/>
  <c r="V109" i="196"/>
  <c r="AF109" i="196"/>
  <c r="P111" i="196"/>
  <c r="AA111" i="196"/>
  <c r="N112" i="196"/>
  <c r="Y112" i="196"/>
  <c r="R310" i="196"/>
  <c r="R309" i="196"/>
  <c r="R308" i="196"/>
  <c r="R374" i="196"/>
  <c r="R376" i="196" s="1"/>
  <c r="R387" i="196" s="1"/>
  <c r="R342" i="196"/>
  <c r="R344" i="196" s="1"/>
  <c r="R386" i="196" s="1"/>
  <c r="AH374" i="196"/>
  <c r="AH376" i="196" s="1"/>
  <c r="AH387" i="196" s="1"/>
  <c r="AH342" i="196"/>
  <c r="AH341" i="196"/>
  <c r="AH310" i="196"/>
  <c r="AH309" i="196"/>
  <c r="AH308" i="196"/>
  <c r="AH44" i="196"/>
  <c r="AH24" i="197" s="1"/>
  <c r="AH114" i="197" s="1"/>
  <c r="AH45" i="196"/>
  <c r="AH25" i="197" s="1"/>
  <c r="AH115" i="197" s="1"/>
  <c r="M105" i="196"/>
  <c r="X105" i="196"/>
  <c r="AG105" i="196"/>
  <c r="O108" i="196"/>
  <c r="Z108" i="196"/>
  <c r="M109" i="196"/>
  <c r="X109" i="196"/>
  <c r="AG109" i="196"/>
  <c r="O112" i="196"/>
  <c r="Z112" i="196"/>
  <c r="AH154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AI111" i="198" s="1"/>
  <c r="S308" i="184" l="1"/>
  <c r="S338" i="184"/>
  <c r="V286" i="184"/>
  <c r="V188" i="186" s="1"/>
  <c r="S62" i="197"/>
  <c r="AI80" i="197" s="1"/>
  <c r="S337" i="184"/>
  <c r="S339" i="184"/>
  <c r="H197" i="177"/>
  <c r="A4" i="177" s="1"/>
  <c r="V51" i="195"/>
  <c r="J39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W297" i="184"/>
  <c r="W189" i="186" s="1"/>
  <c r="Y308" i="184"/>
  <c r="Y286" i="184"/>
  <c r="Y188" i="186" s="1"/>
  <c r="AL107" i="198"/>
  <c r="AM111" i="198"/>
  <c r="AL312" i="196"/>
  <c r="AL385" i="196" s="1"/>
  <c r="AM344" i="196"/>
  <c r="AM386" i="196" s="1"/>
  <c r="W344" i="196"/>
  <c r="W386" i="196" s="1"/>
  <c r="AH344" i="196"/>
  <c r="AH386" i="196" s="1"/>
  <c r="AN312" i="196"/>
  <c r="AN385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2" i="196"/>
  <c r="K385" i="196" s="1"/>
  <c r="AH312" i="196"/>
  <c r="AH385" i="196" s="1"/>
  <c r="R312" i="196"/>
  <c r="R385" i="196" s="1"/>
  <c r="R389" i="196" s="1"/>
  <c r="AN344" i="196"/>
  <c r="AN386" i="196" s="1"/>
  <c r="AM312" i="196"/>
  <c r="AM385" i="196" s="1"/>
  <c r="W312" i="196"/>
  <c r="W385" i="196" s="1"/>
  <c r="AI344" i="196"/>
  <c r="AI386" i="196" s="1"/>
  <c r="K344" i="196"/>
  <c r="K386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2" i="196"/>
  <c r="AO385" i="196" s="1"/>
  <c r="AI312" i="196"/>
  <c r="AI385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2" i="196"/>
  <c r="Q385" i="196" s="1"/>
  <c r="AK344" i="196"/>
  <c r="AK386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4" i="196"/>
  <c r="AO386" i="196" s="1"/>
  <c r="AJ312" i="196"/>
  <c r="AJ385" i="196" s="1"/>
  <c r="AB312" i="196"/>
  <c r="AB385" i="196" s="1"/>
  <c r="L312" i="196"/>
  <c r="L385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4" i="196"/>
  <c r="Q386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AK85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4" i="196"/>
  <c r="AL386" i="196" s="1"/>
  <c r="AJ125" i="197"/>
  <c r="AJ154" i="197" s="1"/>
  <c r="AJ59" i="198" s="1"/>
  <c r="AJ344" i="196"/>
  <c r="AJ386" i="196" s="1"/>
  <c r="AB344" i="196"/>
  <c r="AB386" i="196" s="1"/>
  <c r="L344" i="196"/>
  <c r="L386" i="196" s="1"/>
  <c r="AI125" i="197"/>
  <c r="AI154" i="197" s="1"/>
  <c r="AI59" i="198" s="1"/>
  <c r="AI143" i="197"/>
  <c r="AI172" i="197" s="1"/>
  <c r="AI77" i="198" s="1"/>
  <c r="AK312" i="196"/>
  <c r="AK385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V191" i="186" l="1"/>
  <c r="V192" i="186" s="1"/>
  <c r="X191" i="186"/>
  <c r="X192" i="186" s="1"/>
  <c r="T191" i="186"/>
  <c r="T192" i="186" s="1"/>
  <c r="U191" i="186"/>
  <c r="U192" i="186" s="1"/>
  <c r="W191" i="186"/>
  <c r="W192" i="186" s="1"/>
  <c r="AH389" i="196"/>
  <c r="AN389" i="196"/>
  <c r="W389" i="196"/>
  <c r="AL389" i="196"/>
  <c r="AI389" i="196"/>
  <c r="AM389" i="196"/>
  <c r="Q389" i="196"/>
  <c r="AK389" i="196"/>
  <c r="K389" i="196"/>
  <c r="R191" i="186"/>
  <c r="R192" i="186" s="1"/>
  <c r="L389" i="196"/>
  <c r="AO389" i="196"/>
  <c r="AB389" i="196"/>
  <c r="V29" i="196"/>
  <c r="AL48" i="196" s="1"/>
  <c r="AL47" i="197" s="1"/>
  <c r="AJ389" i="196"/>
  <c r="L97" i="98" l="1"/>
  <c r="L96" i="98"/>
  <c r="Q90" i="98"/>
  <c r="S90" i="98"/>
  <c r="S83" i="98"/>
  <c r="R83" i="98"/>
  <c r="Q83" i="98"/>
  <c r="P83" i="98"/>
  <c r="N83" i="98"/>
  <c r="M83" i="98"/>
  <c r="L83" i="98"/>
  <c r="Q73" i="98"/>
  <c r="P73" i="98"/>
  <c r="N73" i="98"/>
  <c r="M73" i="98"/>
  <c r="L73" i="98"/>
  <c r="Q60" i="98"/>
  <c r="P60" i="98"/>
  <c r="N60" i="98"/>
  <c r="M60" i="98"/>
  <c r="L60" i="98"/>
  <c r="Q47" i="98"/>
  <c r="Q48" i="98" s="1"/>
  <c r="P47" i="98"/>
  <c r="P48" i="98" s="1"/>
  <c r="N47" i="98"/>
  <c r="N48" i="98" s="1"/>
  <c r="M47" i="98"/>
  <c r="M48" i="98" s="1"/>
  <c r="L47" i="98"/>
  <c r="L48" i="98" s="1"/>
  <c r="S47" i="98"/>
  <c r="R47" i="98"/>
  <c r="R48" i="98" s="1"/>
  <c r="P76" i="98" l="1"/>
  <c r="M76" i="98"/>
  <c r="Q76" i="98"/>
  <c r="L76" i="98"/>
  <c r="N76" i="98"/>
  <c r="R90" i="98"/>
  <c r="R73" i="98" l="1"/>
  <c r="M96" i="98"/>
  <c r="L84" i="98"/>
  <c r="N84" i="98"/>
  <c r="Q84" i="98"/>
  <c r="N96" i="98"/>
  <c r="M84" i="98"/>
  <c r="R60" i="98"/>
  <c r="S48" i="98"/>
  <c r="Q96" i="98"/>
  <c r="P84" i="98"/>
  <c r="P94" i="98" s="1"/>
  <c r="L91" i="98" l="1"/>
  <c r="L92" i="98" s="1"/>
  <c r="L94" i="98"/>
  <c r="M91" i="98"/>
  <c r="M92" i="98" s="1"/>
  <c r="M94" i="98"/>
  <c r="M95" i="98" s="1"/>
  <c r="N91" i="98"/>
  <c r="N92" i="98" s="1"/>
  <c r="N94" i="98"/>
  <c r="P91" i="98"/>
  <c r="P92" i="98" s="1"/>
  <c r="Q91" i="98"/>
  <c r="Q92" i="98" s="1"/>
  <c r="Q94" i="98"/>
  <c r="Q95" i="98" s="1"/>
  <c r="P95" i="98"/>
  <c r="S60" i="98"/>
  <c r="S73" i="98"/>
  <c r="R76" i="98"/>
  <c r="M97" i="98" l="1"/>
  <c r="L95" i="98"/>
  <c r="Q97" i="98"/>
  <c r="N97" i="98"/>
  <c r="N95" i="98"/>
  <c r="S76" i="98"/>
  <c r="S96" i="98" s="1"/>
  <c r="R84" i="98"/>
  <c r="R96" i="98"/>
  <c r="R91" i="98" l="1"/>
  <c r="R92" i="98" s="1"/>
  <c r="R94" i="98"/>
  <c r="R95" i="98" s="1"/>
  <c r="R97" i="98"/>
  <c r="S84" i="98"/>
  <c r="S91" i="98" l="1"/>
  <c r="S92" i="98" s="1"/>
  <c r="S94" i="98"/>
  <c r="S95" i="98" s="1"/>
  <c r="S97" i="98" l="1"/>
  <c r="J36" i="55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6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2" i="98"/>
  <c r="M123" i="98"/>
  <c r="Q123" i="98"/>
  <c r="Q122" i="98"/>
  <c r="N122" i="98"/>
  <c r="N123" i="98"/>
  <c r="R122" i="98"/>
  <c r="R123" i="98"/>
  <c r="S123" i="98"/>
  <c r="S122" i="98"/>
  <c r="P123" i="98"/>
  <c r="P122" i="98"/>
  <c r="H209" i="100" l="1"/>
  <c r="H213" i="100"/>
  <c r="R210" i="100"/>
  <c r="S210" i="100" l="1"/>
  <c r="H210" i="100" s="1"/>
  <c r="F38" i="55" l="1"/>
  <c r="F37" i="55"/>
  <c r="C14" i="187" l="1"/>
  <c r="G195" i="85" s="1"/>
  <c r="C287" i="196"/>
  <c r="G257" i="85" s="1"/>
  <c r="C193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60" i="196"/>
  <c r="G251" i="85" s="1"/>
  <c r="C254" i="192"/>
  <c r="G229" i="85" s="1"/>
  <c r="C129" i="192"/>
  <c r="G225" i="85" s="1"/>
  <c r="C16" i="194"/>
  <c r="G236" i="85" s="1"/>
  <c r="C141" i="177"/>
  <c r="G137" i="85" s="1"/>
  <c r="C110" i="188"/>
  <c r="G206" i="85" s="1"/>
  <c r="C16" i="180"/>
  <c r="G149" i="85" s="1"/>
  <c r="C16" i="178"/>
  <c r="G141" i="85" s="1"/>
  <c r="C16" i="197"/>
  <c r="G262" i="85" s="1"/>
  <c r="C346" i="196"/>
  <c r="G259" i="85" s="1"/>
  <c r="C151" i="177"/>
  <c r="G138" i="85" s="1"/>
  <c r="C124" i="198"/>
  <c r="G274" i="85" s="1"/>
  <c r="C124" i="191"/>
  <c r="G220" i="85" s="1"/>
  <c r="C43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C62" i="188"/>
  <c r="G201" i="85" s="1"/>
  <c r="C52" i="185"/>
  <c r="G177" i="85" s="1"/>
  <c r="C60" i="185"/>
  <c r="G178" i="85" s="1"/>
  <c r="C332" i="184"/>
  <c r="G166" i="85" s="1"/>
  <c r="C17" i="193"/>
  <c r="G231" i="85" s="1"/>
  <c r="C138" i="198"/>
  <c r="G275" i="85" s="1"/>
  <c r="C314" i="196"/>
  <c r="G258" i="85" s="1"/>
  <c r="C87" i="185"/>
  <c r="G180" i="85" s="1"/>
  <c r="C214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0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70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10" i="196"/>
  <c r="G261" i="85" s="1"/>
  <c r="C99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8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4" i="177"/>
  <c r="G135" i="85" s="1"/>
  <c r="C26" i="179"/>
  <c r="G146" i="85" s="1"/>
  <c r="C118" i="197"/>
  <c r="G268" i="85" s="1"/>
  <c r="C99" i="177"/>
  <c r="G136" i="85" s="1"/>
  <c r="C53" i="195"/>
  <c r="G246" i="85" s="1"/>
  <c r="C89" i="196"/>
  <c r="G249" i="85" s="1"/>
  <c r="C155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3" i="180"/>
  <c r="G154" i="85" s="1"/>
  <c r="C390" i="184"/>
  <c r="G168" i="85" s="1"/>
  <c r="C35" i="195"/>
  <c r="G245" i="85" s="1"/>
  <c r="C186" i="178"/>
  <c r="G144" i="85" s="1"/>
  <c r="C93" i="180"/>
  <c r="G152" i="85" s="1"/>
  <c r="C166" i="178"/>
  <c r="G143" i="85" s="1"/>
  <c r="C214" i="191"/>
  <c r="G223" i="85" s="1"/>
  <c r="C52" i="198"/>
  <c r="G271" i="85" s="1"/>
  <c r="C201" i="196"/>
  <c r="G254" i="85" s="1"/>
  <c r="C25" i="182"/>
  <c r="G157" i="85" s="1"/>
  <c r="C154" i="191"/>
  <c r="G221" i="85" s="1"/>
  <c r="C233" i="196"/>
  <c r="G256" i="85" s="1"/>
  <c r="C177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2" i="196"/>
  <c r="G250" i="85" s="1"/>
  <c r="C33" i="177"/>
  <c r="G133" i="85" s="1"/>
  <c r="C18" i="185"/>
  <c r="G174" i="85" s="1"/>
  <c r="C69" i="188"/>
  <c r="G202" i="85" s="1"/>
  <c r="C19" i="188"/>
  <c r="G196" i="85" s="1"/>
  <c r="C52" i="197"/>
  <c r="G265" i="85" s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8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Q26" i="94"/>
  <c r="P26" i="94"/>
  <c r="O26" i="94"/>
  <c r="N26" i="94"/>
  <c r="L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9" i="98"/>
  <c r="G128" i="85" s="1"/>
  <c r="C104" i="98"/>
  <c r="G129" i="85" s="1"/>
  <c r="C28" i="98"/>
  <c r="G126" i="85" s="1"/>
  <c r="C38" i="98"/>
  <c r="G127" i="85" s="1"/>
  <c r="C16" i="98"/>
  <c r="G125" i="85" s="1"/>
  <c r="C15" i="106"/>
  <c r="G276" i="85" s="1"/>
  <c r="G30" i="96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J890" i="97" l="1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1994" i="97"/>
  <c r="J1990" i="97"/>
  <c r="J1986" i="97"/>
  <c r="J1982" i="97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1350" i="97"/>
  <c r="J157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101" i="98"/>
  <c r="H95" i="180" s="1"/>
  <c r="H23" i="188" s="1"/>
  <c r="H25" i="188" s="1"/>
  <c r="H121" i="188" s="1"/>
  <c r="H19" i="19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181" i="100"/>
  <c r="P46" i="179" s="1"/>
  <c r="H146" i="185" s="1"/>
  <c r="Q202" i="185" s="1"/>
  <c r="J178" i="100"/>
  <c r="M46" i="179" s="1"/>
  <c r="H122" i="185" s="1"/>
  <c r="Q187" i="185" s="1"/>
  <c r="J177" i="100"/>
  <c r="L46" i="179" s="1"/>
  <c r="H114" i="185" s="1"/>
  <c r="Q182" i="185" s="1"/>
  <c r="J169" i="100"/>
  <c r="P45" i="179" s="1"/>
  <c r="H145" i="185" s="1"/>
  <c r="J166" i="100"/>
  <c r="M45" i="179" s="1"/>
  <c r="H121" i="185" s="1"/>
  <c r="J165" i="100"/>
  <c r="L45" i="179" s="1"/>
  <c r="H113" i="185" s="1"/>
  <c r="J157" i="100"/>
  <c r="P44" i="179" s="1"/>
  <c r="H144" i="185" s="1"/>
  <c r="J154" i="100"/>
  <c r="M44" i="179" s="1"/>
  <c r="H120" i="185" s="1"/>
  <c r="J153" i="100"/>
  <c r="L44" i="179" s="1"/>
  <c r="H112" i="185" s="1"/>
  <c r="J145" i="100"/>
  <c r="P43" i="179" s="1"/>
  <c r="J142" i="100"/>
  <c r="M43" i="179" s="1"/>
  <c r="J141" i="100"/>
  <c r="L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2" i="98"/>
  <c r="H107" i="180" s="1"/>
  <c r="H87" i="188" s="1"/>
  <c r="J111" i="98"/>
  <c r="H106" i="180" s="1"/>
  <c r="H86" i="188" s="1"/>
  <c r="J102" i="98"/>
  <c r="H96" i="180" s="1"/>
  <c r="H97" i="180" s="1"/>
  <c r="J86" i="98"/>
  <c r="H86" i="180" s="1"/>
  <c r="J48" i="100"/>
  <c r="K22" i="179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69" i="97"/>
  <c r="J63" i="97"/>
  <c r="J71" i="97"/>
  <c r="J65" i="97"/>
  <c r="J73" i="97"/>
  <c r="J67" i="97"/>
  <c r="J75" i="97"/>
  <c r="J74" i="97"/>
  <c r="J72" i="97"/>
  <c r="J62" i="97"/>
  <c r="J23" i="100"/>
  <c r="N18" i="179" s="1"/>
  <c r="N19" i="182" s="1"/>
  <c r="J64" i="97"/>
  <c r="J76" i="97"/>
  <c r="J26" i="100"/>
  <c r="Q18" i="179" s="1"/>
  <c r="Q19" i="182" s="1"/>
  <c r="J70" i="97"/>
  <c r="J21" i="100"/>
  <c r="L18" i="179" s="1"/>
  <c r="L19" i="182" s="1"/>
  <c r="J66" i="97"/>
  <c r="J20" i="100"/>
  <c r="K18" i="179" s="1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92" i="178" l="1" a="1"/>
  <c r="J91" i="178" a="1"/>
  <c r="X91" i="178" s="1"/>
  <c r="J103" i="178" a="1"/>
  <c r="J142" i="178" a="1"/>
  <c r="Q142" i="178" s="1"/>
  <c r="J133" i="178" a="1"/>
  <c r="U133" i="178" s="1"/>
  <c r="J66" i="178" a="1"/>
  <c r="X66" i="178" s="1"/>
  <c r="J37" i="178" a="1"/>
  <c r="J37" i="178" s="1"/>
  <c r="J69" i="184" s="1"/>
  <c r="J48" i="178" a="1"/>
  <c r="Y48" i="178" s="1"/>
  <c r="J94" i="178" a="1"/>
  <c r="J124" i="178" a="1"/>
  <c r="W124" i="178" s="1"/>
  <c r="W156" i="184" s="1"/>
  <c r="J68" i="178" a="1"/>
  <c r="J173" i="178" a="1"/>
  <c r="L173" i="178" s="1"/>
  <c r="L666" i="184" s="1"/>
  <c r="J79" i="178" a="1"/>
  <c r="J109" i="178" a="1"/>
  <c r="N109" i="178" s="1"/>
  <c r="N141" i="184" s="1"/>
  <c r="N575" i="184" s="1"/>
  <c r="V33" i="198" s="1"/>
  <c r="J58" i="178" a="1"/>
  <c r="R58" i="178" s="1"/>
  <c r="J144" i="178" a="1"/>
  <c r="N144" i="178" s="1"/>
  <c r="N176" i="184" s="1"/>
  <c r="N653" i="184" s="1"/>
  <c r="T50" i="198" s="1"/>
  <c r="J102" i="178" a="1"/>
  <c r="J160" i="178" a="1"/>
  <c r="P160" i="178" s="1"/>
  <c r="P192" i="184" s="1"/>
  <c r="P643" i="184" s="1"/>
  <c r="AF48" i="198" s="1"/>
  <c r="J41" i="178" a="1"/>
  <c r="K41" i="178" s="1"/>
  <c r="J157" i="178" a="1"/>
  <c r="K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W142" i="178"/>
  <c r="K91" i="178"/>
  <c r="R91" i="178"/>
  <c r="W91" i="178"/>
  <c r="O91" i="178"/>
  <c r="O123" i="184" s="1"/>
  <c r="O573" i="184" s="1"/>
  <c r="Y33" i="198" s="1"/>
  <c r="Y105" i="198" s="1"/>
  <c r="L91" i="178"/>
  <c r="L123" i="184" s="1"/>
  <c r="L573" i="184" s="1"/>
  <c r="N33" i="198" s="1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J53" i="178" a="1"/>
  <c r="J65" i="178" a="1"/>
  <c r="K95" i="178"/>
  <c r="O95" i="178"/>
  <c r="O127" i="184" s="1"/>
  <c r="O597" i="184" s="1"/>
  <c r="Y37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V160" i="178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O110" i="178"/>
  <c r="O142" i="184" s="1"/>
  <c r="O581" i="184" s="1"/>
  <c r="AA34" i="198" s="1"/>
  <c r="AA106" i="198" s="1"/>
  <c r="O100" i="178"/>
  <c r="O132" i="184" s="1"/>
  <c r="O574" i="184" s="1"/>
  <c r="Z33" i="198" s="1"/>
  <c r="Z105" i="198" s="1"/>
  <c r="J124" i="178"/>
  <c r="T124" i="178"/>
  <c r="T156" i="184" s="1"/>
  <c r="N41" i="178"/>
  <c r="N73" i="184" s="1"/>
  <c r="O41" i="178"/>
  <c r="O73" i="184" s="1"/>
  <c r="L41" i="178"/>
  <c r="L73" i="184" s="1"/>
  <c r="L564" i="184" s="1"/>
  <c r="M28" i="198" s="1"/>
  <c r="W41" i="178"/>
  <c r="J41" i="178"/>
  <c r="J73" i="184" s="1"/>
  <c r="M41" i="178"/>
  <c r="J39" i="178" a="1"/>
  <c r="J184" i="178" a="1"/>
  <c r="J134" i="178" a="1"/>
  <c r="J68" i="178"/>
  <c r="P68" i="178"/>
  <c r="P100" i="184" s="1"/>
  <c r="L68" i="178"/>
  <c r="L100" i="184" s="1"/>
  <c r="L567" i="184" s="1"/>
  <c r="P28" i="198" s="1"/>
  <c r="W68" i="178"/>
  <c r="V68" i="178"/>
  <c r="O68" i="178"/>
  <c r="O100" i="184" s="1"/>
  <c r="S68" i="178"/>
  <c r="Y68" i="178"/>
  <c r="K68" i="178"/>
  <c r="N68" i="178"/>
  <c r="N100" i="184" s="1"/>
  <c r="R68" i="178"/>
  <c r="Q68" i="178"/>
  <c r="M68" i="178"/>
  <c r="X68" i="178"/>
  <c r="T68" i="178"/>
  <c r="U68" i="178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AE109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J102" i="178"/>
  <c r="Y102" i="178"/>
  <c r="U102" i="178"/>
  <c r="X102" i="178"/>
  <c r="P102" i="178"/>
  <c r="P134" i="184" s="1"/>
  <c r="P586" i="184" s="1"/>
  <c r="AE35" i="198" s="1"/>
  <c r="AE107" i="198" s="1"/>
  <c r="M102" i="178"/>
  <c r="T102" i="178"/>
  <c r="L102" i="178"/>
  <c r="L134" i="184" s="1"/>
  <c r="L586" i="184" s="1"/>
  <c r="O35" i="198" s="1"/>
  <c r="Q102" i="178"/>
  <c r="W102" i="178"/>
  <c r="S102" i="178"/>
  <c r="V102" i="178"/>
  <c r="R102" i="178"/>
  <c r="O102" i="178"/>
  <c r="O134" i="184" s="1"/>
  <c r="O586" i="184" s="1"/>
  <c r="Z35" i="198" s="1"/>
  <c r="Z107" i="198" s="1"/>
  <c r="N102" i="178"/>
  <c r="N134" i="184" s="1"/>
  <c r="N586" i="184" s="1"/>
  <c r="U35" i="198" s="1"/>
  <c r="K102" i="178"/>
  <c r="Q157" i="178"/>
  <c r="S157" i="178"/>
  <c r="X157" i="178"/>
  <c r="Y157" i="178"/>
  <c r="U157" i="178"/>
  <c r="O157" i="178"/>
  <c r="O189" i="184" s="1"/>
  <c r="O625" i="184" s="1"/>
  <c r="AA45" i="198" s="1"/>
  <c r="T157" i="178"/>
  <c r="V157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94" i="178"/>
  <c r="W94" i="178"/>
  <c r="L94" i="178"/>
  <c r="L126" i="184" s="1"/>
  <c r="L591" i="184" s="1"/>
  <c r="N36" i="198" s="1"/>
  <c r="O94" i="178"/>
  <c r="O126" i="184" s="1"/>
  <c r="O591" i="184" s="1"/>
  <c r="Y36" i="198" s="1"/>
  <c r="Y141" i="198" s="1"/>
  <c r="S94" i="178"/>
  <c r="Q94" i="178"/>
  <c r="K94" i="178"/>
  <c r="V94" i="178"/>
  <c r="R94" i="178"/>
  <c r="U94" i="178"/>
  <c r="X94" i="178"/>
  <c r="N94" i="178"/>
  <c r="N126" i="184" s="1"/>
  <c r="N591" i="184" s="1"/>
  <c r="T36" i="198" s="1"/>
  <c r="P94" i="178"/>
  <c r="P126" i="184" s="1"/>
  <c r="P591" i="184" s="1"/>
  <c r="AD36" i="198" s="1"/>
  <c r="AD141" i="198" s="1"/>
  <c r="T94" i="178"/>
  <c r="M94" i="178"/>
  <c r="Y94" i="178"/>
  <c r="J29" i="178" a="1"/>
  <c r="U109" i="178"/>
  <c r="P109" i="178"/>
  <c r="P141" i="184" s="1"/>
  <c r="P575" i="184" s="1"/>
  <c r="AF33" i="198" s="1"/>
  <c r="AF105" i="198" s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J103" i="178"/>
  <c r="N103" i="178"/>
  <c r="N135" i="184" s="1"/>
  <c r="N592" i="184" s="1"/>
  <c r="U36" i="198" s="1"/>
  <c r="S103" i="178"/>
  <c r="Y103" i="178"/>
  <c r="K103" i="178"/>
  <c r="W103" i="178"/>
  <c r="Q103" i="178"/>
  <c r="U103" i="178"/>
  <c r="R103" i="178"/>
  <c r="M103" i="178"/>
  <c r="O103" i="178"/>
  <c r="O135" i="184" s="1"/>
  <c r="O592" i="184" s="1"/>
  <c r="Z36" i="198" s="1"/>
  <c r="Z141" i="198" s="1"/>
  <c r="L103" i="178"/>
  <c r="L135" i="184" s="1"/>
  <c r="L592" i="184" s="1"/>
  <c r="O36" i="198" s="1"/>
  <c r="X103" i="178"/>
  <c r="T103" i="178"/>
  <c r="P103" i="178"/>
  <c r="P135" i="184" s="1"/>
  <c r="P592" i="184" s="1"/>
  <c r="AE36" i="198" s="1"/>
  <c r="AE141" i="198" s="1"/>
  <c r="V103" i="178"/>
  <c r="J93" i="178" a="1"/>
  <c r="J123" i="178" a="1"/>
  <c r="J191" i="178" a="1"/>
  <c r="J126" i="178" a="1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J173" i="178"/>
  <c r="M173" i="178"/>
  <c r="M666" i="184" s="1"/>
  <c r="N173" i="178"/>
  <c r="N666" i="184" s="1"/>
  <c r="Y35" i="178"/>
  <c r="V35" i="178"/>
  <c r="Q55" i="178"/>
  <c r="S55" i="178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20" i="178" a="1"/>
  <c r="J164" i="178" a="1"/>
  <c r="Y164" i="178" s="1"/>
  <c r="Y23" i="195" s="1"/>
  <c r="Y59" i="195" s="1"/>
  <c r="J135" i="178" a="1"/>
  <c r="J177" i="178" a="1"/>
  <c r="J172" i="178" a="1"/>
  <c r="L79" i="178"/>
  <c r="L111" i="184" s="1"/>
  <c r="L607" i="184" s="1"/>
  <c r="L39" i="198" s="1"/>
  <c r="J79" i="178"/>
  <c r="N79" i="178"/>
  <c r="N111" i="184" s="1"/>
  <c r="N607" i="184" s="1"/>
  <c r="R39" i="198" s="1"/>
  <c r="Y79" i="178"/>
  <c r="R79" i="178"/>
  <c r="R111" i="184" s="1"/>
  <c r="Q79" i="178"/>
  <c r="U79" i="178"/>
  <c r="P79" i="178"/>
  <c r="P111" i="184" s="1"/>
  <c r="P607" i="184" s="1"/>
  <c r="AB39" i="198" s="1"/>
  <c r="AB111" i="198" s="1"/>
  <c r="M79" i="178"/>
  <c r="M111" i="184" s="1"/>
  <c r="M607" i="184" s="1"/>
  <c r="Q39" i="198" s="1"/>
  <c r="W79" i="178"/>
  <c r="T79" i="178"/>
  <c r="T111" i="184" s="1"/>
  <c r="S79" i="178"/>
  <c r="X79" i="178"/>
  <c r="K79" i="178"/>
  <c r="K111" i="184" s="1"/>
  <c r="K607" i="184" s="1"/>
  <c r="K39" i="198" s="1"/>
  <c r="V79" i="178"/>
  <c r="O79" i="178"/>
  <c r="O111" i="184" s="1"/>
  <c r="O607" i="184" s="1"/>
  <c r="W39" i="198" s="1"/>
  <c r="W111" i="198" s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K19" i="182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9" i="196"/>
  <c r="AJ199" i="196"/>
  <c r="L199" i="196"/>
  <c r="AN199" i="196"/>
  <c r="Q199" i="196"/>
  <c r="AH199" i="196"/>
  <c r="AG199" i="196"/>
  <c r="W199" i="196"/>
  <c r="AO199" i="196"/>
  <c r="AB199" i="196"/>
  <c r="R199" i="196"/>
  <c r="AL199" i="196"/>
  <c r="AI199" i="196"/>
  <c r="K199" i="196"/>
  <c r="AM199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Y109" i="198"/>
  <c r="AO108" i="198"/>
  <c r="AO109" i="198"/>
  <c r="AM108" i="198"/>
  <c r="AK109" i="198"/>
  <c r="AI108" i="198"/>
  <c r="AK108" i="198"/>
  <c r="AN108" i="198"/>
  <c r="K129" i="178" l="1"/>
  <c r="Y109" i="178"/>
  <c r="J109" i="178"/>
  <c r="W109" i="178"/>
  <c r="L109" i="178"/>
  <c r="L141" i="184" s="1"/>
  <c r="L575" i="184" s="1"/>
  <c r="P33" i="198" s="1"/>
  <c r="X133" i="178"/>
  <c r="R129" i="178"/>
  <c r="Y129" i="178"/>
  <c r="J129" i="178"/>
  <c r="J161" i="184" s="1"/>
  <c r="J217" i="184" s="1"/>
  <c r="J233" i="184" s="1"/>
  <c r="Q129" i="178"/>
  <c r="Q161" i="184" s="1"/>
  <c r="T56" i="178"/>
  <c r="T109" i="178"/>
  <c r="R109" i="178"/>
  <c r="P41" i="178"/>
  <c r="P73" i="184" s="1"/>
  <c r="Q66" i="178"/>
  <c r="S142" i="178"/>
  <c r="V109" i="178"/>
  <c r="S109" i="178"/>
  <c r="Q109" i="178"/>
  <c r="K109" i="178"/>
  <c r="Y41" i="178"/>
  <c r="T41" i="178"/>
  <c r="Y142" i="178"/>
  <c r="X109" i="178"/>
  <c r="O109" i="178"/>
  <c r="O141" i="184" s="1"/>
  <c r="O575" i="184" s="1"/>
  <c r="AA33" i="198" s="1"/>
  <c r="AA105" i="198" s="1"/>
  <c r="V41" i="178"/>
  <c r="X41" i="178"/>
  <c r="U142" i="178"/>
  <c r="M109" i="178"/>
  <c r="R41" i="178"/>
  <c r="U41" i="178"/>
  <c r="T142" i="178"/>
  <c r="K173" i="178"/>
  <c r="K666" i="184" s="1"/>
  <c r="W164" i="178"/>
  <c r="W23" i="195" s="1"/>
  <c r="W59" i="195" s="1"/>
  <c r="P157" i="178"/>
  <c r="P189" i="184" s="1"/>
  <c r="P625" i="184" s="1"/>
  <c r="AF45" i="198" s="1"/>
  <c r="J157" i="178"/>
  <c r="L157" i="178"/>
  <c r="L189" i="184" s="1"/>
  <c r="L625" i="184" s="1"/>
  <c r="P45" i="198" s="1"/>
  <c r="N157" i="178"/>
  <c r="N189" i="184" s="1"/>
  <c r="N625" i="184" s="1"/>
  <c r="V45" i="198" s="1"/>
  <c r="M157" i="178"/>
  <c r="W157" i="178"/>
  <c r="R157" i="178"/>
  <c r="N142" i="178"/>
  <c r="N174" i="184" s="1"/>
  <c r="N641" i="184" s="1"/>
  <c r="T48" i="198" s="1"/>
  <c r="J141" i="178"/>
  <c r="L142" i="178"/>
  <c r="L174" i="184" s="1"/>
  <c r="L641" i="184" s="1"/>
  <c r="N48" i="198" s="1"/>
  <c r="R142" i="178"/>
  <c r="T133" i="178"/>
  <c r="Y133" i="178"/>
  <c r="Q133" i="178"/>
  <c r="Q165" i="184" s="1"/>
  <c r="Q640" i="184" s="1"/>
  <c r="AG48" i="198" s="1"/>
  <c r="N133" i="178"/>
  <c r="N165" i="184" s="1"/>
  <c r="N640" i="184" s="1"/>
  <c r="S48" i="198" s="1"/>
  <c r="R133" i="178"/>
  <c r="V133" i="178"/>
  <c r="J133" i="178"/>
  <c r="J165" i="184" s="1"/>
  <c r="J640" i="184" s="1"/>
  <c r="J48" i="198" s="1"/>
  <c r="S133" i="178"/>
  <c r="O133" i="178"/>
  <c r="O165" i="184" s="1"/>
  <c r="P133" i="178"/>
  <c r="P165" i="184" s="1"/>
  <c r="K133" i="178"/>
  <c r="M133" i="178"/>
  <c r="L133" i="178"/>
  <c r="L165" i="184" s="1"/>
  <c r="L640" i="184" s="1"/>
  <c r="M48" i="198" s="1"/>
  <c r="W133" i="178"/>
  <c r="L129" i="178"/>
  <c r="L161" i="184" s="1"/>
  <c r="M129" i="178"/>
  <c r="J100" i="178"/>
  <c r="P100" i="178"/>
  <c r="P132" i="184" s="1"/>
  <c r="P574" i="184" s="1"/>
  <c r="AE33" i="198" s="1"/>
  <c r="AE105" i="198" s="1"/>
  <c r="M100" i="178"/>
  <c r="R100" i="178"/>
  <c r="Y100" i="178"/>
  <c r="J91" i="178"/>
  <c r="P91" i="178"/>
  <c r="P123" i="184" s="1"/>
  <c r="P573" i="184" s="1"/>
  <c r="AD33" i="198" s="1"/>
  <c r="AD105" i="198" s="1"/>
  <c r="N91" i="178"/>
  <c r="N123" i="184" s="1"/>
  <c r="N573" i="184" s="1"/>
  <c r="T33" i="198" s="1"/>
  <c r="M91" i="178"/>
  <c r="S91" i="178"/>
  <c r="U91" i="178"/>
  <c r="T91" i="178"/>
  <c r="Y91" i="178"/>
  <c r="V91" i="178"/>
  <c r="Q91" i="178"/>
  <c r="O66" i="178"/>
  <c r="O98" i="184" s="1"/>
  <c r="O555" i="184" s="1"/>
  <c r="AA26" i="198" s="1"/>
  <c r="P66" i="178"/>
  <c r="P98" i="184" s="1"/>
  <c r="S56" i="178"/>
  <c r="O55" i="178"/>
  <c r="O87" i="184" s="1"/>
  <c r="O542" i="184" s="1"/>
  <c r="Z24" i="198" s="1"/>
  <c r="P55" i="178"/>
  <c r="P87" i="184" s="1"/>
  <c r="P542" i="184" s="1"/>
  <c r="AE24" i="198" s="1"/>
  <c r="L55" i="178"/>
  <c r="L87" i="184" s="1"/>
  <c r="N55" i="178"/>
  <c r="N87" i="184" s="1"/>
  <c r="N542" i="184" s="1"/>
  <c r="U24" i="198" s="1"/>
  <c r="Q41" i="178"/>
  <c r="Q73" i="184" s="1"/>
  <c r="K37" i="178"/>
  <c r="X129" i="178"/>
  <c r="L66" i="178"/>
  <c r="L98" i="184" s="1"/>
  <c r="S66" i="178"/>
  <c r="V66" i="178"/>
  <c r="O58" i="178"/>
  <c r="O90" i="184" s="1"/>
  <c r="M66" i="178"/>
  <c r="Y66" i="178"/>
  <c r="K48" i="178"/>
  <c r="L48" i="178"/>
  <c r="L80" i="184" s="1"/>
  <c r="L553" i="184" s="1"/>
  <c r="N26" i="198" s="1"/>
  <c r="S41" i="178"/>
  <c r="W161" i="178"/>
  <c r="M161" i="178"/>
  <c r="L37" i="178"/>
  <c r="L69" i="184" s="1"/>
  <c r="L540" i="184" s="1"/>
  <c r="M24" i="198" s="1"/>
  <c r="H57" i="179"/>
  <c r="M37" i="178"/>
  <c r="Q58" i="178"/>
  <c r="Q37" i="178"/>
  <c r="Q69" i="184" s="1"/>
  <c r="Q201" i="184" s="1"/>
  <c r="Q253" i="184" s="1"/>
  <c r="J66" i="178"/>
  <c r="N66" i="178"/>
  <c r="N98" i="184" s="1"/>
  <c r="N555" i="184" s="1"/>
  <c r="V26" i="198" s="1"/>
  <c r="P142" i="178"/>
  <c r="P174" i="184" s="1"/>
  <c r="P641" i="184" s="1"/>
  <c r="AD48" i="198" s="1"/>
  <c r="K142" i="178"/>
  <c r="W66" i="178"/>
  <c r="R66" i="178"/>
  <c r="L156" i="178"/>
  <c r="L188" i="184" s="1"/>
  <c r="L619" i="184" s="1"/>
  <c r="P44" i="198" s="1"/>
  <c r="X142" i="178"/>
  <c r="V142" i="178"/>
  <c r="T66" i="178"/>
  <c r="K66" i="178"/>
  <c r="M142" i="178"/>
  <c r="J142" i="178"/>
  <c r="U66" i="178"/>
  <c r="O142" i="178"/>
  <c r="O174" i="184" s="1"/>
  <c r="O641" i="184" s="1"/>
  <c r="Y48" i="198" s="1"/>
  <c r="Y58" i="178"/>
  <c r="K161" i="178"/>
  <c r="N48" i="178"/>
  <c r="N80" i="184" s="1"/>
  <c r="N553" i="184" s="1"/>
  <c r="T26" i="198" s="1"/>
  <c r="V48" i="178"/>
  <c r="W110" i="178"/>
  <c r="U37" i="178"/>
  <c r="W37" i="178"/>
  <c r="AE108" i="198"/>
  <c r="Y49" i="178"/>
  <c r="J161" i="178"/>
  <c r="S48" i="178"/>
  <c r="T48" i="178"/>
  <c r="T37" i="178"/>
  <c r="N37" i="178"/>
  <c r="N69" i="184" s="1"/>
  <c r="N540" i="184" s="1"/>
  <c r="S24" i="198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540" i="184" s="1"/>
  <c r="X24" i="198" s="1"/>
  <c r="O48" i="178"/>
  <c r="O80" i="184" s="1"/>
  <c r="O553" i="184" s="1"/>
  <c r="Y26" i="198" s="1"/>
  <c r="M58" i="178"/>
  <c r="J144" i="178"/>
  <c r="P48" i="178"/>
  <c r="P80" i="184" s="1"/>
  <c r="P553" i="184" s="1"/>
  <c r="AD26" i="198" s="1"/>
  <c r="P37" i="178"/>
  <c r="P69" i="184" s="1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X639" i="184" s="1"/>
  <c r="AN48" i="198" s="1"/>
  <c r="AN119" i="198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199" i="184" s="1"/>
  <c r="Q231" i="184" s="1"/>
  <c r="U124" i="178"/>
  <c r="U156" i="184" s="1"/>
  <c r="U639" i="184" s="1"/>
  <c r="AK48" i="198" s="1"/>
  <c r="AK119" i="198" s="1"/>
  <c r="S124" i="178"/>
  <c r="S156" i="184" s="1"/>
  <c r="S639" i="184" s="1"/>
  <c r="AI48" i="198" s="1"/>
  <c r="AI119" i="198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9" i="195" s="1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Y108" i="19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9" i="195" s="1"/>
  <c r="Q164" i="178"/>
  <c r="Q23" i="195" s="1"/>
  <c r="Q59" i="195" s="1"/>
  <c r="S100" i="178"/>
  <c r="T100" i="178"/>
  <c r="N100" i="178"/>
  <c r="N132" i="184" s="1"/>
  <c r="N574" i="184" s="1"/>
  <c r="U33" i="198" s="1"/>
  <c r="W100" i="178"/>
  <c r="N164" i="178"/>
  <c r="N23" i="195" s="1"/>
  <c r="K164" i="178"/>
  <c r="K23" i="195" s="1"/>
  <c r="K59" i="195" s="1"/>
  <c r="J164" i="178"/>
  <c r="J23" i="195" s="1"/>
  <c r="Q100" i="178"/>
  <c r="K100" i="178"/>
  <c r="P164" i="178"/>
  <c r="P23" i="195" s="1"/>
  <c r="AD108" i="198"/>
  <c r="L164" i="178"/>
  <c r="L23" i="195" s="1"/>
  <c r="V164" i="178"/>
  <c r="V23" i="195" s="1"/>
  <c r="V59" i="195" s="1"/>
  <c r="X100" i="178"/>
  <c r="V100" i="178"/>
  <c r="T164" i="178"/>
  <c r="T23" i="195" s="1"/>
  <c r="T59" i="195" s="1"/>
  <c r="S164" i="178"/>
  <c r="S23" i="195" s="1"/>
  <c r="S59" i="195" s="1"/>
  <c r="M164" i="178"/>
  <c r="M23" i="195" s="1"/>
  <c r="M59" i="195" s="1"/>
  <c r="O164" i="178"/>
  <c r="O23" i="195" s="1"/>
  <c r="U164" i="178"/>
  <c r="U23" i="195" s="1"/>
  <c r="U59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P640" i="184"/>
  <c r="AC48" i="198" s="1"/>
  <c r="N564" i="184"/>
  <c r="S28" i="198" s="1"/>
  <c r="W639" i="184"/>
  <c r="AM48" i="198" s="1"/>
  <c r="AM119" i="198" s="1"/>
  <c r="W348" i="184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O567" i="184"/>
  <c r="AA28" i="198" s="1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T639" i="184"/>
  <c r="AJ48" i="198" s="1"/>
  <c r="AJ119" i="198" s="1"/>
  <c r="T348" i="184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P564" i="184"/>
  <c r="AC28" i="198" s="1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R607" i="184"/>
  <c r="AH39" i="198" s="1"/>
  <c r="R341" i="184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L141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O564" i="184"/>
  <c r="X28" i="198" s="1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P555" i="184"/>
  <c r="AF26" i="198" s="1"/>
  <c r="J182" i="178"/>
  <c r="N182" i="178"/>
  <c r="N675" i="184" s="1"/>
  <c r="M182" i="178"/>
  <c r="M675" i="184" s="1"/>
  <c r="K182" i="178"/>
  <c r="K675" i="184" s="1"/>
  <c r="L182" i="178"/>
  <c r="L675" i="184" s="1"/>
  <c r="Q564" i="184"/>
  <c r="AG28" i="198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O560" i="184"/>
  <c r="Z27" i="198" s="1"/>
  <c r="J666" i="184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N567" i="184"/>
  <c r="V28" i="198" s="1"/>
  <c r="P567" i="184"/>
  <c r="AF28" i="198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L555" i="184"/>
  <c r="P26" i="198" s="1"/>
  <c r="Q217" i="184"/>
  <c r="Q233" i="184" s="1"/>
  <c r="Q616" i="184"/>
  <c r="AG44" i="198" s="1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T607" i="184"/>
  <c r="AJ39" i="198" s="1"/>
  <c r="T214" i="184"/>
  <c r="T302" i="184" s="1"/>
  <c r="T306" i="184" s="1"/>
  <c r="T341" i="184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542" i="184"/>
  <c r="O24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N214" i="184"/>
  <c r="N302" i="184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64" i="184"/>
  <c r="J28" i="198" s="1"/>
  <c r="P540" i="184"/>
  <c r="AC24" i="198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R601" i="184"/>
  <c r="AH38" i="198" s="1"/>
  <c r="AH110" i="198" s="1"/>
  <c r="R340" i="184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O640" i="184"/>
  <c r="X48" i="198" s="1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L616" i="184"/>
  <c r="M44" i="198" s="1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O31" i="188"/>
  <c r="H49" i="186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Q23" i="187"/>
  <c r="Q27" i="190"/>
  <c r="AI112" i="198"/>
  <c r="AN112" i="198"/>
  <c r="AK112" i="198"/>
  <c r="AM112" i="198"/>
  <c r="AO112" i="198"/>
  <c r="AL112" i="198"/>
  <c r="J616" i="184" l="1"/>
  <c r="J44" i="198" s="1"/>
  <c r="S348" i="184"/>
  <c r="H199" i="178"/>
  <c r="X348" i="184"/>
  <c r="Y348" i="184"/>
  <c r="Y357" i="184" s="1"/>
  <c r="Y505" i="184" s="1"/>
  <c r="AO57" i="196" s="1"/>
  <c r="AO80" i="196" s="1"/>
  <c r="Q540" i="184"/>
  <c r="AG24" i="198" s="1"/>
  <c r="Q528" i="184"/>
  <c r="AG22" i="198" s="1"/>
  <c r="J199" i="184"/>
  <c r="J231" i="184" s="1"/>
  <c r="V639" i="184"/>
  <c r="AL48" i="198" s="1"/>
  <c r="AL119" i="198" s="1"/>
  <c r="AE112" i="198"/>
  <c r="T210" i="184"/>
  <c r="T254" i="184" s="1"/>
  <c r="T258" i="184" s="1"/>
  <c r="K210" i="184"/>
  <c r="K254" i="184" s="1"/>
  <c r="K258" i="184" s="1"/>
  <c r="Y112" i="198"/>
  <c r="R348" i="184"/>
  <c r="R357" i="184" s="1"/>
  <c r="R505" i="184" s="1"/>
  <c r="AH57" i="196" s="1"/>
  <c r="AH80" i="196" s="1"/>
  <c r="J308" i="184"/>
  <c r="U348" i="184"/>
  <c r="U357" i="184" s="1"/>
  <c r="U505" i="184" s="1"/>
  <c r="AK57" i="196" s="1"/>
  <c r="AK80" i="196" s="1"/>
  <c r="M210" i="184"/>
  <c r="M254" i="184" s="1"/>
  <c r="M258" i="184" s="1"/>
  <c r="J237" i="184"/>
  <c r="R337" i="184"/>
  <c r="R210" i="184"/>
  <c r="R254" i="184" s="1"/>
  <c r="R258" i="184" s="1"/>
  <c r="N306" i="184"/>
  <c r="T583" i="184"/>
  <c r="AJ35" i="198" s="1"/>
  <c r="Z112" i="198"/>
  <c r="AD112" i="198"/>
  <c r="J286" i="184"/>
  <c r="J188" i="186" s="1"/>
  <c r="P201" i="184"/>
  <c r="P253" i="184" s="1"/>
  <c r="N295" i="184"/>
  <c r="J45" i="55"/>
  <c r="N221" i="184"/>
  <c r="N281" i="184" s="1"/>
  <c r="N285" i="184" s="1"/>
  <c r="H58" i="181" a="1"/>
  <c r="H58" i="181" s="1"/>
  <c r="A4" i="181" s="1"/>
  <c r="N284" i="184"/>
  <c r="Q237" i="184"/>
  <c r="L217" i="184"/>
  <c r="L233" i="184" s="1"/>
  <c r="L237" i="184" s="1"/>
  <c r="L199" i="184"/>
  <c r="L231" i="184" s="1"/>
  <c r="N199" i="184"/>
  <c r="N231" i="184" s="1"/>
  <c r="M297" i="184"/>
  <c r="M189" i="186" s="1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K350" i="184"/>
  <c r="K72" i="197"/>
  <c r="K90" i="197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Q70" i="197"/>
  <c r="AG88" i="197" s="1"/>
  <c r="Q377" i="184"/>
  <c r="W551" i="184"/>
  <c r="AM26" i="198" s="1"/>
  <c r="AM99" i="198" s="1"/>
  <c r="W357" i="184"/>
  <c r="W505" i="184" s="1"/>
  <c r="AM57" i="196" s="1"/>
  <c r="AM80" i="196" s="1"/>
  <c r="J628" i="184"/>
  <c r="J46" i="198" s="1"/>
  <c r="J219" i="184"/>
  <c r="J255" i="184" s="1"/>
  <c r="J259" i="184" s="1"/>
  <c r="M61" i="197"/>
  <c r="Q79" i="197" s="1"/>
  <c r="M339" i="184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P437" i="184"/>
  <c r="P379" i="184"/>
  <c r="P466" i="184"/>
  <c r="P72" i="197"/>
  <c r="P408" i="184"/>
  <c r="P350" i="184"/>
  <c r="R589" i="184"/>
  <c r="AH36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59" i="197"/>
  <c r="AG77" i="197" s="1"/>
  <c r="Q366" i="184"/>
  <c r="K62" i="197"/>
  <c r="K80" i="197" s="1"/>
  <c r="K340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1" i="196" s="1"/>
  <c r="L622" i="184"/>
  <c r="M45" i="198" s="1"/>
  <c r="L218" i="184"/>
  <c r="L244" i="184" s="1"/>
  <c r="L248" i="184" s="1"/>
  <c r="L398" i="184"/>
  <c r="L456" i="184"/>
  <c r="L62" i="197"/>
  <c r="L369" i="184"/>
  <c r="L340" i="184"/>
  <c r="L427" i="184"/>
  <c r="P223" i="184"/>
  <c r="P303" i="184" s="1"/>
  <c r="P307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N59" i="197"/>
  <c r="N366" i="184"/>
  <c r="N424" i="184"/>
  <c r="N453" i="184"/>
  <c r="N395" i="184"/>
  <c r="N337" i="184"/>
  <c r="J670" i="184"/>
  <c r="H203" i="178"/>
  <c r="L530" i="184"/>
  <c r="O22" i="198" s="1"/>
  <c r="J376" i="184"/>
  <c r="J69" i="197"/>
  <c r="J87" i="197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N432" i="184"/>
  <c r="N461" i="184"/>
  <c r="N67" i="197"/>
  <c r="N345" i="184"/>
  <c r="N374" i="184"/>
  <c r="N403" i="184"/>
  <c r="K67" i="197"/>
  <c r="K85" i="197" s="1"/>
  <c r="K345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M57" i="197"/>
  <c r="Q75" i="197" s="1"/>
  <c r="M335" i="184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P70" i="197"/>
  <c r="P406" i="184"/>
  <c r="P377" i="184"/>
  <c r="P435" i="184"/>
  <c r="P464" i="184"/>
  <c r="P348" i="184"/>
  <c r="K589" i="184"/>
  <c r="K36" i="198" s="1"/>
  <c r="K211" i="184"/>
  <c r="M589" i="184"/>
  <c r="Q36" i="198" s="1"/>
  <c r="Q141" i="198" s="1"/>
  <c r="M211" i="184"/>
  <c r="Q61" i="197"/>
  <c r="AG79" i="197" s="1"/>
  <c r="Q368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1" i="196" s="1"/>
  <c r="O622" i="184"/>
  <c r="X45" i="198" s="1"/>
  <c r="O218" i="184"/>
  <c r="O244" i="184" s="1"/>
  <c r="O248" i="184" s="1"/>
  <c r="AA141" i="198"/>
  <c r="AA108" i="198"/>
  <c r="AA112" i="198" s="1"/>
  <c r="L63" i="197"/>
  <c r="L341" i="184"/>
  <c r="L370" i="184"/>
  <c r="L428" i="184"/>
  <c r="L399" i="184"/>
  <c r="L457" i="184"/>
  <c r="N652" i="184"/>
  <c r="S50" i="198" s="1"/>
  <c r="N223" i="184"/>
  <c r="N303" i="184" s="1"/>
  <c r="N307" i="184" s="1"/>
  <c r="O652" i="184"/>
  <c r="X50" i="198" s="1"/>
  <c r="O223" i="184"/>
  <c r="O303" i="184" s="1"/>
  <c r="O307" i="184" s="1"/>
  <c r="N552" i="184"/>
  <c r="S26" i="198" s="1"/>
  <c r="N203" i="184"/>
  <c r="N279" i="184" s="1"/>
  <c r="Y202" i="184"/>
  <c r="Y545" i="184"/>
  <c r="AO25" i="198" s="1"/>
  <c r="AO140" i="198" s="1"/>
  <c r="N367" i="184"/>
  <c r="N425" i="184"/>
  <c r="N60" i="197"/>
  <c r="N454" i="184"/>
  <c r="N338" i="184"/>
  <c r="N396" i="184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258" i="184" s="1"/>
  <c r="J584" i="184"/>
  <c r="J35" i="198" s="1"/>
  <c r="L572" i="184"/>
  <c r="M33" i="198" s="1"/>
  <c r="L208" i="184"/>
  <c r="L232" i="184" s="1"/>
  <c r="L236" i="184" s="1"/>
  <c r="T577" i="184"/>
  <c r="AJ34" i="198" s="1"/>
  <c r="T209" i="184"/>
  <c r="T243" i="184" s="1"/>
  <c r="T247" i="184" s="1"/>
  <c r="T336" i="184"/>
  <c r="T354" i="184" s="1"/>
  <c r="T487" i="184" s="1"/>
  <c r="AJ54" i="196" s="1"/>
  <c r="W557" i="184"/>
  <c r="AM27" i="198" s="1"/>
  <c r="AM100" i="198" s="1"/>
  <c r="O546" i="184"/>
  <c r="X25" i="198" s="1"/>
  <c r="O202" i="184"/>
  <c r="N462" i="184"/>
  <c r="N404" i="184"/>
  <c r="N346" i="184"/>
  <c r="N375" i="184"/>
  <c r="N433" i="184"/>
  <c r="N68" i="197"/>
  <c r="L584" i="184"/>
  <c r="M35" i="198" s="1"/>
  <c r="L210" i="184"/>
  <c r="L254" i="184" s="1"/>
  <c r="L258" i="184" s="1"/>
  <c r="P566" i="184"/>
  <c r="AE28" i="198" s="1"/>
  <c r="K71" i="197"/>
  <c r="K89" i="197" s="1"/>
  <c r="K349" i="184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M247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S551" i="184"/>
  <c r="AI26" i="198" s="1"/>
  <c r="AI99" i="198" s="1"/>
  <c r="S357" i="184"/>
  <c r="S505" i="184" s="1"/>
  <c r="AI57" i="196" s="1"/>
  <c r="AI80" i="196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P373" i="184"/>
  <c r="P431" i="184"/>
  <c r="P460" i="184"/>
  <c r="P344" i="184"/>
  <c r="P66" i="197"/>
  <c r="P402" i="184"/>
  <c r="W633" i="184"/>
  <c r="AM47" i="198" s="1"/>
  <c r="W347" i="184"/>
  <c r="W356" i="184" s="1"/>
  <c r="W499" i="184" s="1"/>
  <c r="AM56" i="196" s="1"/>
  <c r="R220" i="184"/>
  <c r="R633" i="184"/>
  <c r="AH47" i="198" s="1"/>
  <c r="R347" i="184"/>
  <c r="Q365" i="184"/>
  <c r="Q58" i="197"/>
  <c r="AG76" i="197" s="1"/>
  <c r="K339" i="184"/>
  <c r="K61" i="197"/>
  <c r="K79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1" i="196" s="1"/>
  <c r="Q622" i="184"/>
  <c r="AG45" i="198" s="1"/>
  <c r="Q218" i="184"/>
  <c r="Q244" i="184" s="1"/>
  <c r="Q248" i="184" s="1"/>
  <c r="L455" i="184"/>
  <c r="L61" i="197"/>
  <c r="L426" i="184"/>
  <c r="L339" i="184"/>
  <c r="L397" i="184"/>
  <c r="L368" i="184"/>
  <c r="L286" i="184"/>
  <c r="L188" i="186" s="1"/>
  <c r="L201" i="184"/>
  <c r="L253" i="184" s="1"/>
  <c r="W545" i="184"/>
  <c r="AM25" i="198" s="1"/>
  <c r="AM140" i="198" s="1"/>
  <c r="W202" i="184"/>
  <c r="N545" i="184"/>
  <c r="R25" i="198" s="1"/>
  <c r="S651" i="184"/>
  <c r="AI50" i="198" s="1"/>
  <c r="S350" i="184"/>
  <c r="S359" i="184" s="1"/>
  <c r="S517" i="184" s="1"/>
  <c r="AI59" i="196" s="1"/>
  <c r="N340" i="184"/>
  <c r="N369" i="184"/>
  <c r="N427" i="184"/>
  <c r="N62" i="197"/>
  <c r="N456" i="184"/>
  <c r="N398" i="184"/>
  <c r="P530" i="184"/>
  <c r="AE22" i="198" s="1"/>
  <c r="J68" i="197"/>
  <c r="J86" i="197" s="1"/>
  <c r="J375" i="184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9" i="197"/>
  <c r="J77" i="197" s="1"/>
  <c r="J366" i="184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375" i="184"/>
  <c r="O68" i="197"/>
  <c r="O404" i="184"/>
  <c r="O346" i="184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26" i="184"/>
  <c r="P61" i="197"/>
  <c r="P339" i="184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X357" i="184"/>
  <c r="X505" i="184" s="1"/>
  <c r="AN57" i="196" s="1"/>
  <c r="AN80" i="196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O237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220" i="184"/>
  <c r="Q308" i="184"/>
  <c r="K341" i="184"/>
  <c r="K63" i="197"/>
  <c r="K81" i="197" s="1"/>
  <c r="K57" i="197"/>
  <c r="K75" i="197" s="1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1" i="196" s="1"/>
  <c r="N218" i="184"/>
  <c r="N244" i="184" s="1"/>
  <c r="N248" i="184" s="1"/>
  <c r="N622" i="184"/>
  <c r="S45" i="198" s="1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423" i="184"/>
  <c r="N58" i="197"/>
  <c r="N452" i="184"/>
  <c r="N394" i="184"/>
  <c r="N336" i="184"/>
  <c r="N365" i="184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Q69" i="197"/>
  <c r="AG87" i="197" s="1"/>
  <c r="Q376" i="184"/>
  <c r="L628" i="184"/>
  <c r="M46" i="198" s="1"/>
  <c r="L219" i="184"/>
  <c r="L255" i="184" s="1"/>
  <c r="L259" i="184" s="1"/>
  <c r="M60" i="197"/>
  <c r="Q78" i="197" s="1"/>
  <c r="M338" i="184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67" i="197"/>
  <c r="Q85" i="197" s="1"/>
  <c r="M345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AJ142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1" i="196" s="1"/>
  <c r="P622" i="184"/>
  <c r="AC45" i="198" s="1"/>
  <c r="P218" i="184"/>
  <c r="P244" i="184" s="1"/>
  <c r="P248" i="184" s="1"/>
  <c r="L308" i="184"/>
  <c r="P543" i="184"/>
  <c r="AF24" i="198" s="1"/>
  <c r="O536" i="184"/>
  <c r="Z23" i="198" s="1"/>
  <c r="P545" i="184"/>
  <c r="AB25" i="198" s="1"/>
  <c r="L545" i="184"/>
  <c r="L25" i="198" s="1"/>
  <c r="U651" i="184"/>
  <c r="AK50" i="198" s="1"/>
  <c r="AK121" i="198" s="1"/>
  <c r="U350" i="184"/>
  <c r="U359" i="184" s="1"/>
  <c r="U517" i="184" s="1"/>
  <c r="AK59" i="196" s="1"/>
  <c r="J70" i="197"/>
  <c r="J88" i="197" s="1"/>
  <c r="J377" i="184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N434" i="184"/>
  <c r="N463" i="184"/>
  <c r="N405" i="184"/>
  <c r="N347" i="184"/>
  <c r="N69" i="197"/>
  <c r="N376" i="184"/>
  <c r="K70" i="197"/>
  <c r="K88" i="197" s="1"/>
  <c r="K348" i="184"/>
  <c r="O547" i="184"/>
  <c r="Y25" i="198" s="1"/>
  <c r="J61" i="197"/>
  <c r="J79" i="197" s="1"/>
  <c r="J368" i="184"/>
  <c r="O348" i="184"/>
  <c r="O70" i="197"/>
  <c r="O406" i="184"/>
  <c r="O377" i="184"/>
  <c r="O435" i="184"/>
  <c r="O464" i="184"/>
  <c r="N572" i="184"/>
  <c r="S33" i="198" s="1"/>
  <c r="N208" i="184"/>
  <c r="N232" i="184" s="1"/>
  <c r="N236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J367" i="184"/>
  <c r="N584" i="184"/>
  <c r="S35" i="198" s="1"/>
  <c r="N210" i="184"/>
  <c r="N254" i="184" s="1"/>
  <c r="N258" i="184" s="1"/>
  <c r="O66" i="197"/>
  <c r="O402" i="184"/>
  <c r="O373" i="184"/>
  <c r="O431" i="184"/>
  <c r="O460" i="184"/>
  <c r="O344" i="184"/>
  <c r="J208" i="184"/>
  <c r="J232" i="184" s="1"/>
  <c r="J236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M308" i="184"/>
  <c r="M286" i="184"/>
  <c r="M188" i="186" s="1"/>
  <c r="L435" i="184"/>
  <c r="L377" i="184"/>
  <c r="L70" i="197"/>
  <c r="L406" i="184"/>
  <c r="L464" i="184"/>
  <c r="L348" i="184"/>
  <c r="M70" i="197"/>
  <c r="Q88" i="197" s="1"/>
  <c r="M348" i="184"/>
  <c r="O396" i="184"/>
  <c r="O367" i="184"/>
  <c r="O425" i="184"/>
  <c r="O454" i="184"/>
  <c r="O338" i="184"/>
  <c r="O60" i="197"/>
  <c r="O58" i="197"/>
  <c r="O394" i="184"/>
  <c r="O336" i="184"/>
  <c r="O423" i="184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P433" i="184"/>
  <c r="P375" i="184"/>
  <c r="P462" i="184"/>
  <c r="P68" i="197"/>
  <c r="P404" i="184"/>
  <c r="P346" i="184"/>
  <c r="S633" i="184"/>
  <c r="AI47" i="198" s="1"/>
  <c r="S220" i="184"/>
  <c r="S347" i="184"/>
  <c r="S356" i="184" s="1"/>
  <c r="S499" i="184" s="1"/>
  <c r="AI56" i="196" s="1"/>
  <c r="Q286" i="184"/>
  <c r="Q188" i="186" s="1"/>
  <c r="K286" i="184"/>
  <c r="K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1" i="196" s="1"/>
  <c r="W645" i="184"/>
  <c r="AM49" i="198" s="1"/>
  <c r="AM120" i="198" s="1"/>
  <c r="W349" i="184"/>
  <c r="W358" i="184" s="1"/>
  <c r="W511" i="184" s="1"/>
  <c r="AM58" i="196" s="1"/>
  <c r="AM81" i="196" s="1"/>
  <c r="P205" i="184"/>
  <c r="P301" i="184" s="1"/>
  <c r="AF141" i="198"/>
  <c r="AF108" i="198"/>
  <c r="AF112" i="198" s="1"/>
  <c r="L297" i="184"/>
  <c r="L189" i="186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R359" i="184" s="1"/>
  <c r="R517" i="184" s="1"/>
  <c r="AH59" i="196" s="1"/>
  <c r="O530" i="184"/>
  <c r="Z22" i="198" s="1"/>
  <c r="J378" i="184"/>
  <c r="J71" i="197"/>
  <c r="J89" i="197" s="1"/>
  <c r="J374" i="184"/>
  <c r="J67" i="197"/>
  <c r="J85" i="197" s="1"/>
  <c r="P221" i="184"/>
  <c r="P281" i="184" s="1"/>
  <c r="P285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378" i="184"/>
  <c r="L71" i="197"/>
  <c r="M66" i="197"/>
  <c r="Q84" i="197" s="1"/>
  <c r="M344" i="184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P71" i="197"/>
  <c r="P349" i="184"/>
  <c r="P465" i="184"/>
  <c r="P378" i="184"/>
  <c r="P407" i="184"/>
  <c r="P436" i="184"/>
  <c r="P69" i="197"/>
  <c r="P463" i="184"/>
  <c r="P405" i="184"/>
  <c r="P347" i="184"/>
  <c r="P376" i="184"/>
  <c r="P434" i="184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K308" i="184"/>
  <c r="K297" i="184"/>
  <c r="K189" i="186" s="1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248" i="184" s="1"/>
  <c r="J622" i="184"/>
  <c r="J45" i="198" s="1"/>
  <c r="L58" i="197"/>
  <c r="L452" i="184"/>
  <c r="L394" i="184"/>
  <c r="L423" i="184"/>
  <c r="L336" i="184"/>
  <c r="L365" i="184"/>
  <c r="L60" i="197"/>
  <c r="L338" i="184"/>
  <c r="L396" i="184"/>
  <c r="L454" i="184"/>
  <c r="L367" i="184"/>
  <c r="L425" i="184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455" i="184"/>
  <c r="N368" i="184"/>
  <c r="N397" i="184"/>
  <c r="N339" i="184"/>
  <c r="N61" i="197"/>
  <c r="N426" i="184"/>
  <c r="J297" i="184"/>
  <c r="J189" i="186" s="1"/>
  <c r="J72" i="197"/>
  <c r="J90" i="197" s="1"/>
  <c r="J379" i="184"/>
  <c r="N541" i="184"/>
  <c r="T24" i="198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O259" i="184" s="1"/>
  <c r="P628" i="184"/>
  <c r="AC46" i="198" s="1"/>
  <c r="P219" i="184"/>
  <c r="P255" i="184" s="1"/>
  <c r="P259" i="184" s="1"/>
  <c r="M341" i="184"/>
  <c r="M63" i="197"/>
  <c r="Q81" i="197" s="1"/>
  <c r="N435" i="184"/>
  <c r="N70" i="197"/>
  <c r="N464" i="184"/>
  <c r="N348" i="184"/>
  <c r="N406" i="184"/>
  <c r="N377" i="184"/>
  <c r="K68" i="197"/>
  <c r="K86" i="197" s="1"/>
  <c r="K346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80" i="196" s="1"/>
  <c r="T551" i="184"/>
  <c r="AJ26" i="198" s="1"/>
  <c r="AJ99" i="198" s="1"/>
  <c r="T357" i="184"/>
  <c r="T505" i="184" s="1"/>
  <c r="AJ57" i="196" s="1"/>
  <c r="AJ80" i="196" s="1"/>
  <c r="M59" i="197"/>
  <c r="Q77" i="197" s="1"/>
  <c r="M337" i="184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63" i="197"/>
  <c r="O428" i="184"/>
  <c r="O457" i="184"/>
  <c r="O370" i="184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P461" i="184"/>
  <c r="P374" i="184"/>
  <c r="P403" i="184"/>
  <c r="P432" i="184"/>
  <c r="P67" i="197"/>
  <c r="P345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K337" i="184"/>
  <c r="K59" i="197"/>
  <c r="K77" i="197" s="1"/>
  <c r="K60" i="197"/>
  <c r="K78" i="197" s="1"/>
  <c r="K338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1" i="196" s="1"/>
  <c r="L337" i="184"/>
  <c r="L59" i="197"/>
  <c r="L395" i="184"/>
  <c r="L366" i="184"/>
  <c r="L453" i="184"/>
  <c r="L424" i="184"/>
  <c r="L57" i="197"/>
  <c r="L422" i="184"/>
  <c r="L335" i="184"/>
  <c r="L393" i="184"/>
  <c r="L364" i="184"/>
  <c r="L451" i="184"/>
  <c r="N543" i="184"/>
  <c r="V24" i="198" s="1"/>
  <c r="O552" i="184"/>
  <c r="X26" i="198" s="1"/>
  <c r="O203" i="184"/>
  <c r="O279" i="184" s="1"/>
  <c r="S545" i="184"/>
  <c r="AI25" i="198" s="1"/>
  <c r="S202" i="184"/>
  <c r="N399" i="184"/>
  <c r="N341" i="184"/>
  <c r="N63" i="197"/>
  <c r="N370" i="184"/>
  <c r="N428" i="184"/>
  <c r="N457" i="184"/>
  <c r="N393" i="184"/>
  <c r="N451" i="184"/>
  <c r="N57" i="197"/>
  <c r="N422" i="184"/>
  <c r="N335" i="184"/>
  <c r="N364" i="184"/>
  <c r="K627" i="184"/>
  <c r="K46" i="198" s="1"/>
  <c r="K219" i="184"/>
  <c r="K255" i="184" s="1"/>
  <c r="K259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O355" i="184" l="1"/>
  <c r="O493" i="184" s="1"/>
  <c r="W55" i="196" s="1"/>
  <c r="P353" i="184"/>
  <c r="P481" i="184" s="1"/>
  <c r="AB53" i="196" s="1"/>
  <c r="O413" i="184"/>
  <c r="O495" i="184" s="1"/>
  <c r="Y55" i="196" s="1"/>
  <c r="O356" i="184"/>
  <c r="O499" i="184" s="1"/>
  <c r="W56" i="196" s="1"/>
  <c r="N472" i="184"/>
  <c r="N503" i="184" s="1"/>
  <c r="V56" i="196" s="1"/>
  <c r="O286" i="184"/>
  <c r="O188" i="186" s="1"/>
  <c r="L357" i="184"/>
  <c r="L505" i="184" s="1"/>
  <c r="L57" i="196" s="1"/>
  <c r="N355" i="184"/>
  <c r="N493" i="184" s="1"/>
  <c r="R55" i="196" s="1"/>
  <c r="K238" i="184"/>
  <c r="K56" i="186" s="1"/>
  <c r="O440" i="184"/>
  <c r="O484" i="184" s="1"/>
  <c r="Z53" i="196" s="1"/>
  <c r="P415" i="184"/>
  <c r="P507" i="184" s="1"/>
  <c r="AD57" i="196" s="1"/>
  <c r="N413" i="184"/>
  <c r="N495" i="184" s="1"/>
  <c r="T55" i="196" s="1"/>
  <c r="O441" i="184"/>
  <c r="O490" i="184" s="1"/>
  <c r="Z54" i="196" s="1"/>
  <c r="O471" i="184"/>
  <c r="O497" i="184" s="1"/>
  <c r="AA55" i="196" s="1"/>
  <c r="J43" i="55"/>
  <c r="O446" i="184"/>
  <c r="O520" i="184" s="1"/>
  <c r="Z59" i="196" s="1"/>
  <c r="L444" i="184"/>
  <c r="L508" i="184" s="1"/>
  <c r="O57" i="196" s="1"/>
  <c r="N441" i="184"/>
  <c r="N490" i="184" s="1"/>
  <c r="U54" i="196" s="1"/>
  <c r="J383" i="184"/>
  <c r="J488" i="184" s="1"/>
  <c r="J54" i="196" s="1"/>
  <c r="M357" i="184"/>
  <c r="M505" i="184" s="1"/>
  <c r="Q57" i="196" s="1"/>
  <c r="P441" i="184"/>
  <c r="P490" i="184" s="1"/>
  <c r="AE54" i="196" s="1"/>
  <c r="O359" i="184"/>
  <c r="O517" i="184" s="1"/>
  <c r="W59" i="196" s="1"/>
  <c r="M191" i="186"/>
  <c r="M192" i="186" s="1"/>
  <c r="M258" i="186" s="1"/>
  <c r="L474" i="184"/>
  <c r="L515" i="184" s="1"/>
  <c r="P58" i="196" s="1"/>
  <c r="L472" i="184"/>
  <c r="L503" i="184" s="1"/>
  <c r="P56" i="196" s="1"/>
  <c r="P120" i="196" s="1"/>
  <c r="P132" i="196" s="1"/>
  <c r="O414" i="184"/>
  <c r="O501" i="184" s="1"/>
  <c r="Y56" i="196" s="1"/>
  <c r="Y154" i="196" s="1"/>
  <c r="L442" i="184"/>
  <c r="L496" i="184" s="1"/>
  <c r="O55" i="196" s="1"/>
  <c r="J238" i="184"/>
  <c r="J56" i="186" s="1"/>
  <c r="P446" i="184"/>
  <c r="P520" i="184" s="1"/>
  <c r="AE59" i="196" s="1"/>
  <c r="N354" i="184"/>
  <c r="N487" i="184" s="1"/>
  <c r="R54" i="196" s="1"/>
  <c r="K358" i="184"/>
  <c r="K511" i="184" s="1"/>
  <c r="K58" i="196" s="1"/>
  <c r="L471" i="184"/>
  <c r="L497" i="184" s="1"/>
  <c r="P55" i="196" s="1"/>
  <c r="O388" i="184"/>
  <c r="O518" i="184" s="1"/>
  <c r="X59" i="196" s="1"/>
  <c r="L443" i="184"/>
  <c r="L502" i="184" s="1"/>
  <c r="O56" i="196" s="1"/>
  <c r="O154" i="196" s="1"/>
  <c r="N470" i="184"/>
  <c r="N491" i="184" s="1"/>
  <c r="V54" i="196" s="1"/>
  <c r="L249" i="184"/>
  <c r="L57" i="186" s="1"/>
  <c r="M359" i="184"/>
  <c r="M517" i="184" s="1"/>
  <c r="Q59" i="196" s="1"/>
  <c r="Q383" i="184"/>
  <c r="Q488" i="184" s="1"/>
  <c r="AG54" i="196" s="1"/>
  <c r="L411" i="184"/>
  <c r="L483" i="184" s="1"/>
  <c r="N53" i="196" s="1"/>
  <c r="P357" i="184"/>
  <c r="P505" i="184" s="1"/>
  <c r="AB57" i="196" s="1"/>
  <c r="K357" i="184"/>
  <c r="K505" i="184" s="1"/>
  <c r="K57" i="196" s="1"/>
  <c r="M353" i="184"/>
  <c r="M481" i="184" s="1"/>
  <c r="Q53" i="196" s="1"/>
  <c r="R355" i="184"/>
  <c r="R493" i="184" s="1"/>
  <c r="AH55" i="196" s="1"/>
  <c r="L355" i="184"/>
  <c r="L493" i="184" s="1"/>
  <c r="L55" i="196" s="1"/>
  <c r="P308" i="184"/>
  <c r="K359" i="184"/>
  <c r="K517" i="184" s="1"/>
  <c r="K59" i="196" s="1"/>
  <c r="P386" i="184"/>
  <c r="P506" i="184" s="1"/>
  <c r="AC57" i="196" s="1"/>
  <c r="Q387" i="184"/>
  <c r="Q512" i="184" s="1"/>
  <c r="AG58" i="196" s="1"/>
  <c r="O354" i="184"/>
  <c r="O487" i="184" s="1"/>
  <c r="W54" i="196" s="1"/>
  <c r="O474" i="184"/>
  <c r="O515" i="184" s="1"/>
  <c r="AA58" i="196" s="1"/>
  <c r="S260" i="184"/>
  <c r="S58" i="186" s="1"/>
  <c r="N411" i="184"/>
  <c r="N483" i="184" s="1"/>
  <c r="T53" i="196" s="1"/>
  <c r="P388" i="184"/>
  <c r="P518" i="184" s="1"/>
  <c r="AC59" i="196" s="1"/>
  <c r="K354" i="184"/>
  <c r="K487" i="184" s="1"/>
  <c r="K54" i="196" s="1"/>
  <c r="N353" i="184"/>
  <c r="N481" i="184" s="1"/>
  <c r="R53" i="196" s="1"/>
  <c r="Q191" i="186"/>
  <c r="Q192" i="186" s="1"/>
  <c r="N414" i="184"/>
  <c r="N501" i="184" s="1"/>
  <c r="T56" i="196" s="1"/>
  <c r="L382" i="184"/>
  <c r="L482" i="184" s="1"/>
  <c r="M53" i="196" s="1"/>
  <c r="L356" i="184"/>
  <c r="L499" i="184" s="1"/>
  <c r="L56" i="196" s="1"/>
  <c r="L387" i="184"/>
  <c r="L512" i="184" s="1"/>
  <c r="M58" i="196" s="1"/>
  <c r="P359" i="184"/>
  <c r="P517" i="184" s="1"/>
  <c r="AB59" i="196" s="1"/>
  <c r="P473" i="184"/>
  <c r="P509" i="184" s="1"/>
  <c r="AF57" i="196" s="1"/>
  <c r="P238" i="184"/>
  <c r="P56" i="186" s="1"/>
  <c r="O417" i="184"/>
  <c r="O519" i="184" s="1"/>
  <c r="Y59" i="196" s="1"/>
  <c r="P260" i="184"/>
  <c r="P58" i="186" s="1"/>
  <c r="O383" i="184"/>
  <c r="O488" i="184" s="1"/>
  <c r="X54" i="196" s="1"/>
  <c r="O472" i="184"/>
  <c r="O503" i="184" s="1"/>
  <c r="AA56" i="196" s="1"/>
  <c r="AA154" i="196" s="1"/>
  <c r="P355" i="184"/>
  <c r="P493" i="184" s="1"/>
  <c r="AB55" i="196" s="1"/>
  <c r="V260" i="184"/>
  <c r="V58" i="186" s="1"/>
  <c r="J191" i="186"/>
  <c r="J192" i="186" s="1"/>
  <c r="P471" i="184"/>
  <c r="P497" i="184" s="1"/>
  <c r="AF55" i="196" s="1"/>
  <c r="O470" i="184"/>
  <c r="O491" i="184" s="1"/>
  <c r="AA54" i="196" s="1"/>
  <c r="Q238" i="184"/>
  <c r="Q31" i="185" s="1"/>
  <c r="O445" i="184"/>
  <c r="O514" i="184" s="1"/>
  <c r="Z58" i="196" s="1"/>
  <c r="Q382" i="184"/>
  <c r="Q482" i="184" s="1"/>
  <c r="AG53" i="196" s="1"/>
  <c r="L358" i="184"/>
  <c r="L511" i="184" s="1"/>
  <c r="L58" i="196" s="1"/>
  <c r="P417" i="184"/>
  <c r="P519" i="184" s="1"/>
  <c r="AD59" i="196" s="1"/>
  <c r="N385" i="184"/>
  <c r="N500" i="184" s="1"/>
  <c r="S56" i="196" s="1"/>
  <c r="O385" i="184"/>
  <c r="O500" i="184" s="1"/>
  <c r="X56" i="196" s="1"/>
  <c r="X154" i="196" s="1"/>
  <c r="L386" i="184"/>
  <c r="L506" i="184" s="1"/>
  <c r="M57" i="196" s="1"/>
  <c r="O386" i="184"/>
  <c r="O506" i="184" s="1"/>
  <c r="X57" i="196" s="1"/>
  <c r="N356" i="184"/>
  <c r="N499" i="184" s="1"/>
  <c r="R56" i="196" s="1"/>
  <c r="R249" i="184"/>
  <c r="R32" i="185" s="1"/>
  <c r="L414" i="184"/>
  <c r="L501" i="184" s="1"/>
  <c r="N56" i="196" s="1"/>
  <c r="N154" i="196" s="1"/>
  <c r="P354" i="184"/>
  <c r="P487" i="184" s="1"/>
  <c r="AB54" i="196" s="1"/>
  <c r="J385" i="184"/>
  <c r="J500" i="184" s="1"/>
  <c r="J56" i="196" s="1"/>
  <c r="J122" i="196" s="1"/>
  <c r="J134" i="196" s="1"/>
  <c r="N383" i="184"/>
  <c r="N488" i="184" s="1"/>
  <c r="S54" i="196" s="1"/>
  <c r="L238" i="184"/>
  <c r="L31" i="185" s="1"/>
  <c r="AO165" i="196"/>
  <c r="AI165" i="196"/>
  <c r="N685" i="184"/>
  <c r="L353" i="184"/>
  <c r="L481" i="184" s="1"/>
  <c r="L53" i="196" s="1"/>
  <c r="J680" i="184"/>
  <c r="K355" i="184"/>
  <c r="K493" i="184" s="1"/>
  <c r="K55" i="196" s="1"/>
  <c r="P440" i="184"/>
  <c r="P484" i="184" s="1"/>
  <c r="AE53" i="196" s="1"/>
  <c r="P286" i="184"/>
  <c r="P188" i="186" s="1"/>
  <c r="L440" i="184"/>
  <c r="L484" i="184" s="1"/>
  <c r="O53" i="196" s="1"/>
  <c r="N387" i="184"/>
  <c r="N512" i="184" s="1"/>
  <c r="S58" i="196" s="1"/>
  <c r="N446" i="184"/>
  <c r="N520" i="184" s="1"/>
  <c r="U59" i="196" s="1"/>
  <c r="P249" i="184"/>
  <c r="P57" i="186" s="1"/>
  <c r="O387" i="184"/>
  <c r="O512" i="184" s="1"/>
  <c r="X58" i="196" s="1"/>
  <c r="N412" i="184"/>
  <c r="N489" i="184" s="1"/>
  <c r="T54" i="196" s="1"/>
  <c r="N416" i="184"/>
  <c r="N513" i="184" s="1"/>
  <c r="T58" i="196" s="1"/>
  <c r="J387" i="184"/>
  <c r="J512" i="184" s="1"/>
  <c r="J58" i="196" s="1"/>
  <c r="Q386" i="184"/>
  <c r="Q506" i="184" s="1"/>
  <c r="AG57" i="196" s="1"/>
  <c r="Q260" i="184"/>
  <c r="Q58" i="186" s="1"/>
  <c r="L685" i="184"/>
  <c r="O358" i="184"/>
  <c r="O511" i="184" s="1"/>
  <c r="W58" i="196" s="1"/>
  <c r="Q385" i="184"/>
  <c r="Q500" i="184" s="1"/>
  <c r="AG56" i="196" s="1"/>
  <c r="AG120" i="196" s="1"/>
  <c r="AG132" i="196" s="1"/>
  <c r="L383" i="184"/>
  <c r="L488" i="184" s="1"/>
  <c r="M54" i="196" s="1"/>
  <c r="N444" i="184"/>
  <c r="N508" i="184" s="1"/>
  <c r="U57" i="196" s="1"/>
  <c r="O444" i="184"/>
  <c r="O508" i="184" s="1"/>
  <c r="Z57" i="196" s="1"/>
  <c r="M356" i="184"/>
  <c r="M499" i="184" s="1"/>
  <c r="Q56" i="196" s="1"/>
  <c r="T308" i="184"/>
  <c r="M355" i="184"/>
  <c r="M493" i="184" s="1"/>
  <c r="Q55" i="196" s="1"/>
  <c r="N357" i="184"/>
  <c r="N505" i="184" s="1"/>
  <c r="R57" i="196" s="1"/>
  <c r="N238" i="184"/>
  <c r="N56" i="186" s="1"/>
  <c r="J386" i="184"/>
  <c r="J506" i="184" s="1"/>
  <c r="J57" i="196" s="1"/>
  <c r="K353" i="184"/>
  <c r="K481" i="184" s="1"/>
  <c r="K53" i="196" s="1"/>
  <c r="N358" i="184"/>
  <c r="N511" i="184" s="1"/>
  <c r="R58" i="196" s="1"/>
  <c r="L354" i="184"/>
  <c r="L487" i="184" s="1"/>
  <c r="L54" i="196" s="1"/>
  <c r="V238" i="184"/>
  <c r="V31" i="185" s="1"/>
  <c r="O412" i="184"/>
  <c r="O489" i="184" s="1"/>
  <c r="Y54" i="196" s="1"/>
  <c r="O260" i="184"/>
  <c r="O33" i="185" s="1"/>
  <c r="R238" i="184"/>
  <c r="R31" i="185" s="1"/>
  <c r="P416" i="184"/>
  <c r="P513" i="184" s="1"/>
  <c r="AD58" i="196" s="1"/>
  <c r="S249" i="184"/>
  <c r="S32" i="185" s="1"/>
  <c r="P443" i="184"/>
  <c r="P502" i="184" s="1"/>
  <c r="AE56" i="196" s="1"/>
  <c r="AE154" i="196" s="1"/>
  <c r="N474" i="184"/>
  <c r="N515" i="184" s="1"/>
  <c r="V58" i="196" s="1"/>
  <c r="L475" i="184"/>
  <c r="L521" i="184" s="1"/>
  <c r="P59" i="196" s="1"/>
  <c r="V249" i="184"/>
  <c r="L441" i="184"/>
  <c r="L490" i="184" s="1"/>
  <c r="O54" i="196" s="1"/>
  <c r="T353" i="184"/>
  <c r="T481" i="184" s="1"/>
  <c r="AJ53" i="196" s="1"/>
  <c r="AJ165" i="196" s="1"/>
  <c r="P356" i="184"/>
  <c r="P499" i="184" s="1"/>
  <c r="AB56" i="196" s="1"/>
  <c r="P469" i="184"/>
  <c r="P485" i="184" s="1"/>
  <c r="AF53" i="196" s="1"/>
  <c r="J260" i="184"/>
  <c r="J33" i="185" s="1"/>
  <c r="L469" i="184"/>
  <c r="L485" i="184" s="1"/>
  <c r="P53" i="196" s="1"/>
  <c r="L384" i="184"/>
  <c r="L494" i="184" s="1"/>
  <c r="M55" i="196" s="1"/>
  <c r="T356" i="184"/>
  <c r="T499" i="184" s="1"/>
  <c r="AJ56" i="196" s="1"/>
  <c r="L385" i="184"/>
  <c r="L500" i="184" s="1"/>
  <c r="M56" i="196" s="1"/>
  <c r="L412" i="184"/>
  <c r="L489" i="184" s="1"/>
  <c r="N54" i="196" s="1"/>
  <c r="O238" i="184"/>
  <c r="O56" i="186" s="1"/>
  <c r="L445" i="184"/>
  <c r="L514" i="184" s="1"/>
  <c r="O58" i="196" s="1"/>
  <c r="O469" i="184"/>
  <c r="O485" i="184" s="1"/>
  <c r="AA53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P474" i="184"/>
  <c r="P515" i="184" s="1"/>
  <c r="AF58" i="196" s="1"/>
  <c r="P444" i="184"/>
  <c r="P508" i="184" s="1"/>
  <c r="AE57" i="196" s="1"/>
  <c r="M685" i="184"/>
  <c r="P411" i="184"/>
  <c r="P483" i="184" s="1"/>
  <c r="AD53" i="196" s="1"/>
  <c r="P413" i="184"/>
  <c r="P495" i="184" s="1"/>
  <c r="AD55" i="196" s="1"/>
  <c r="J682" i="184"/>
  <c r="N469" i="184"/>
  <c r="N485" i="184" s="1"/>
  <c r="V53" i="196" s="1"/>
  <c r="O475" i="184"/>
  <c r="O521" i="184" s="1"/>
  <c r="AA59" i="196" s="1"/>
  <c r="N260" i="184"/>
  <c r="N33" i="185" s="1"/>
  <c r="O357" i="184"/>
  <c r="O505" i="184" s="1"/>
  <c r="W57" i="196" s="1"/>
  <c r="R354" i="184"/>
  <c r="R487" i="184" s="1"/>
  <c r="AH54" i="196" s="1"/>
  <c r="L359" i="184"/>
  <c r="L517" i="184" s="1"/>
  <c r="L59" i="196" s="1"/>
  <c r="P412" i="184"/>
  <c r="P489" i="184" s="1"/>
  <c r="AD54" i="196" s="1"/>
  <c r="S238" i="184"/>
  <c r="S56" i="186" s="1"/>
  <c r="N471" i="184"/>
  <c r="N497" i="184" s="1"/>
  <c r="V55" i="196" s="1"/>
  <c r="R353" i="184"/>
  <c r="R481" i="184" s="1"/>
  <c r="AH53" i="196" s="1"/>
  <c r="N308" i="184"/>
  <c r="N249" i="184"/>
  <c r="N57" i="186" s="1"/>
  <c r="O384" i="184"/>
  <c r="O494" i="184" s="1"/>
  <c r="X55" i="196" s="1"/>
  <c r="AL165" i="196"/>
  <c r="M358" i="184"/>
  <c r="M511" i="184" s="1"/>
  <c r="Q58" i="196" s="1"/>
  <c r="V154" i="196"/>
  <c r="AM165" i="196"/>
  <c r="W81" i="197"/>
  <c r="Z81" i="197"/>
  <c r="AA81" i="197"/>
  <c r="Y81" i="197"/>
  <c r="X81" i="197"/>
  <c r="Q270" i="184"/>
  <c r="Q274" i="184" s="1"/>
  <c r="Q22" i="195"/>
  <c r="U81" i="197"/>
  <c r="V81" i="197"/>
  <c r="R81" i="197"/>
  <c r="T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C89" i="197"/>
  <c r="AF89" i="197"/>
  <c r="AD89" i="197"/>
  <c r="AE89" i="197"/>
  <c r="AB89" i="197"/>
  <c r="Q249" i="184"/>
  <c r="X20" i="195"/>
  <c r="X268" i="184"/>
  <c r="O443" i="184"/>
  <c r="O502" i="184" s="1"/>
  <c r="Z56" i="196" s="1"/>
  <c r="Z154" i="196" s="1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O415" i="184"/>
  <c r="O507" i="184" s="1"/>
  <c r="Y57" i="196" s="1"/>
  <c r="P22" i="195"/>
  <c r="P270" i="184"/>
  <c r="P274" i="184" s="1"/>
  <c r="R270" i="184"/>
  <c r="R274" i="184" s="1"/>
  <c r="R22" i="195"/>
  <c r="M81" i="197"/>
  <c r="L81" i="197"/>
  <c r="N81" i="197"/>
  <c r="O81" i="197"/>
  <c r="P81" i="197"/>
  <c r="AD76" i="197"/>
  <c r="AC76" i="197"/>
  <c r="AF76" i="197"/>
  <c r="AE76" i="197"/>
  <c r="AB76" i="197"/>
  <c r="J388" i="184"/>
  <c r="J518" i="184" s="1"/>
  <c r="J59" i="196" s="1"/>
  <c r="N442" i="184"/>
  <c r="N496" i="184" s="1"/>
  <c r="U55" i="196" s="1"/>
  <c r="U268" i="184"/>
  <c r="U275" i="184" s="1"/>
  <c r="U20" i="195"/>
  <c r="U39" i="195" s="1"/>
  <c r="X249" i="184"/>
  <c r="AK142" i="198"/>
  <c r="AK118" i="198"/>
  <c r="AK122" i="198" s="1"/>
  <c r="Z87" i="197"/>
  <c r="Y87" i="197"/>
  <c r="X87" i="197"/>
  <c r="AA87" i="197"/>
  <c r="W87" i="197"/>
  <c r="K356" i="184"/>
  <c r="K499" i="184" s="1"/>
  <c r="K56" i="196" s="1"/>
  <c r="Y84" i="197"/>
  <c r="AA84" i="197"/>
  <c r="X84" i="197"/>
  <c r="W84" i="197"/>
  <c r="Z84" i="197"/>
  <c r="U86" i="197"/>
  <c r="S86" i="197"/>
  <c r="T86" i="197"/>
  <c r="V86" i="197"/>
  <c r="R86" i="197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O473" i="184"/>
  <c r="O509" i="184" s="1"/>
  <c r="AA57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J382" i="184"/>
  <c r="J482" i="184" s="1"/>
  <c r="J53" i="196" s="1"/>
  <c r="AN165" i="196"/>
  <c r="H212" i="178"/>
  <c r="Y20" i="195"/>
  <c r="Y39" i="195" s="1"/>
  <c r="Y268" i="184"/>
  <c r="Y275" i="184" s="1"/>
  <c r="P383" i="184"/>
  <c r="P488" i="184" s="1"/>
  <c r="AC54" i="196" s="1"/>
  <c r="N384" i="184"/>
  <c r="N494" i="184" s="1"/>
  <c r="S55" i="196" s="1"/>
  <c r="R356" i="184"/>
  <c r="R499" i="184" s="1"/>
  <c r="AH56" i="196" s="1"/>
  <c r="O442" i="184"/>
  <c r="O496" i="184" s="1"/>
  <c r="Z55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N297" i="184"/>
  <c r="N189" i="186" s="1"/>
  <c r="K260" i="184"/>
  <c r="N417" i="184"/>
  <c r="N519" i="184" s="1"/>
  <c r="T59" i="196" s="1"/>
  <c r="N473" i="184"/>
  <c r="N509" i="184" s="1"/>
  <c r="V57" i="196" s="1"/>
  <c r="AC87" i="197"/>
  <c r="AE87" i="197"/>
  <c r="AB87" i="197"/>
  <c r="AD87" i="197"/>
  <c r="AF87" i="197"/>
  <c r="X308" i="184"/>
  <c r="N382" i="184"/>
  <c r="N482" i="184" s="1"/>
  <c r="S53" i="196" s="1"/>
  <c r="P20" i="195"/>
  <c r="P268" i="184"/>
  <c r="Q388" i="184"/>
  <c r="Q518" i="184" s="1"/>
  <c r="AG59" i="196" s="1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O353" i="184"/>
  <c r="O481" i="184" s="1"/>
  <c r="W53" i="196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P382" i="184"/>
  <c r="P482" i="184" s="1"/>
  <c r="AC53" i="196" s="1"/>
  <c r="AC81" i="197"/>
  <c r="AD81" i="197"/>
  <c r="AE81" i="197"/>
  <c r="AF81" i="197"/>
  <c r="AB81" i="197"/>
  <c r="O416" i="184"/>
  <c r="O513" i="184" s="1"/>
  <c r="Y58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R260" i="184"/>
  <c r="T260" i="184"/>
  <c r="Y89" i="197"/>
  <c r="AA89" i="197"/>
  <c r="X89" i="197"/>
  <c r="W89" i="197"/>
  <c r="Z89" i="197"/>
  <c r="T249" i="184"/>
  <c r="N286" i="184"/>
  <c r="N188" i="186" s="1"/>
  <c r="AA85" i="197"/>
  <c r="Y85" i="197"/>
  <c r="X85" i="197"/>
  <c r="Z85" i="197"/>
  <c r="W85" i="197"/>
  <c r="Q384" i="184"/>
  <c r="Q494" i="184" s="1"/>
  <c r="AG55" i="196" s="1"/>
  <c r="M75" i="197"/>
  <c r="L75" i="197"/>
  <c r="N75" i="197"/>
  <c r="P75" i="197"/>
  <c r="O75" i="197"/>
  <c r="M238" i="184"/>
  <c r="O249" i="184"/>
  <c r="N21" i="195"/>
  <c r="N269" i="184"/>
  <c r="N273" i="184" s="1"/>
  <c r="Y56" i="186"/>
  <c r="Y31" i="185"/>
  <c r="L413" i="184"/>
  <c r="L495" i="184" s="1"/>
  <c r="N55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N359" i="184"/>
  <c r="N517" i="184" s="1"/>
  <c r="R59" i="196" s="1"/>
  <c r="M76" i="197"/>
  <c r="O76" i="197"/>
  <c r="P76" i="197"/>
  <c r="L76" i="197"/>
  <c r="N76" i="197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268" i="184"/>
  <c r="AK165" i="196"/>
  <c r="AA88" i="197"/>
  <c r="Z88" i="197"/>
  <c r="X88" i="197"/>
  <c r="Y88" i="197"/>
  <c r="W88" i="197"/>
  <c r="W80" i="197"/>
  <c r="Z80" i="197"/>
  <c r="AA80" i="197"/>
  <c r="Y80" i="197"/>
  <c r="X80" i="197"/>
  <c r="P358" i="184"/>
  <c r="P511" i="184" s="1"/>
  <c r="AB58" i="196" s="1"/>
  <c r="L20" i="195"/>
  <c r="L268" i="184"/>
  <c r="P414" i="184"/>
  <c r="P501" i="184" s="1"/>
  <c r="AD56" i="196" s="1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P442" i="184"/>
  <c r="P496" i="184" s="1"/>
  <c r="AE55" i="196" s="1"/>
  <c r="U78" i="197"/>
  <c r="T78" i="197"/>
  <c r="V78" i="197"/>
  <c r="R78" i="197"/>
  <c r="S78" i="197"/>
  <c r="L417" i="184"/>
  <c r="L519" i="184" s="1"/>
  <c r="N59" i="196" s="1"/>
  <c r="W57" i="186"/>
  <c r="W32" i="185"/>
  <c r="Q20" i="195"/>
  <c r="Q268" i="184"/>
  <c r="L416" i="184"/>
  <c r="L513" i="184" s="1"/>
  <c r="N58" i="196" s="1"/>
  <c r="P297" i="184"/>
  <c r="P189" i="186" s="1"/>
  <c r="L260" i="184"/>
  <c r="U85" i="197"/>
  <c r="T85" i="197"/>
  <c r="S85" i="197"/>
  <c r="V85" i="197"/>
  <c r="R85" i="197"/>
  <c r="S20" i="195"/>
  <c r="S268" i="184"/>
  <c r="T21" i="195"/>
  <c r="T269" i="184"/>
  <c r="T273" i="184" s="1"/>
  <c r="V33" i="185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J249" i="184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O297" i="184"/>
  <c r="O189" i="186" s="1"/>
  <c r="O191" i="186" s="1"/>
  <c r="O192" i="186" s="1"/>
  <c r="P387" i="184"/>
  <c r="P512" i="184" s="1"/>
  <c r="AC58" i="196" s="1"/>
  <c r="P385" i="184"/>
  <c r="P500" i="184" s="1"/>
  <c r="AC56" i="196" s="1"/>
  <c r="AA86" i="197"/>
  <c r="Y86" i="197"/>
  <c r="W86" i="197"/>
  <c r="X86" i="197"/>
  <c r="Z86" i="197"/>
  <c r="J384" i="184"/>
  <c r="J494" i="184" s="1"/>
  <c r="J55" i="196" s="1"/>
  <c r="N445" i="184"/>
  <c r="N514" i="184" s="1"/>
  <c r="U58" i="196" s="1"/>
  <c r="W20" i="195"/>
  <c r="W39" i="195" s="1"/>
  <c r="W268" i="184"/>
  <c r="W275" i="184" s="1"/>
  <c r="M79" i="197"/>
  <c r="P79" i="197"/>
  <c r="N79" i="197"/>
  <c r="L79" i="197"/>
  <c r="O79" i="197"/>
  <c r="O411" i="184"/>
  <c r="O483" i="184" s="1"/>
  <c r="Y53" i="196" s="1"/>
  <c r="P384" i="184"/>
  <c r="P494" i="184" s="1"/>
  <c r="AC55" i="196" s="1"/>
  <c r="M249" i="184"/>
  <c r="N443" i="184"/>
  <c r="N502" i="184" s="1"/>
  <c r="U56" i="196" s="1"/>
  <c r="L446" i="184"/>
  <c r="L520" i="184" s="1"/>
  <c r="O59" i="196" s="1"/>
  <c r="M21" i="195"/>
  <c r="M269" i="184"/>
  <c r="M273" i="184" s="1"/>
  <c r="P470" i="184"/>
  <c r="P491" i="184" s="1"/>
  <c r="AF54" i="196" s="1"/>
  <c r="W31" i="185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Y57" i="186"/>
  <c r="Y32" i="185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U58" i="186"/>
  <c r="U33" i="185"/>
  <c r="U264" i="184"/>
  <c r="U17" i="187" s="1"/>
  <c r="O90" i="197"/>
  <c r="P90" i="197"/>
  <c r="L90" i="197"/>
  <c r="N90" i="197"/>
  <c r="M90" i="197"/>
  <c r="P445" i="184"/>
  <c r="P514" i="184" s="1"/>
  <c r="AE58" i="196" s="1"/>
  <c r="X22" i="195"/>
  <c r="X270" i="184"/>
  <c r="X274" i="184" s="1"/>
  <c r="P472" i="184"/>
  <c r="P503" i="184" s="1"/>
  <c r="AF56" i="196" s="1"/>
  <c r="K685" i="184"/>
  <c r="L473" i="184"/>
  <c r="L509" i="184" s="1"/>
  <c r="P57" i="196" s="1"/>
  <c r="X238" i="184"/>
  <c r="O382" i="184"/>
  <c r="O482" i="184" s="1"/>
  <c r="X53" i="196" s="1"/>
  <c r="O20" i="195"/>
  <c r="O268" i="184"/>
  <c r="O308" i="184"/>
  <c r="L388" i="184"/>
  <c r="L518" i="184" s="1"/>
  <c r="M59" i="196" s="1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M253" i="186" l="1"/>
  <c r="M255" i="186"/>
  <c r="M259" i="186"/>
  <c r="M252" i="186"/>
  <c r="M260" i="186"/>
  <c r="K31" i="185"/>
  <c r="T119" i="196"/>
  <c r="T131" i="196" s="1"/>
  <c r="N32" i="185"/>
  <c r="O58" i="186"/>
  <c r="Z165" i="196"/>
  <c r="Z167" i="196" s="1"/>
  <c r="Z175" i="196" s="1"/>
  <c r="V264" i="184"/>
  <c r="V17" i="187" s="1"/>
  <c r="P116" i="196"/>
  <c r="P128" i="196" s="1"/>
  <c r="Y118" i="196"/>
  <c r="Y130" i="196" s="1"/>
  <c r="M254" i="186"/>
  <c r="J39" i="195"/>
  <c r="M256" i="186"/>
  <c r="M257" i="186"/>
  <c r="P117" i="196"/>
  <c r="P129" i="196" s="1"/>
  <c r="P118" i="196"/>
  <c r="P130" i="196" s="1"/>
  <c r="N118" i="196"/>
  <c r="N130" i="196" s="1"/>
  <c r="P115" i="196"/>
  <c r="P127" i="196" s="1"/>
  <c r="Q56" i="186"/>
  <c r="P154" i="196"/>
  <c r="W165" i="196"/>
  <c r="V32" i="185"/>
  <c r="V34" i="185" s="1"/>
  <c r="R57" i="186"/>
  <c r="Y165" i="196"/>
  <c r="Y167" i="196" s="1"/>
  <c r="Y175" i="196" s="1"/>
  <c r="S31" i="185"/>
  <c r="L32" i="185"/>
  <c r="Y115" i="196"/>
  <c r="Y127" i="196" s="1"/>
  <c r="O119" i="196"/>
  <c r="O131" i="196" s="1"/>
  <c r="Q33" i="185"/>
  <c r="V57" i="186"/>
  <c r="S33" i="185"/>
  <c r="J31" i="185"/>
  <c r="V56" i="186"/>
  <c r="O39" i="195"/>
  <c r="T39" i="195"/>
  <c r="AA115" i="196"/>
  <c r="AA127" i="196" s="1"/>
  <c r="AB165" i="196"/>
  <c r="M39" i="195"/>
  <c r="AG165" i="196"/>
  <c r="AG167" i="196" s="1"/>
  <c r="AG175" i="196" s="1"/>
  <c r="AA117" i="196"/>
  <c r="AA129" i="196" s="1"/>
  <c r="L39" i="195"/>
  <c r="N39" i="195"/>
  <c r="Y119" i="196"/>
  <c r="Y131" i="196" s="1"/>
  <c r="T116" i="196"/>
  <c r="T128" i="196" s="1"/>
  <c r="S118" i="196"/>
  <c r="S130" i="196" s="1"/>
  <c r="S154" i="196"/>
  <c r="R56" i="186"/>
  <c r="X118" i="196"/>
  <c r="X130" i="196" s="1"/>
  <c r="X115" i="196"/>
  <c r="X127" i="196" s="1"/>
  <c r="J116" i="196"/>
  <c r="J128" i="196" s="1"/>
  <c r="R165" i="196"/>
  <c r="O116" i="196"/>
  <c r="O128" i="196" s="1"/>
  <c r="V116" i="196"/>
  <c r="V128" i="196" s="1"/>
  <c r="V117" i="196"/>
  <c r="V129" i="196" s="1"/>
  <c r="V120" i="196"/>
  <c r="V132" i="196" s="1"/>
  <c r="AA120" i="196"/>
  <c r="AA132" i="196" s="1"/>
  <c r="Q39" i="195"/>
  <c r="S39" i="195"/>
  <c r="R39" i="195"/>
  <c r="P39" i="195"/>
  <c r="X39" i="195"/>
  <c r="V39" i="195"/>
  <c r="K39" i="195"/>
  <c r="S115" i="196"/>
  <c r="S127" i="196" s="1"/>
  <c r="S121" i="196"/>
  <c r="S133" i="196" s="1"/>
  <c r="P119" i="196"/>
  <c r="P131" i="196" s="1"/>
  <c r="X121" i="196"/>
  <c r="X133" i="196" s="1"/>
  <c r="S119" i="196"/>
  <c r="S131" i="196" s="1"/>
  <c r="P31" i="185"/>
  <c r="O118" i="196"/>
  <c r="O130" i="196" s="1"/>
  <c r="V115" i="196"/>
  <c r="V127" i="196" s="1"/>
  <c r="S116" i="196"/>
  <c r="S128" i="196" s="1"/>
  <c r="X117" i="196"/>
  <c r="X129" i="196" s="1"/>
  <c r="J58" i="186"/>
  <c r="S117" i="196"/>
  <c r="S129" i="196" s="1"/>
  <c r="X116" i="196"/>
  <c r="X128" i="196" s="1"/>
  <c r="P32" i="185"/>
  <c r="O115" i="196"/>
  <c r="O127" i="196" s="1"/>
  <c r="O121" i="196"/>
  <c r="O133" i="196" s="1"/>
  <c r="AA116" i="196"/>
  <c r="AA128" i="196" s="1"/>
  <c r="P121" i="196"/>
  <c r="P133" i="196" s="1"/>
  <c r="Y116" i="196"/>
  <c r="Y128" i="196" s="1"/>
  <c r="X119" i="196"/>
  <c r="X131" i="196" s="1"/>
  <c r="P275" i="184"/>
  <c r="P16" i="187" s="1"/>
  <c r="Q264" i="184"/>
  <c r="Q17" i="187" s="1"/>
  <c r="Q29" i="187" s="1"/>
  <c r="W34" i="185"/>
  <c r="W49" i="185" s="1"/>
  <c r="T118" i="196"/>
  <c r="T130" i="196" s="1"/>
  <c r="P33" i="185"/>
  <c r="T115" i="196"/>
  <c r="T127" i="196" s="1"/>
  <c r="P264" i="184"/>
  <c r="P17" i="187" s="1"/>
  <c r="T154" i="196"/>
  <c r="AA165" i="196"/>
  <c r="AA167" i="196" s="1"/>
  <c r="AA175" i="196" s="1"/>
  <c r="N121" i="196"/>
  <c r="N133" i="196" s="1"/>
  <c r="N117" i="196"/>
  <c r="N129" i="196" s="1"/>
  <c r="L165" i="196"/>
  <c r="O117" i="196"/>
  <c r="O129" i="196" s="1"/>
  <c r="N115" i="196"/>
  <c r="N127" i="196" s="1"/>
  <c r="T165" i="196"/>
  <c r="T167" i="196" s="1"/>
  <c r="T175" i="196" s="1"/>
  <c r="O120" i="196"/>
  <c r="O132" i="196" s="1"/>
  <c r="J264" i="184"/>
  <c r="J17" i="187" s="1"/>
  <c r="P191" i="186"/>
  <c r="P192" i="186" s="1"/>
  <c r="X165" i="196"/>
  <c r="X167" i="196" s="1"/>
  <c r="X175" i="196" s="1"/>
  <c r="J120" i="196"/>
  <c r="J132" i="196" s="1"/>
  <c r="J115" i="196"/>
  <c r="J127" i="196" s="1"/>
  <c r="J119" i="196"/>
  <c r="J131" i="196" s="1"/>
  <c r="J117" i="196"/>
  <c r="J129" i="196" s="1"/>
  <c r="J154" i="196"/>
  <c r="J118" i="196"/>
  <c r="J130" i="196" s="1"/>
  <c r="K32" i="185"/>
  <c r="J121" i="196"/>
  <c r="J133" i="196" s="1"/>
  <c r="X275" i="184"/>
  <c r="X18" i="194" s="1"/>
  <c r="L56" i="186"/>
  <c r="N120" i="196"/>
  <c r="N132" i="196" s="1"/>
  <c r="N165" i="196"/>
  <c r="N167" i="196" s="1"/>
  <c r="M165" i="196"/>
  <c r="M167" i="196" s="1"/>
  <c r="AE165" i="196"/>
  <c r="AE167" i="196" s="1"/>
  <c r="AE175" i="196" s="1"/>
  <c r="N31" i="185"/>
  <c r="N34" i="185" s="1"/>
  <c r="N44" i="185" s="1"/>
  <c r="N50" i="185" s="1"/>
  <c r="Q165" i="196"/>
  <c r="M122" i="196"/>
  <c r="M134" i="196" s="1"/>
  <c r="AG115" i="196"/>
  <c r="AG127" i="196" s="1"/>
  <c r="AG117" i="196"/>
  <c r="AG129" i="196" s="1"/>
  <c r="M121" i="196"/>
  <c r="M133" i="196" s="1"/>
  <c r="M119" i="196"/>
  <c r="M131" i="196" s="1"/>
  <c r="K165" i="196"/>
  <c r="J173" i="196" s="1"/>
  <c r="AG122" i="196"/>
  <c r="AG134" i="196" s="1"/>
  <c r="P122" i="196"/>
  <c r="P134" i="196" s="1"/>
  <c r="M118" i="196"/>
  <c r="M130" i="196" s="1"/>
  <c r="AG121" i="196"/>
  <c r="AG133" i="196" s="1"/>
  <c r="AG116" i="196"/>
  <c r="AG128" i="196" s="1"/>
  <c r="M154" i="196"/>
  <c r="M120" i="196"/>
  <c r="M132" i="196" s="1"/>
  <c r="N116" i="196"/>
  <c r="N128" i="196" s="1"/>
  <c r="AG118" i="196"/>
  <c r="AG130" i="196" s="1"/>
  <c r="N122" i="196"/>
  <c r="N134" i="196" s="1"/>
  <c r="N119" i="196"/>
  <c r="N131" i="196" s="1"/>
  <c r="P165" i="196"/>
  <c r="P167" i="196" s="1"/>
  <c r="M115" i="196"/>
  <c r="M127" i="196" s="1"/>
  <c r="P59" i="186"/>
  <c r="AG154" i="196"/>
  <c r="O122" i="196"/>
  <c r="O134" i="196" s="1"/>
  <c r="M116" i="196"/>
  <c r="M128" i="196" s="1"/>
  <c r="Z121" i="196"/>
  <c r="Z133" i="196" s="1"/>
  <c r="AG119" i="196"/>
  <c r="AG131" i="196" s="1"/>
  <c r="M117" i="196"/>
  <c r="M129" i="196" s="1"/>
  <c r="S165" i="196"/>
  <c r="S167" i="196" s="1"/>
  <c r="S175" i="196" s="1"/>
  <c r="O165" i="196"/>
  <c r="O167" i="196" s="1"/>
  <c r="AH165" i="196"/>
  <c r="J685" i="184"/>
  <c r="H687" i="184" s="1"/>
  <c r="S275" i="184"/>
  <c r="S16" i="187" s="1"/>
  <c r="Y120" i="196"/>
  <c r="Y132" i="196" s="1"/>
  <c r="AD165" i="196"/>
  <c r="AD167" i="196" s="1"/>
  <c r="AD175" i="196" s="1"/>
  <c r="U165" i="196"/>
  <c r="U167" i="196" s="1"/>
  <c r="U175" i="196" s="1"/>
  <c r="AE119" i="196"/>
  <c r="AE131" i="196" s="1"/>
  <c r="S264" i="184"/>
  <c r="S17" i="187" s="1"/>
  <c r="O31" i="185"/>
  <c r="U120" i="196"/>
  <c r="U132" i="196" s="1"/>
  <c r="K275" i="184"/>
  <c r="K16" i="187" s="1"/>
  <c r="AE115" i="196"/>
  <c r="AE127" i="196" s="1"/>
  <c r="T117" i="196"/>
  <c r="T129" i="196" s="1"/>
  <c r="V165" i="196"/>
  <c r="V167" i="196" s="1"/>
  <c r="V175" i="196" s="1"/>
  <c r="AF165" i="196"/>
  <c r="AF167" i="196" s="1"/>
  <c r="AF175" i="196" s="1"/>
  <c r="Y34" i="185"/>
  <c r="Y48" i="185" s="1"/>
  <c r="AE116" i="196"/>
  <c r="AE128" i="196" s="1"/>
  <c r="O275" i="184"/>
  <c r="O18" i="194" s="1"/>
  <c r="T120" i="196"/>
  <c r="T132" i="196" s="1"/>
  <c r="N264" i="184"/>
  <c r="N17" i="187" s="1"/>
  <c r="U34" i="185"/>
  <c r="U48" i="185" s="1"/>
  <c r="U59" i="186"/>
  <c r="S57" i="186"/>
  <c r="S59" i="186" s="1"/>
  <c r="Z120" i="196"/>
  <c r="Z132" i="196" s="1"/>
  <c r="Z117" i="196"/>
  <c r="Z129" i="196" s="1"/>
  <c r="N58" i="186"/>
  <c r="N59" i="186" s="1"/>
  <c r="AC165" i="196"/>
  <c r="AC167" i="196" s="1"/>
  <c r="AC175" i="196" s="1"/>
  <c r="S122" i="196"/>
  <c r="S134" i="196" s="1"/>
  <c r="O264" i="184"/>
  <c r="O17" i="187" s="1"/>
  <c r="H131" i="182"/>
  <c r="R150" i="182" s="1"/>
  <c r="J57" i="186"/>
  <c r="J32" i="185"/>
  <c r="Q55" i="195"/>
  <c r="Q65" i="195" s="1"/>
  <c r="Q38" i="195"/>
  <c r="Q40" i="195"/>
  <c r="X122" i="196"/>
  <c r="X134" i="196" s="1"/>
  <c r="V122" i="196"/>
  <c r="V134" i="196" s="1"/>
  <c r="Y59" i="186"/>
  <c r="J165" i="196"/>
  <c r="J167" i="196" s="1"/>
  <c r="K55" i="195"/>
  <c r="K65" i="195" s="1"/>
  <c r="K40" i="195"/>
  <c r="K38" i="195"/>
  <c r="R275" i="184"/>
  <c r="X57" i="186"/>
  <c r="X32" i="185"/>
  <c r="Q275" i="184"/>
  <c r="Y117" i="196"/>
  <c r="Y129" i="196" s="1"/>
  <c r="T32" i="185"/>
  <c r="T57" i="186"/>
  <c r="T55" i="195"/>
  <c r="T65" i="195" s="1"/>
  <c r="T38" i="195"/>
  <c r="T40" i="195"/>
  <c r="AE121" i="196"/>
  <c r="AE133" i="196" s="1"/>
  <c r="AD121" i="196"/>
  <c r="AD133" i="196" s="1"/>
  <c r="AE117" i="196"/>
  <c r="AE129" i="196" s="1"/>
  <c r="AF121" i="196"/>
  <c r="AF133" i="196" s="1"/>
  <c r="AD115" i="196"/>
  <c r="AD127" i="196" s="1"/>
  <c r="AD118" i="196"/>
  <c r="AD130" i="196" s="1"/>
  <c r="AD117" i="196"/>
  <c r="AD129" i="196" s="1"/>
  <c r="AD154" i="196"/>
  <c r="J275" i="184"/>
  <c r="R55" i="195"/>
  <c r="R65" i="195" s="1"/>
  <c r="R40" i="195"/>
  <c r="R38" i="195"/>
  <c r="U55" i="195"/>
  <c r="U65" i="195" s="1"/>
  <c r="U38" i="195"/>
  <c r="U40" i="195"/>
  <c r="O38" i="195"/>
  <c r="O40" i="195"/>
  <c r="H139" i="182"/>
  <c r="M177" i="182" s="1"/>
  <c r="N275" i="184"/>
  <c r="K33" i="185"/>
  <c r="K264" i="184"/>
  <c r="K17" i="187" s="1"/>
  <c r="K58" i="186"/>
  <c r="K59" i="186" s="1"/>
  <c r="AF117" i="196"/>
  <c r="AF129" i="196" s="1"/>
  <c r="AF120" i="196"/>
  <c r="AF132" i="196" s="1"/>
  <c r="AF154" i="196"/>
  <c r="AF115" i="196"/>
  <c r="AF127" i="196" s="1"/>
  <c r="AF116" i="196"/>
  <c r="AF128" i="196" s="1"/>
  <c r="T275" i="184"/>
  <c r="Z115" i="196"/>
  <c r="Z127" i="196" s="1"/>
  <c r="AA118" i="196"/>
  <c r="AA130" i="196" s="1"/>
  <c r="Z116" i="196"/>
  <c r="Z128" i="196" s="1"/>
  <c r="Z119" i="196"/>
  <c r="Z131" i="196" s="1"/>
  <c r="U116" i="196"/>
  <c r="U128" i="196" s="1"/>
  <c r="U154" i="196"/>
  <c r="U119" i="196"/>
  <c r="U131" i="196" s="1"/>
  <c r="U118" i="196"/>
  <c r="U130" i="196" s="1"/>
  <c r="U115" i="196"/>
  <c r="U127" i="196" s="1"/>
  <c r="V118" i="196"/>
  <c r="V130" i="196" s="1"/>
  <c r="AA119" i="196"/>
  <c r="AA131" i="196" s="1"/>
  <c r="Z118" i="196"/>
  <c r="Z130" i="196" s="1"/>
  <c r="V119" i="196"/>
  <c r="V131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2" i="196"/>
  <c r="Y134" i="196" s="1"/>
  <c r="U122" i="196"/>
  <c r="U134" i="196" s="1"/>
  <c r="J40" i="195"/>
  <c r="J38" i="195"/>
  <c r="X33" i="185"/>
  <c r="X264" i="184"/>
  <c r="X17" i="187" s="1"/>
  <c r="X58" i="186"/>
  <c r="AF118" i="196"/>
  <c r="AF130" i="196" s="1"/>
  <c r="U18" i="194"/>
  <c r="U16" i="187"/>
  <c r="X55" i="195"/>
  <c r="X65" i="195" s="1"/>
  <c r="X38" i="195"/>
  <c r="X40" i="195"/>
  <c r="U117" i="196"/>
  <c r="U129" i="196" s="1"/>
  <c r="X31" i="185"/>
  <c r="X56" i="186"/>
  <c r="M58" i="186"/>
  <c r="M33" i="185"/>
  <c r="M32" i="185"/>
  <c r="M57" i="186"/>
  <c r="W18" i="194"/>
  <c r="W16" i="187"/>
  <c r="M55" i="195"/>
  <c r="M65" i="195" s="1"/>
  <c r="M38" i="195"/>
  <c r="M40" i="195"/>
  <c r="L38" i="195"/>
  <c r="L40" i="195"/>
  <c r="X120" i="196"/>
  <c r="X132" i="196" s="1"/>
  <c r="AA122" i="196"/>
  <c r="AA134" i="196" s="1"/>
  <c r="O57" i="186"/>
  <c r="O32" i="185"/>
  <c r="T58" i="186"/>
  <c r="T33" i="185"/>
  <c r="T264" i="184"/>
  <c r="T17" i="187" s="1"/>
  <c r="Y18" i="194"/>
  <c r="Y16" i="187"/>
  <c r="Q57" i="186"/>
  <c r="Q32" i="185"/>
  <c r="AA121" i="196"/>
  <c r="AA133" i="196" s="1"/>
  <c r="T56" i="186"/>
  <c r="T31" i="185"/>
  <c r="W59" i="186"/>
  <c r="W55" i="195"/>
  <c r="W65" i="195" s="1"/>
  <c r="W38" i="195"/>
  <c r="W40" i="195"/>
  <c r="AD120" i="196"/>
  <c r="AD132" i="196" s="1"/>
  <c r="AC118" i="196"/>
  <c r="AC130" i="196" s="1"/>
  <c r="AE122" i="196"/>
  <c r="AE134" i="196" s="1"/>
  <c r="AC121" i="196"/>
  <c r="AC133" i="196" s="1"/>
  <c r="AC117" i="196"/>
  <c r="AC129" i="196" s="1"/>
  <c r="AC154" i="196"/>
  <c r="AC116" i="196"/>
  <c r="AC128" i="196" s="1"/>
  <c r="AF122" i="196"/>
  <c r="AF134" i="196" s="1"/>
  <c r="AD116" i="196"/>
  <c r="AD128" i="196" s="1"/>
  <c r="AD122" i="196"/>
  <c r="AD134" i="196" s="1"/>
  <c r="AC115" i="196"/>
  <c r="AC127" i="196" s="1"/>
  <c r="AE120" i="196"/>
  <c r="AE132" i="196" s="1"/>
  <c r="AD119" i="196"/>
  <c r="AD131" i="196" s="1"/>
  <c r="AC119" i="196"/>
  <c r="AC131" i="196" s="1"/>
  <c r="AC120" i="196"/>
  <c r="AC132" i="196" s="1"/>
  <c r="AC122" i="196"/>
  <c r="AC134" i="196" s="1"/>
  <c r="S55" i="195"/>
  <c r="S65" i="195" s="1"/>
  <c r="S40" i="195"/>
  <c r="S38" i="195"/>
  <c r="Z122" i="196"/>
  <c r="Z134" i="196" s="1"/>
  <c r="T122" i="196"/>
  <c r="T134" i="196" s="1"/>
  <c r="S120" i="196"/>
  <c r="S132" i="196" s="1"/>
  <c r="M264" i="184"/>
  <c r="M17" i="187" s="1"/>
  <c r="M31" i="185"/>
  <c r="M56" i="186"/>
  <c r="N191" i="186"/>
  <c r="N192" i="186" s="1"/>
  <c r="R33" i="185"/>
  <c r="R34" i="185" s="1"/>
  <c r="R58" i="186"/>
  <c r="R264" i="184"/>
  <c r="R17" i="187" s="1"/>
  <c r="P38" i="195"/>
  <c r="P40" i="195"/>
  <c r="Y55" i="195"/>
  <c r="Y65" i="195" s="1"/>
  <c r="Y40" i="195"/>
  <c r="Y38" i="195"/>
  <c r="Y121" i="196"/>
  <c r="Y133" i="196" s="1"/>
  <c r="U121" i="196"/>
  <c r="U133" i="196" s="1"/>
  <c r="H693" i="184" a="1"/>
  <c r="H693" i="184" s="1"/>
  <c r="V275" i="184"/>
  <c r="AF119" i="196"/>
  <c r="AF131" i="196" s="1"/>
  <c r="V121" i="196"/>
  <c r="V133" i="196" s="1"/>
  <c r="T121" i="196"/>
  <c r="T133" i="196" s="1"/>
  <c r="N38" i="195"/>
  <c r="N40" i="195"/>
  <c r="L58" i="186"/>
  <c r="L264" i="184"/>
  <c r="L17" i="187" s="1"/>
  <c r="L33" i="185"/>
  <c r="V55" i="195"/>
  <c r="V65" i="195" s="1"/>
  <c r="V40" i="195"/>
  <c r="V38" i="195"/>
  <c r="AE118" i="196"/>
  <c r="AE130" i="196" s="1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A2" i="85"/>
  <c r="A1" i="85"/>
  <c r="A2" i="84"/>
  <c r="A1" i="84"/>
  <c r="V59" i="186" l="1"/>
  <c r="O59" i="186"/>
  <c r="K158" i="182"/>
  <c r="Q59" i="186"/>
  <c r="L34" i="185"/>
  <c r="R59" i="186"/>
  <c r="L59" i="186"/>
  <c r="S34" i="185"/>
  <c r="S50" i="185" s="1"/>
  <c r="J34" i="185"/>
  <c r="P18" i="194"/>
  <c r="P34" i="185"/>
  <c r="P42" i="185" s="1"/>
  <c r="P48" i="185" s="1"/>
  <c r="Q34" i="185"/>
  <c r="Q48" i="185" s="1"/>
  <c r="W50" i="185"/>
  <c r="J175" i="196"/>
  <c r="J59" i="186"/>
  <c r="S18" i="194"/>
  <c r="W48" i="185"/>
  <c r="M150" i="182"/>
  <c r="X16" i="187"/>
  <c r="X27" i="187" s="1"/>
  <c r="X33" i="187" s="1"/>
  <c r="K34" i="185"/>
  <c r="J150" i="182"/>
  <c r="K150" i="182"/>
  <c r="S150" i="182"/>
  <c r="M59" i="186"/>
  <c r="N150" i="182"/>
  <c r="O150" i="182"/>
  <c r="O34" i="185"/>
  <c r="O42" i="185" s="1"/>
  <c r="O48" i="185" s="1"/>
  <c r="Y49" i="185"/>
  <c r="Y50" i="185"/>
  <c r="K18" i="194"/>
  <c r="O137" i="196"/>
  <c r="AD138" i="196"/>
  <c r="O16" i="187"/>
  <c r="O27" i="187" s="1"/>
  <c r="O33" i="187" s="1"/>
  <c r="J138" i="196"/>
  <c r="V138" i="196"/>
  <c r="S138" i="196"/>
  <c r="M138" i="196"/>
  <c r="AF142" i="196"/>
  <c r="T137" i="196"/>
  <c r="Q177" i="182"/>
  <c r="P150" i="182"/>
  <c r="AA144" i="196"/>
  <c r="L150" i="182"/>
  <c r="X59" i="186"/>
  <c r="T34" i="185"/>
  <c r="T48" i="185" s="1"/>
  <c r="Q150" i="182"/>
  <c r="N43" i="185"/>
  <c r="N49" i="185" s="1"/>
  <c r="AE142" i="196"/>
  <c r="M144" i="196"/>
  <c r="S137" i="196"/>
  <c r="P141" i="196"/>
  <c r="AF138" i="196"/>
  <c r="N42" i="185"/>
  <c r="N48" i="185" s="1"/>
  <c r="AC140" i="196"/>
  <c r="P139" i="196"/>
  <c r="N142" i="196"/>
  <c r="M34" i="185"/>
  <c r="Z140" i="196"/>
  <c r="O141" i="196"/>
  <c r="R158" i="182"/>
  <c r="R177" i="182"/>
  <c r="J137" i="196"/>
  <c r="N138" i="196"/>
  <c r="P177" i="182"/>
  <c r="O158" i="182"/>
  <c r="P158" i="182"/>
  <c r="AG137" i="196"/>
  <c r="P137" i="196"/>
  <c r="Y143" i="196"/>
  <c r="P138" i="196"/>
  <c r="U49" i="185"/>
  <c r="AD137" i="196"/>
  <c r="L158" i="182"/>
  <c r="N158" i="182"/>
  <c r="J177" i="182"/>
  <c r="X137" i="196"/>
  <c r="V137" i="196"/>
  <c r="U138" i="196"/>
  <c r="V142" i="196"/>
  <c r="S142" i="196"/>
  <c r="M139" i="196"/>
  <c r="U50" i="185"/>
  <c r="AC137" i="196"/>
  <c r="Z142" i="196"/>
  <c r="S158" i="182"/>
  <c r="L177" i="182"/>
  <c r="Y137" i="196"/>
  <c r="P142" i="196"/>
  <c r="V144" i="196"/>
  <c r="AA140" i="196"/>
  <c r="N137" i="196"/>
  <c r="N139" i="196"/>
  <c r="Q158" i="182"/>
  <c r="N177" i="182"/>
  <c r="Y144" i="196"/>
  <c r="AC142" i="196"/>
  <c r="AE139" i="196"/>
  <c r="AD140" i="196"/>
  <c r="K177" i="182"/>
  <c r="X138" i="196"/>
  <c r="M158" i="182"/>
  <c r="O177" i="182"/>
  <c r="AA137" i="196"/>
  <c r="J158" i="182"/>
  <c r="Z137" i="196"/>
  <c r="AA138" i="196"/>
  <c r="S177" i="182"/>
  <c r="AF137" i="196"/>
  <c r="M137" i="196"/>
  <c r="J142" i="196"/>
  <c r="O138" i="196"/>
  <c r="N141" i="196"/>
  <c r="R50" i="185"/>
  <c r="R49" i="185"/>
  <c r="R48" i="185"/>
  <c r="O143" i="196"/>
  <c r="N143" i="196"/>
  <c r="P27" i="187"/>
  <c r="P33" i="187" s="1"/>
  <c r="P28" i="187"/>
  <c r="P34" i="187" s="1"/>
  <c r="W27" i="187"/>
  <c r="W33" i="187" s="1"/>
  <c r="W28" i="187"/>
  <c r="W34" i="187" s="1"/>
  <c r="M141" i="196"/>
  <c r="AE137" i="196"/>
  <c r="AD142" i="196"/>
  <c r="X142" i="196"/>
  <c r="T138" i="196"/>
  <c r="Z138" i="196"/>
  <c r="AG138" i="196"/>
  <c r="O144" i="196"/>
  <c r="AC144" i="196"/>
  <c r="J143" i="196"/>
  <c r="X143" i="196"/>
  <c r="X34" i="185"/>
  <c r="U140" i="196"/>
  <c r="O140" i="196"/>
  <c r="X141" i="196"/>
  <c r="U141" i="196"/>
  <c r="V139" i="196"/>
  <c r="AA139" i="196"/>
  <c r="V18" i="194"/>
  <c r="V16" i="187"/>
  <c r="U28" i="187"/>
  <c r="U34" i="187" s="1"/>
  <c r="U27" i="187"/>
  <c r="U33" i="187" s="1"/>
  <c r="H51" i="193" a="1"/>
  <c r="H52" i="193" s="1"/>
  <c r="U137" i="196"/>
  <c r="M142" i="196"/>
  <c r="T142" i="196"/>
  <c r="AC138" i="196"/>
  <c r="AE138" i="196"/>
  <c r="X144" i="196"/>
  <c r="S144" i="196"/>
  <c r="U144" i="196"/>
  <c r="AA143" i="196"/>
  <c r="P143" i="196"/>
  <c r="Y140" i="196"/>
  <c r="P140" i="196"/>
  <c r="V141" i="196"/>
  <c r="AE141" i="196"/>
  <c r="AF141" i="196"/>
  <c r="R18" i="194"/>
  <c r="R16" i="187"/>
  <c r="X139" i="196"/>
  <c r="AD139" i="196"/>
  <c r="A4" i="184"/>
  <c r="J46" i="55"/>
  <c r="Z144" i="196"/>
  <c r="AD144" i="196"/>
  <c r="AG144" i="196"/>
  <c r="Y28" i="187"/>
  <c r="Y34" i="187" s="1"/>
  <c r="Y27" i="187"/>
  <c r="Y33" i="187" s="1"/>
  <c r="S143" i="196"/>
  <c r="V143" i="196"/>
  <c r="AF140" i="196"/>
  <c r="X140" i="196"/>
  <c r="M140" i="196"/>
  <c r="AA141" i="196"/>
  <c r="S141" i="196"/>
  <c r="AC141" i="196"/>
  <c r="L689" i="184"/>
  <c r="N171" i="196" s="1"/>
  <c r="N173" i="196" s="1"/>
  <c r="N175" i="196" s="1"/>
  <c r="N689" i="184"/>
  <c r="P171" i="196" s="1"/>
  <c r="P173" i="196" s="1"/>
  <c r="P175" i="196" s="1"/>
  <c r="J689" i="184"/>
  <c r="M689" i="184"/>
  <c r="O171" i="196" s="1"/>
  <c r="O173" i="196" s="1"/>
  <c r="O175" i="196" s="1"/>
  <c r="K689" i="184"/>
  <c r="M171" i="196" s="1"/>
  <c r="M173" i="196" s="1"/>
  <c r="M175" i="196" s="1"/>
  <c r="O139" i="196"/>
  <c r="Z139" i="196"/>
  <c r="Y142" i="196"/>
  <c r="AE144" i="196"/>
  <c r="N144" i="196"/>
  <c r="K28" i="187"/>
  <c r="K34" i="187" s="1"/>
  <c r="K27" i="187"/>
  <c r="K33" i="187" s="1"/>
  <c r="Z143" i="196"/>
  <c r="AE143" i="196"/>
  <c r="S28" i="187"/>
  <c r="S34" i="187" s="1"/>
  <c r="S27" i="187"/>
  <c r="S33" i="187" s="1"/>
  <c r="AE140" i="196"/>
  <c r="S140" i="196"/>
  <c r="L18" i="194"/>
  <c r="L16" i="187"/>
  <c r="T18" i="194"/>
  <c r="T16" i="187"/>
  <c r="Y141" i="196"/>
  <c r="AG141" i="196"/>
  <c r="J139" i="196"/>
  <c r="T139" i="196"/>
  <c r="H53" i="192" a="1"/>
  <c r="H55" i="192" s="1"/>
  <c r="O142" i="196"/>
  <c r="Y138" i="196"/>
  <c r="P144" i="196"/>
  <c r="M143" i="196"/>
  <c r="T143" i="196"/>
  <c r="AD143" i="196"/>
  <c r="J140" i="196"/>
  <c r="T140" i="196"/>
  <c r="M16" i="187"/>
  <c r="M18" i="194"/>
  <c r="N18" i="194"/>
  <c r="N16" i="187"/>
  <c r="J18" i="194"/>
  <c r="J16" i="187"/>
  <c r="AD141" i="196"/>
  <c r="AG139" i="196"/>
  <c r="S139" i="196"/>
  <c r="U142" i="196"/>
  <c r="AA142" i="196"/>
  <c r="T144" i="196"/>
  <c r="AF144" i="196"/>
  <c r="V50" i="185"/>
  <c r="V48" i="185"/>
  <c r="V49" i="185"/>
  <c r="U143" i="196"/>
  <c r="AG143" i="196"/>
  <c r="AC143" i="196"/>
  <c r="V140" i="196"/>
  <c r="AG140" i="196"/>
  <c r="T141" i="196"/>
  <c r="J141" i="196"/>
  <c r="U139" i="196"/>
  <c r="AC139" i="196"/>
  <c r="AG142" i="196"/>
  <c r="J144" i="196"/>
  <c r="T59" i="186"/>
  <c r="AF143" i="196"/>
  <c r="N140" i="196"/>
  <c r="Z141" i="196"/>
  <c r="Q18" i="194"/>
  <c r="Q16" i="187"/>
  <c r="Y139" i="196"/>
  <c r="AF139" i="19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S48" i="185" l="1"/>
  <c r="L44" i="185"/>
  <c r="L50" i="185" s="1"/>
  <c r="S49" i="185"/>
  <c r="P43" i="185"/>
  <c r="P49" i="185" s="1"/>
  <c r="P44" i="185"/>
  <c r="P50" i="185" s="1"/>
  <c r="K42" i="185"/>
  <c r="K48" i="185" s="1"/>
  <c r="K43" i="185"/>
  <c r="K49" i="185" s="1"/>
  <c r="J42" i="185"/>
  <c r="J48" i="185" s="1"/>
  <c r="J44" i="185"/>
  <c r="J50" i="185" s="1"/>
  <c r="O43" i="185"/>
  <c r="O49" i="185" s="1"/>
  <c r="K44" i="185"/>
  <c r="K50" i="185" s="1"/>
  <c r="Q50" i="185"/>
  <c r="X28" i="187"/>
  <c r="X34" i="187" s="1"/>
  <c r="O44" i="185"/>
  <c r="O50" i="185" s="1"/>
  <c r="Q49" i="185"/>
  <c r="J43" i="185"/>
  <c r="J49" i="185" s="1"/>
  <c r="H53" i="192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Z146" i="196"/>
  <c r="M146" i="196"/>
  <c r="M148" i="196" s="1" a="1"/>
  <c r="M148" i="196" s="1"/>
  <c r="M150" i="196" s="1"/>
  <c r="V146" i="196"/>
  <c r="V148" i="196" s="1" a="1"/>
  <c r="V148" i="196" s="1"/>
  <c r="V150" i="196" s="1"/>
  <c r="H60" i="192"/>
  <c r="Y146" i="196"/>
  <c r="Y148" i="196" s="1" a="1"/>
  <c r="Y148" i="196" s="1"/>
  <c r="Y150" i="196" s="1"/>
  <c r="O146" i="196"/>
  <c r="O148" i="196" s="1" a="1"/>
  <c r="O148" i="196" s="1"/>
  <c r="O150" i="196" s="1"/>
  <c r="AA146" i="196"/>
  <c r="AA148" i="196" s="1" a="1"/>
  <c r="AA148" i="196" s="1"/>
  <c r="AA150" i="196" s="1"/>
  <c r="AC146" i="196"/>
  <c r="AC148" i="196" s="1" a="1"/>
  <c r="AC148" i="196" s="1"/>
  <c r="AC150" i="196" s="1"/>
  <c r="H55" i="193"/>
  <c r="H56" i="193"/>
  <c r="N146" i="196"/>
  <c r="N148" i="196" s="1" a="1"/>
  <c r="W129" i="194"/>
  <c r="W132" i="194" s="1"/>
  <c r="X146" i="196"/>
  <c r="X148" i="196" s="1" a="1"/>
  <c r="X148" i="196" s="1"/>
  <c r="X150" i="196" s="1"/>
  <c r="H54" i="193"/>
  <c r="Q129" i="194"/>
  <c r="Q133" i="194" s="1"/>
  <c r="P129" i="194"/>
  <c r="P133" i="194" s="1"/>
  <c r="T146" i="196"/>
  <c r="T148" i="196" s="1" a="1"/>
  <c r="T148" i="196" s="1"/>
  <c r="T150" i="196" s="1"/>
  <c r="P146" i="196"/>
  <c r="P148" i="196" s="1" a="1"/>
  <c r="P148" i="196" s="1"/>
  <c r="P150" i="196" s="1"/>
  <c r="H57" i="193"/>
  <c r="S146" i="196"/>
  <c r="S148" i="196" s="1" a="1"/>
  <c r="S148" i="196" s="1"/>
  <c r="S150" i="196" s="1"/>
  <c r="J146" i="196"/>
  <c r="AD146" i="196"/>
  <c r="AD148" i="196" s="1" a="1"/>
  <c r="AD148" i="196" s="1"/>
  <c r="AD150" i="196" s="1"/>
  <c r="AF146" i="196"/>
  <c r="AF148" i="196" s="1" a="1"/>
  <c r="AF148" i="196" s="1"/>
  <c r="AF150" i="196" s="1"/>
  <c r="AG146" i="196"/>
  <c r="U129" i="194"/>
  <c r="U132" i="194" s="1"/>
  <c r="J148" i="196" a="1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Q33" i="187" s="1"/>
  <c r="H54" i="192"/>
  <c r="H51" i="193"/>
  <c r="O129" i="194"/>
  <c r="N129" i="194"/>
  <c r="AE146" i="196"/>
  <c r="AE148" i="196" s="1" a="1"/>
  <c r="AE148" i="196" s="1"/>
  <c r="AE150" i="196" s="1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U146" i="196"/>
  <c r="U148" i="196" s="1" a="1"/>
  <c r="U148" i="196" s="1"/>
  <c r="U150" i="196" s="1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W133" i="194" l="1"/>
  <c r="Z148" i="196" a="1"/>
  <c r="Z148" i="196" s="1"/>
  <c r="Z150" i="196" s="1"/>
  <c r="N148" i="196"/>
  <c r="N150" i="196" s="1"/>
  <c r="J148" i="196"/>
  <c r="J150" i="196" s="1"/>
  <c r="AG148" i="196" a="1"/>
  <c r="AG148" i="196" s="1"/>
  <c r="AG150" i="196" s="1"/>
  <c r="K133" i="194"/>
  <c r="U133" i="194"/>
  <c r="Q132" i="194"/>
  <c r="N36" i="186"/>
  <c r="V42" i="186"/>
  <c r="V202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N39" i="186"/>
  <c r="R40" i="186"/>
  <c r="Y42" i="186"/>
  <c r="Y202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N206" i="186" s="1"/>
  <c r="M38" i="186"/>
  <c r="R35" i="186"/>
  <c r="W39" i="186"/>
  <c r="Y40" i="186"/>
  <c r="Y37" i="186"/>
  <c r="V132" i="194"/>
  <c r="V133" i="194"/>
  <c r="H33" i="187"/>
  <c r="T74" i="188" s="1"/>
  <c r="T76" i="188" s="1"/>
  <c r="T108" i="188" s="1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2" i="186" s="1"/>
  <c r="M42" i="186"/>
  <c r="M202" i="186" s="1"/>
  <c r="M206" i="186" s="1"/>
  <c r="J133" i="194"/>
  <c r="J132" i="194"/>
  <c r="R42" i="186"/>
  <c r="R202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S202" i="186" l="1"/>
  <c r="S206" i="186" s="1"/>
  <c r="T204" i="186"/>
  <c r="T206" i="186" s="1"/>
  <c r="V204" i="186"/>
  <c r="V206" i="186" s="1"/>
  <c r="W204" i="186"/>
  <c r="W206" i="186" s="1"/>
  <c r="AM183" i="196"/>
  <c r="J183" i="196"/>
  <c r="Q183" i="196"/>
  <c r="S156" i="196"/>
  <c r="S158" i="196" s="1"/>
  <c r="AE183" i="196"/>
  <c r="X183" i="196"/>
  <c r="Z156" i="196"/>
  <c r="Z158" i="196" s="1"/>
  <c r="R156" i="196"/>
  <c r="R158" i="196" s="1"/>
  <c r="AO183" i="196"/>
  <c r="W183" i="196"/>
  <c r="T156" i="196"/>
  <c r="T158" i="196" s="1"/>
  <c r="AE156" i="196"/>
  <c r="AE158" i="196" s="1"/>
  <c r="AI156" i="196"/>
  <c r="AI158" i="196" s="1"/>
  <c r="AA156" i="196"/>
  <c r="AA158" i="196" s="1"/>
  <c r="P156" i="196"/>
  <c r="P158" i="196" s="1"/>
  <c r="X156" i="196"/>
  <c r="X158" i="196" s="1"/>
  <c r="AF156" i="196"/>
  <c r="AF158" i="196" s="1"/>
  <c r="R183" i="196"/>
  <c r="AI183" i="196"/>
  <c r="AK156" i="196"/>
  <c r="AK158" i="196" s="1"/>
  <c r="U183" i="196"/>
  <c r="Y156" i="196"/>
  <c r="Y158" i="196" s="1"/>
  <c r="AB183" i="196"/>
  <c r="O156" i="196"/>
  <c r="O158" i="196" s="1"/>
  <c r="N156" i="196"/>
  <c r="N158" i="196" s="1"/>
  <c r="Z183" i="196"/>
  <c r="AL156" i="196"/>
  <c r="AL158" i="196" s="1"/>
  <c r="K183" i="196"/>
  <c r="AB156" i="196"/>
  <c r="AB158" i="196" s="1"/>
  <c r="L156" i="196"/>
  <c r="L158" i="196" s="1"/>
  <c r="U156" i="196"/>
  <c r="U158" i="196" s="1"/>
  <c r="AL183" i="196"/>
  <c r="Y183" i="196"/>
  <c r="J156" i="196"/>
  <c r="J158" i="196" s="1"/>
  <c r="S183" i="196"/>
  <c r="O183" i="196"/>
  <c r="AC183" i="196"/>
  <c r="AH183" i="196"/>
  <c r="AJ156" i="196"/>
  <c r="AJ158" i="196" s="1"/>
  <c r="L183" i="196"/>
  <c r="M183" i="196"/>
  <c r="W156" i="196"/>
  <c r="W158" i="196" s="1"/>
  <c r="W185" i="196" s="1"/>
  <c r="V183" i="196"/>
  <c r="AD156" i="196"/>
  <c r="AD158" i="196" s="1"/>
  <c r="Q156" i="196"/>
  <c r="Q158" i="196" s="1"/>
  <c r="AM156" i="196"/>
  <c r="AM158" i="196" s="1"/>
  <c r="AH156" i="196"/>
  <c r="AH158" i="196" s="1"/>
  <c r="AN156" i="196"/>
  <c r="AN158" i="196" s="1"/>
  <c r="AA183" i="196"/>
  <c r="N183" i="196"/>
  <c r="T183" i="196"/>
  <c r="T185" i="196" s="1"/>
  <c r="AD183" i="196"/>
  <c r="AJ183" i="196"/>
  <c r="K156" i="196"/>
  <c r="K158" i="196" s="1"/>
  <c r="AN183" i="196"/>
  <c r="AO156" i="196"/>
  <c r="AO158" i="196" s="1"/>
  <c r="P183" i="196"/>
  <c r="AG156" i="196"/>
  <c r="AG158" i="196" s="1"/>
  <c r="AG183" i="196"/>
  <c r="AC156" i="196"/>
  <c r="AC158" i="196" s="1"/>
  <c r="V156" i="196"/>
  <c r="V158" i="196" s="1"/>
  <c r="AF183" i="196"/>
  <c r="AK183" i="196"/>
  <c r="M156" i="196"/>
  <c r="M158" i="196" s="1"/>
  <c r="X204" i="186"/>
  <c r="X206" i="186" s="1"/>
  <c r="U204" i="186"/>
  <c r="U206" i="186" s="1"/>
  <c r="H38" i="187" a="1"/>
  <c r="H38" i="187" s="1"/>
  <c r="J49" i="55" s="1"/>
  <c r="Y204" i="186"/>
  <c r="Y206" i="186" s="1"/>
  <c r="R204" i="186"/>
  <c r="R206" i="186" s="1"/>
  <c r="Q21" i="182"/>
  <c r="Q23" i="182" s="1"/>
  <c r="R20" i="182"/>
  <c r="A2" i="28"/>
  <c r="A2" i="55"/>
  <c r="D14" i="27"/>
  <c r="D10" i="27"/>
  <c r="D8" i="27"/>
  <c r="D6" i="27"/>
  <c r="X185" i="196" l="1"/>
  <c r="L185" i="196"/>
  <c r="AA185" i="196"/>
  <c r="AH185" i="196"/>
  <c r="V185" i="196"/>
  <c r="Q185" i="196"/>
  <c r="AI185" i="196"/>
  <c r="AE185" i="196"/>
  <c r="O185" i="196"/>
  <c r="Y185" i="196"/>
  <c r="AF185" i="196"/>
  <c r="AO185" i="196"/>
  <c r="AL185" i="196"/>
  <c r="AK185" i="196"/>
  <c r="K185" i="196"/>
  <c r="AC185" i="196"/>
  <c r="AD185" i="196"/>
  <c r="M185" i="196"/>
  <c r="J185" i="196"/>
  <c r="U185" i="196"/>
  <c r="AB185" i="196"/>
  <c r="AJ185" i="196"/>
  <c r="P185" i="196"/>
  <c r="AN185" i="196"/>
  <c r="S185" i="196"/>
  <c r="AG185" i="196"/>
  <c r="Z185" i="196"/>
  <c r="R185" i="196"/>
  <c r="N185" i="196"/>
  <c r="AM185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214" i="186" l="1" a="1"/>
  <c r="H218" i="186" s="1"/>
  <c r="H230" i="186" s="1"/>
  <c r="H187" i="196"/>
  <c r="AL189" i="196" s="1"/>
  <c r="H183" i="182" a="1"/>
  <c r="H183" i="182" s="1"/>
  <c r="A4" i="182" s="1"/>
  <c r="A1" i="28"/>
  <c r="AM189" i="196" l="1"/>
  <c r="AJ189" i="196"/>
  <c r="H221" i="186"/>
  <c r="H233" i="186" s="1"/>
  <c r="Y246" i="186" s="1"/>
  <c r="AD189" i="196"/>
  <c r="H216" i="186"/>
  <c r="H228" i="186" s="1"/>
  <c r="Y254" i="186" s="1"/>
  <c r="H217" i="186"/>
  <c r="H229" i="186" s="1"/>
  <c r="H27" i="192" s="1"/>
  <c r="U189" i="196"/>
  <c r="H220" i="186"/>
  <c r="H232" i="186" s="1"/>
  <c r="V258" i="186" s="1"/>
  <c r="H219" i="186"/>
  <c r="H231" i="186" s="1"/>
  <c r="P244" i="186" s="1"/>
  <c r="H215" i="186"/>
  <c r="H227" i="186" s="1"/>
  <c r="H25" i="192" s="1"/>
  <c r="AF189" i="196"/>
  <c r="H222" i="186"/>
  <c r="R189" i="196"/>
  <c r="W189" i="196"/>
  <c r="S189" i="196"/>
  <c r="X189" i="196"/>
  <c r="AK189" i="196"/>
  <c r="Y189" i="196"/>
  <c r="AB189" i="196"/>
  <c r="L189" i="196"/>
  <c r="Q189" i="196"/>
  <c r="AA189" i="196"/>
  <c r="K189" i="196"/>
  <c r="AI189" i="196"/>
  <c r="AN189" i="196"/>
  <c r="AC189" i="196"/>
  <c r="AE189" i="196"/>
  <c r="AO189" i="196"/>
  <c r="V189" i="196"/>
  <c r="N189" i="196"/>
  <c r="AG189" i="196"/>
  <c r="H214" i="186"/>
  <c r="H226" i="186" s="1"/>
  <c r="H24" i="192" s="1"/>
  <c r="M189" i="196"/>
  <c r="P189" i="196"/>
  <c r="Z189" i="196"/>
  <c r="J189" i="196"/>
  <c r="T189" i="196"/>
  <c r="O189" i="196"/>
  <c r="AH189" i="196"/>
  <c r="J44" i="55"/>
  <c r="H28" i="192"/>
  <c r="R256" i="186"/>
  <c r="V243" i="186"/>
  <c r="T256" i="186"/>
  <c r="P243" i="186"/>
  <c r="S256" i="186"/>
  <c r="W243" i="186"/>
  <c r="M243" i="186"/>
  <c r="V256" i="186"/>
  <c r="O243" i="186"/>
  <c r="W256" i="186"/>
  <c r="K243" i="186"/>
  <c r="L243" i="186"/>
  <c r="X256" i="186"/>
  <c r="Q243" i="186"/>
  <c r="N243" i="186"/>
  <c r="J243" i="186"/>
  <c r="Y243" i="186"/>
  <c r="U256" i="186"/>
  <c r="X243" i="186"/>
  <c r="S243" i="186"/>
  <c r="R243" i="186"/>
  <c r="Y256" i="186"/>
  <c r="U243" i="186"/>
  <c r="T243" i="186"/>
  <c r="X241" i="186" l="1"/>
  <c r="H31" i="192"/>
  <c r="R241" i="186"/>
  <c r="T254" i="186"/>
  <c r="L246" i="186"/>
  <c r="X246" i="186"/>
  <c r="S259" i="186"/>
  <c r="W259" i="186"/>
  <c r="R246" i="186"/>
  <c r="O246" i="186"/>
  <c r="P246" i="186"/>
  <c r="T246" i="186"/>
  <c r="Y259" i="186"/>
  <c r="N246" i="186"/>
  <c r="R259" i="186"/>
  <c r="V246" i="186"/>
  <c r="U259" i="186"/>
  <c r="J246" i="186"/>
  <c r="M246" i="186"/>
  <c r="K246" i="186"/>
  <c r="Q246" i="186"/>
  <c r="V259" i="186"/>
  <c r="X259" i="186"/>
  <c r="T259" i="186"/>
  <c r="W246" i="186"/>
  <c r="U246" i="186"/>
  <c r="S246" i="186"/>
  <c r="H26" i="192"/>
  <c r="O135" i="192" s="1"/>
  <c r="T241" i="186"/>
  <c r="O241" i="186"/>
  <c r="K241" i="186"/>
  <c r="V253" i="186"/>
  <c r="V241" i="186"/>
  <c r="Y240" i="186"/>
  <c r="S241" i="186"/>
  <c r="Y253" i="186"/>
  <c r="L240" i="186"/>
  <c r="W253" i="186"/>
  <c r="R240" i="186"/>
  <c r="P240" i="186"/>
  <c r="T253" i="186"/>
  <c r="S240" i="186"/>
  <c r="N240" i="186"/>
  <c r="Q240" i="186"/>
  <c r="V240" i="186"/>
  <c r="U240" i="186"/>
  <c r="S253" i="186"/>
  <c r="R253" i="186"/>
  <c r="W240" i="186"/>
  <c r="U253" i="186"/>
  <c r="K240" i="186"/>
  <c r="X253" i="186"/>
  <c r="M240" i="186"/>
  <c r="N241" i="186"/>
  <c r="X240" i="186"/>
  <c r="J240" i="186"/>
  <c r="T240" i="186"/>
  <c r="O240" i="186"/>
  <c r="O239" i="186"/>
  <c r="X252" i="186"/>
  <c r="W241" i="186"/>
  <c r="M241" i="186"/>
  <c r="U241" i="186"/>
  <c r="X254" i="186"/>
  <c r="S254" i="186"/>
  <c r="U254" i="186"/>
  <c r="Y241" i="186"/>
  <c r="J241" i="186"/>
  <c r="P241" i="186"/>
  <c r="L241" i="186"/>
  <c r="R254" i="186"/>
  <c r="W254" i="186"/>
  <c r="Q241" i="186"/>
  <c r="V254" i="186"/>
  <c r="K242" i="186"/>
  <c r="W242" i="186"/>
  <c r="V255" i="186"/>
  <c r="X255" i="186"/>
  <c r="P242" i="186"/>
  <c r="S242" i="186"/>
  <c r="L242" i="186"/>
  <c r="N242" i="186"/>
  <c r="S255" i="186"/>
  <c r="T255" i="186"/>
  <c r="U242" i="186"/>
  <c r="X242" i="186"/>
  <c r="U255" i="186"/>
  <c r="W255" i="186"/>
  <c r="J242" i="186"/>
  <c r="T242" i="186"/>
  <c r="R255" i="186"/>
  <c r="M242" i="186"/>
  <c r="Q242" i="186"/>
  <c r="M239" i="186"/>
  <c r="P245" i="186"/>
  <c r="V252" i="186"/>
  <c r="J239" i="186"/>
  <c r="Q239" i="186"/>
  <c r="H23" i="192"/>
  <c r="O242" i="186"/>
  <c r="Y242" i="186"/>
  <c r="Y258" i="186"/>
  <c r="R242" i="186"/>
  <c r="R245" i="186"/>
  <c r="Y255" i="186"/>
  <c r="V242" i="186"/>
  <c r="T244" i="186"/>
  <c r="O244" i="186"/>
  <c r="W257" i="186"/>
  <c r="W244" i="186"/>
  <c r="U244" i="186"/>
  <c r="W258" i="186"/>
  <c r="T252" i="186"/>
  <c r="R244" i="186"/>
  <c r="Y245" i="186"/>
  <c r="S258" i="186"/>
  <c r="R239" i="186"/>
  <c r="P239" i="186"/>
  <c r="S239" i="186"/>
  <c r="M244" i="186"/>
  <c r="L244" i="186"/>
  <c r="X244" i="186"/>
  <c r="H29" i="192"/>
  <c r="L138" i="192" s="1"/>
  <c r="W245" i="186"/>
  <c r="U245" i="186"/>
  <c r="K245" i="186"/>
  <c r="Y257" i="186"/>
  <c r="V257" i="186"/>
  <c r="X239" i="186"/>
  <c r="N239" i="186"/>
  <c r="L239" i="186"/>
  <c r="T257" i="186"/>
  <c r="J244" i="186"/>
  <c r="X257" i="186"/>
  <c r="X258" i="186"/>
  <c r="R258" i="186"/>
  <c r="V245" i="186"/>
  <c r="O245" i="186"/>
  <c r="U239" i="186"/>
  <c r="W239" i="186"/>
  <c r="V244" i="186"/>
  <c r="X245" i="186"/>
  <c r="V239" i="186"/>
  <c r="U252" i="186"/>
  <c r="Y252" i="186"/>
  <c r="U257" i="186"/>
  <c r="N244" i="186"/>
  <c r="Q244" i="186"/>
  <c r="L245" i="186"/>
  <c r="T245" i="186"/>
  <c r="M245" i="186"/>
  <c r="H30" i="192"/>
  <c r="N139" i="192" s="1"/>
  <c r="R252" i="186"/>
  <c r="S244" i="186"/>
  <c r="R257" i="186"/>
  <c r="Y244" i="186"/>
  <c r="J245" i="186"/>
  <c r="Q245" i="186"/>
  <c r="N245" i="186"/>
  <c r="T258" i="186"/>
  <c r="T239" i="186"/>
  <c r="S252" i="186"/>
  <c r="Y239" i="186"/>
  <c r="W252" i="186"/>
  <c r="K239" i="186"/>
  <c r="S257" i="186"/>
  <c r="K244" i="186"/>
  <c r="S245" i="186"/>
  <c r="U258" i="186"/>
  <c r="M165" i="192"/>
  <c r="M225" i="192" s="1"/>
  <c r="K134" i="192"/>
  <c r="M164" i="192"/>
  <c r="M224" i="192" s="1"/>
  <c r="P134" i="192"/>
  <c r="N134" i="192"/>
  <c r="P164" i="192"/>
  <c r="P224" i="192" s="1"/>
  <c r="N164" i="192"/>
  <c r="N224" i="192" s="1"/>
  <c r="M134" i="192"/>
  <c r="L164" i="192"/>
  <c r="L224" i="192" s="1"/>
  <c r="K164" i="192"/>
  <c r="K224" i="192" s="1"/>
  <c r="Q134" i="192"/>
  <c r="L134" i="192"/>
  <c r="J134" i="192"/>
  <c r="O164" i="192"/>
  <c r="O224" i="192" s="1"/>
  <c r="Q164" i="192"/>
  <c r="Q224" i="192" s="1"/>
  <c r="J164" i="192"/>
  <c r="J224" i="192" s="1"/>
  <c r="O134" i="192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O140" i="192"/>
  <c r="K140" i="192"/>
  <c r="Q140" i="192"/>
  <c r="M140" i="192"/>
  <c r="L170" i="192"/>
  <c r="L230" i="192" s="1"/>
  <c r="O170" i="192"/>
  <c r="O230" i="192" s="1"/>
  <c r="K170" i="192"/>
  <c r="K230" i="192" s="1"/>
  <c r="Q170" i="192"/>
  <c r="Q230" i="192" s="1"/>
  <c r="M170" i="192"/>
  <c r="M230" i="192" s="1"/>
  <c r="L140" i="192"/>
  <c r="P170" i="192"/>
  <c r="P230" i="192" s="1"/>
  <c r="P140" i="192"/>
  <c r="J170" i="192"/>
  <c r="J230" i="192" s="1"/>
  <c r="N140" i="192"/>
  <c r="N170" i="192"/>
  <c r="N230" i="192" s="1"/>
  <c r="J140" i="192"/>
  <c r="N136" i="192"/>
  <c r="K166" i="192"/>
  <c r="K226" i="192" s="1"/>
  <c r="P166" i="192"/>
  <c r="P226" i="192" s="1"/>
  <c r="N166" i="192"/>
  <c r="N226" i="192" s="1"/>
  <c r="K136" i="192"/>
  <c r="P136" i="192"/>
  <c r="Q136" i="192"/>
  <c r="O136" i="192"/>
  <c r="M136" i="192"/>
  <c r="O166" i="192"/>
  <c r="O226" i="192" s="1"/>
  <c r="M166" i="192"/>
  <c r="M226" i="192" s="1"/>
  <c r="L136" i="192"/>
  <c r="L166" i="192"/>
  <c r="L226" i="192" s="1"/>
  <c r="Q166" i="192"/>
  <c r="Q226" i="192" s="1"/>
  <c r="J166" i="192"/>
  <c r="J226" i="192" s="1"/>
  <c r="J136" i="192"/>
  <c r="K69" i="185"/>
  <c r="M69" i="185"/>
  <c r="O69" i="185"/>
  <c r="L69" i="185"/>
  <c r="P69" i="185"/>
  <c r="N69" i="185"/>
  <c r="J69" i="185"/>
  <c r="W164" i="193"/>
  <c r="W165" i="193"/>
  <c r="Y166" i="193"/>
  <c r="X166" i="193"/>
  <c r="X167" i="193"/>
  <c r="X160" i="193"/>
  <c r="X161" i="193"/>
  <c r="R162" i="193"/>
  <c r="U163" i="193"/>
  <c r="W161" i="193"/>
  <c r="S163" i="193"/>
  <c r="R163" i="193"/>
  <c r="R161" i="193"/>
  <c r="Y167" i="193"/>
  <c r="Y160" i="193"/>
  <c r="S162" i="193"/>
  <c r="V163" i="193"/>
  <c r="V166" i="193"/>
  <c r="X162" i="193"/>
  <c r="W162" i="193"/>
  <c r="R167" i="193"/>
  <c r="U167" i="193"/>
  <c r="T162" i="193"/>
  <c r="Y161" i="193"/>
  <c r="V162" i="193"/>
  <c r="U162" i="193"/>
  <c r="R166" i="193"/>
  <c r="W163" i="193"/>
  <c r="S161" i="193"/>
  <c r="V165" i="193"/>
  <c r="R160" i="193"/>
  <c r="X165" i="193"/>
  <c r="W160" i="193"/>
  <c r="R165" i="193"/>
  <c r="S166" i="193"/>
  <c r="T164" i="193"/>
  <c r="Y163" i="193"/>
  <c r="Y164" i="193"/>
  <c r="T161" i="193"/>
  <c r="Y165" i="193"/>
  <c r="S167" i="193"/>
  <c r="S160" i="193"/>
  <c r="T167" i="193"/>
  <c r="U165" i="193"/>
  <c r="T165" i="193"/>
  <c r="T166" i="193"/>
  <c r="U160" i="193"/>
  <c r="V167" i="193"/>
  <c r="U164" i="193"/>
  <c r="V164" i="193"/>
  <c r="V160" i="193"/>
  <c r="X163" i="193"/>
  <c r="S164" i="193"/>
  <c r="U166" i="193"/>
  <c r="R164" i="193"/>
  <c r="S165" i="193"/>
  <c r="V161" i="193"/>
  <c r="W166" i="193"/>
  <c r="T160" i="193"/>
  <c r="T163" i="193"/>
  <c r="X164" i="193"/>
  <c r="W167" i="193"/>
  <c r="U161" i="193"/>
  <c r="Y162" i="193"/>
  <c r="L165" i="192" l="1"/>
  <c r="L225" i="192" s="1"/>
  <c r="J135" i="192"/>
  <c r="O165" i="192"/>
  <c r="O225" i="192" s="1"/>
  <c r="N165" i="192"/>
  <c r="N225" i="192" s="1"/>
  <c r="Q165" i="192"/>
  <c r="Q225" i="192" s="1"/>
  <c r="P165" i="192"/>
  <c r="P225" i="192" s="1"/>
  <c r="J165" i="192"/>
  <c r="J225" i="192" s="1"/>
  <c r="K165" i="192"/>
  <c r="K225" i="192" s="1"/>
  <c r="Q135" i="192"/>
  <c r="Q265" i="192" s="1"/>
  <c r="Q28" i="194" s="1"/>
  <c r="L135" i="192"/>
  <c r="P135" i="192"/>
  <c r="P195" i="192" s="1"/>
  <c r="N135" i="192"/>
  <c r="K135" i="192"/>
  <c r="K265" i="192" s="1"/>
  <c r="K28" i="194" s="1"/>
  <c r="M135" i="192"/>
  <c r="M195" i="192" s="1"/>
  <c r="O168" i="192"/>
  <c r="O228" i="192" s="1"/>
  <c r="M139" i="192"/>
  <c r="M269" i="192" s="1"/>
  <c r="M32" i="194" s="1"/>
  <c r="O139" i="192"/>
  <c r="O199" i="192" s="1"/>
  <c r="K169" i="192"/>
  <c r="K229" i="192" s="1"/>
  <c r="J169" i="192"/>
  <c r="J229" i="192" s="1"/>
  <c r="L139" i="192"/>
  <c r="L269" i="192" s="1"/>
  <c r="L32" i="194" s="1"/>
  <c r="M168" i="192"/>
  <c r="M228" i="192" s="1"/>
  <c r="P168" i="192"/>
  <c r="P228" i="192" s="1"/>
  <c r="O138" i="192"/>
  <c r="O198" i="192" s="1"/>
  <c r="K138" i="192"/>
  <c r="K198" i="192" s="1"/>
  <c r="J168" i="192"/>
  <c r="J228" i="192" s="1"/>
  <c r="O169" i="192"/>
  <c r="O229" i="192" s="1"/>
  <c r="Q169" i="192"/>
  <c r="Q229" i="192" s="1"/>
  <c r="K139" i="192"/>
  <c r="K199" i="192" s="1"/>
  <c r="M169" i="192"/>
  <c r="M229" i="192" s="1"/>
  <c r="Q139" i="192"/>
  <c r="Q199" i="192" s="1"/>
  <c r="P139" i="192"/>
  <c r="P269" i="192" s="1"/>
  <c r="P32" i="194" s="1"/>
  <c r="N169" i="192"/>
  <c r="N229" i="192" s="1"/>
  <c r="J139" i="192"/>
  <c r="J269" i="192" s="1"/>
  <c r="J32" i="194" s="1"/>
  <c r="L169" i="192"/>
  <c r="L229" i="192" s="1"/>
  <c r="P169" i="192"/>
  <c r="P229" i="192" s="1"/>
  <c r="Q138" i="192"/>
  <c r="Q198" i="192" s="1"/>
  <c r="M138" i="192"/>
  <c r="M268" i="192" s="1"/>
  <c r="M31" i="194" s="1"/>
  <c r="N168" i="192"/>
  <c r="N228" i="192" s="1"/>
  <c r="L168" i="192"/>
  <c r="L228" i="192" s="1"/>
  <c r="K168" i="192"/>
  <c r="K228" i="192" s="1"/>
  <c r="P138" i="192"/>
  <c r="P198" i="192" s="1"/>
  <c r="J138" i="192"/>
  <c r="J268" i="192" s="1"/>
  <c r="J31" i="194" s="1"/>
  <c r="Q168" i="192"/>
  <c r="Q228" i="192" s="1"/>
  <c r="N138" i="192"/>
  <c r="N268" i="192" s="1"/>
  <c r="N31" i="194" s="1"/>
  <c r="J266" i="192"/>
  <c r="J29" i="194" s="1"/>
  <c r="J196" i="192"/>
  <c r="O266" i="192"/>
  <c r="O29" i="194" s="1"/>
  <c r="O196" i="192"/>
  <c r="J270" i="192"/>
  <c r="J33" i="194" s="1"/>
  <c r="J200" i="192"/>
  <c r="K197" i="192"/>
  <c r="K267" i="192"/>
  <c r="K30" i="194" s="1"/>
  <c r="O264" i="192"/>
  <c r="O27" i="194" s="1"/>
  <c r="O194" i="192"/>
  <c r="L195" i="192"/>
  <c r="L265" i="192"/>
  <c r="L28" i="194" s="1"/>
  <c r="Q196" i="192"/>
  <c r="Q266" i="192"/>
  <c r="Q29" i="194" s="1"/>
  <c r="M197" i="192"/>
  <c r="M267" i="192"/>
  <c r="M30" i="194" s="1"/>
  <c r="M194" i="192"/>
  <c r="M264" i="192"/>
  <c r="M27" i="194" s="1"/>
  <c r="N195" i="192"/>
  <c r="N265" i="192"/>
  <c r="N28" i="194" s="1"/>
  <c r="O265" i="192"/>
  <c r="O28" i="194" s="1"/>
  <c r="O195" i="192"/>
  <c r="K266" i="192"/>
  <c r="K29" i="194" s="1"/>
  <c r="K196" i="192"/>
  <c r="O197" i="192"/>
  <c r="O267" i="192"/>
  <c r="O30" i="194" s="1"/>
  <c r="L198" i="192"/>
  <c r="L268" i="192"/>
  <c r="L31" i="194" s="1"/>
  <c r="J265" i="192"/>
  <c r="J28" i="194" s="1"/>
  <c r="J195" i="192"/>
  <c r="N200" i="192"/>
  <c r="N270" i="192"/>
  <c r="N33" i="194" s="1"/>
  <c r="L266" i="192"/>
  <c r="L29" i="194" s="1"/>
  <c r="L196" i="192"/>
  <c r="P200" i="192"/>
  <c r="P270" i="192"/>
  <c r="P33" i="194" s="1"/>
  <c r="M200" i="192"/>
  <c r="M270" i="192"/>
  <c r="M33" i="194" s="1"/>
  <c r="L267" i="192"/>
  <c r="L30" i="194" s="1"/>
  <c r="L197" i="192"/>
  <c r="J264" i="192"/>
  <c r="J27" i="194" s="1"/>
  <c r="J194" i="192"/>
  <c r="N194" i="192"/>
  <c r="N264" i="192"/>
  <c r="N27" i="194" s="1"/>
  <c r="P266" i="192"/>
  <c r="P29" i="194" s="1"/>
  <c r="P196" i="192"/>
  <c r="Q200" i="192"/>
  <c r="Q270" i="192"/>
  <c r="Q33" i="194" s="1"/>
  <c r="N197" i="192"/>
  <c r="N267" i="192"/>
  <c r="N30" i="194" s="1"/>
  <c r="P267" i="192"/>
  <c r="P30" i="194" s="1"/>
  <c r="P197" i="192"/>
  <c r="L264" i="192"/>
  <c r="L27" i="194" s="1"/>
  <c r="L194" i="192"/>
  <c r="P194" i="192"/>
  <c r="P264" i="192"/>
  <c r="P27" i="194" s="1"/>
  <c r="L270" i="192"/>
  <c r="L33" i="194" s="1"/>
  <c r="L200" i="192"/>
  <c r="K270" i="192"/>
  <c r="K33" i="194" s="1"/>
  <c r="K200" i="192"/>
  <c r="Q197" i="192"/>
  <c r="Q267" i="192"/>
  <c r="Q30" i="194" s="1"/>
  <c r="N199" i="192"/>
  <c r="N269" i="192"/>
  <c r="N32" i="194" s="1"/>
  <c r="Q264" i="192"/>
  <c r="Q27" i="194" s="1"/>
  <c r="Q194" i="192"/>
  <c r="M196" i="192"/>
  <c r="M266" i="192"/>
  <c r="M29" i="194" s="1"/>
  <c r="N266" i="192"/>
  <c r="N29" i="194" s="1"/>
  <c r="N196" i="192"/>
  <c r="O270" i="192"/>
  <c r="O33" i="194" s="1"/>
  <c r="O200" i="192"/>
  <c r="J267" i="192"/>
  <c r="J30" i="194" s="1"/>
  <c r="J197" i="192"/>
  <c r="K264" i="192"/>
  <c r="K27" i="194" s="1"/>
  <c r="K194" i="192"/>
  <c r="Q195" i="192"/>
  <c r="O258" i="186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K195" i="192" l="1"/>
  <c r="J199" i="192"/>
  <c r="M265" i="192"/>
  <c r="M28" i="194" s="1"/>
  <c r="P265" i="192"/>
  <c r="P28" i="194" s="1"/>
  <c r="K268" i="192"/>
  <c r="K31" i="194" s="1"/>
  <c r="L199" i="192"/>
  <c r="M199" i="192"/>
  <c r="M198" i="192"/>
  <c r="O269" i="192"/>
  <c r="O32" i="194" s="1"/>
  <c r="O268" i="192"/>
  <c r="O31" i="194" s="1"/>
  <c r="P199" i="192"/>
  <c r="Q269" i="192"/>
  <c r="Q32" i="194" s="1"/>
  <c r="Q268" i="192"/>
  <c r="Q31" i="194" s="1"/>
  <c r="N198" i="192"/>
  <c r="K269" i="192"/>
  <c r="K32" i="194" s="1"/>
  <c r="J198" i="192"/>
  <c r="P268" i="192"/>
  <c r="P31" i="194" s="1"/>
  <c r="O260" i="186" l="1"/>
  <c r="P260" i="186"/>
  <c r="N260" i="186"/>
  <c r="J106" i="98" l="1"/>
  <c r="H101" i="180" s="1"/>
  <c r="J98" i="188" s="1"/>
  <c r="J113" i="98" l="1"/>
  <c r="H108" i="180" s="1"/>
  <c r="H88" i="188" s="1"/>
  <c r="H90" i="188" s="1"/>
  <c r="H122" i="188" s="1"/>
  <c r="H20" i="190" s="1"/>
  <c r="J89" i="98" l="1"/>
  <c r="H89" i="180" s="1"/>
  <c r="J88" i="98"/>
  <c r="H88" i="180" s="1"/>
  <c r="J82" i="98"/>
  <c r="H82" i="180" s="1"/>
  <c r="J81" i="98"/>
  <c r="H81" i="180" s="1"/>
  <c r="J80" i="98"/>
  <c r="H80" i="180" s="1"/>
  <c r="J79" i="98"/>
  <c r="H79" i="180" s="1"/>
  <c r="J72" i="98"/>
  <c r="H72" i="180" s="1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59" i="98"/>
  <c r="H59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45" i="98"/>
  <c r="H45" i="180" s="1"/>
  <c r="J44" i="98"/>
  <c r="H44" i="180" s="1"/>
  <c r="P113" i="98" l="1"/>
  <c r="Q113" i="98" s="1"/>
  <c r="R113" i="98" s="1"/>
  <c r="S113" i="98" s="1"/>
  <c r="P126" i="100"/>
  <c r="Q126" i="100" s="1"/>
  <c r="R126" i="100" s="1"/>
  <c r="S126" i="100" s="1"/>
  <c r="P129" i="100"/>
  <c r="Q129" i="100" s="1"/>
  <c r="R129" i="100" s="1"/>
  <c r="S129" i="100" s="1"/>
  <c r="P106" i="98"/>
  <c r="Q106" i="98" s="1"/>
  <c r="R106" i="98" s="1"/>
  <c r="S106" i="98" s="1"/>
  <c r="P128" i="100"/>
  <c r="Q128" i="100" s="1"/>
  <c r="R128" i="100" s="1"/>
  <c r="S128" i="100" s="1"/>
  <c r="P130" i="100"/>
  <c r="Q130" i="100" s="1"/>
  <c r="R130" i="100" s="1"/>
  <c r="S130" i="100" s="1"/>
  <c r="P127" i="100"/>
  <c r="Q127" i="100" s="1"/>
  <c r="R127" i="100" s="1"/>
  <c r="S127" i="100" s="1"/>
  <c r="J46" i="98"/>
  <c r="H46" i="180" s="1"/>
  <c r="P112" i="98"/>
  <c r="Q112" i="98" s="1"/>
  <c r="R112" i="98" s="1"/>
  <c r="S112" i="98" s="1"/>
  <c r="P132" i="100"/>
  <c r="Q132" i="100" s="1"/>
  <c r="R132" i="100" s="1"/>
  <c r="S132" i="100" s="1"/>
  <c r="P131" i="100"/>
  <c r="Q131" i="100" s="1"/>
  <c r="R131" i="100" s="1"/>
  <c r="S131" i="100" s="1"/>
  <c r="P111" i="98"/>
  <c r="Q111" i="98" s="1"/>
  <c r="R111" i="98" s="1"/>
  <c r="S111" i="98" s="1"/>
  <c r="P125" i="100"/>
  <c r="Q125" i="100" s="1"/>
  <c r="R125" i="100" s="1"/>
  <c r="S125" i="100" s="1"/>
  <c r="J57" i="98"/>
  <c r="H57" i="180" s="1"/>
  <c r="J56" i="98"/>
  <c r="H56" i="180" s="1"/>
  <c r="O60" i="98"/>
  <c r="J60" i="98" s="1"/>
  <c r="J50" i="98"/>
  <c r="H50" i="180" s="1"/>
  <c r="J58" i="98"/>
  <c r="H58" i="180" s="1"/>
  <c r="O73" i="98"/>
  <c r="J73" i="98" s="1"/>
  <c r="J62" i="98"/>
  <c r="H62" i="180" s="1"/>
  <c r="H73" i="180" s="1"/>
  <c r="J78" i="98"/>
  <c r="H78" i="180" s="1"/>
  <c r="H83" i="180" s="1"/>
  <c r="O83" i="98"/>
  <c r="J83" i="98" s="1"/>
  <c r="J87" i="98"/>
  <c r="H87" i="180" s="1"/>
  <c r="H90" i="180" s="1"/>
  <c r="O90" i="98"/>
  <c r="J90" i="98" s="1"/>
  <c r="J43" i="98"/>
  <c r="H43" i="180" s="1"/>
  <c r="H47" i="180" s="1"/>
  <c r="O47" i="98"/>
  <c r="J75" i="98"/>
  <c r="H75" i="180" s="1"/>
  <c r="H64" i="196" l="1"/>
  <c r="H31" i="195"/>
  <c r="H32" i="195"/>
  <c r="H44" i="195" s="1"/>
  <c r="H65" i="196"/>
  <c r="O48" i="98"/>
  <c r="J48" i="98" s="1"/>
  <c r="J47" i="98"/>
  <c r="H48" i="180"/>
  <c r="H76" i="180" s="1"/>
  <c r="H84" i="180" s="1"/>
  <c r="H91" i="180" s="1"/>
  <c r="H66" i="196"/>
  <c r="H33" i="195"/>
  <c r="H45" i="195" s="1"/>
  <c r="H60" i="180"/>
  <c r="J26" i="98"/>
  <c r="H26" i="180" s="1"/>
  <c r="J25" i="98"/>
  <c r="H25" i="180" s="1"/>
  <c r="J21" i="98"/>
  <c r="H21" i="180" s="1"/>
  <c r="Q26" i="185" s="1"/>
  <c r="Q226" i="185" s="1"/>
  <c r="J20" i="98"/>
  <c r="H20" i="180" s="1"/>
  <c r="Q25" i="185" s="1"/>
  <c r="Q225" i="185" s="1"/>
  <c r="Q253" i="185" l="1"/>
  <c r="Q256" i="185"/>
  <c r="Q252" i="185"/>
  <c r="Q67" i="100"/>
  <c r="P67" i="100"/>
  <c r="S67" i="100"/>
  <c r="J67" i="100"/>
  <c r="P24" i="179" s="1"/>
  <c r="R67" i="100"/>
  <c r="H83" i="198"/>
  <c r="H126" i="198" s="1"/>
  <c r="H61" i="196"/>
  <c r="H68" i="196" s="1"/>
  <c r="J24" i="98"/>
  <c r="H24" i="180" s="1"/>
  <c r="O123" i="98"/>
  <c r="H123" i="98" s="1"/>
  <c r="Q22" i="97"/>
  <c r="P22" i="97"/>
  <c r="S22" i="97"/>
  <c r="R22" i="97"/>
  <c r="J22" i="97"/>
  <c r="J44" i="97"/>
  <c r="S44" i="97"/>
  <c r="R44" i="97"/>
  <c r="P44" i="97"/>
  <c r="Q44" i="97"/>
  <c r="S66" i="100"/>
  <c r="R66" i="100"/>
  <c r="J66" i="100"/>
  <c r="O24" i="179" s="1"/>
  <c r="Q66" i="100"/>
  <c r="P66" i="100"/>
  <c r="S184" i="100"/>
  <c r="R184" i="100"/>
  <c r="P184" i="100"/>
  <c r="Q184" i="100"/>
  <c r="J184" i="100"/>
  <c r="S46" i="179" s="1"/>
  <c r="H170" i="185" s="1"/>
  <c r="P168" i="100"/>
  <c r="R168" i="100"/>
  <c r="J168" i="100"/>
  <c r="O45" i="179" s="1"/>
  <c r="H137" i="185" s="1"/>
  <c r="S168" i="100"/>
  <c r="Q168" i="100"/>
  <c r="R147" i="100"/>
  <c r="R203" i="100" s="1"/>
  <c r="S147" i="100"/>
  <c r="P147" i="100"/>
  <c r="P203" i="100" s="1"/>
  <c r="Q147" i="100"/>
  <c r="O203" i="100"/>
  <c r="J147" i="100"/>
  <c r="R43" i="179" s="1"/>
  <c r="J19" i="97"/>
  <c r="P19" i="97"/>
  <c r="S19" i="97"/>
  <c r="R19" i="97"/>
  <c r="Q19" i="97"/>
  <c r="J43" i="97"/>
  <c r="S43" i="97"/>
  <c r="R43" i="97"/>
  <c r="P43" i="97"/>
  <c r="Q43" i="97"/>
  <c r="J176" i="100"/>
  <c r="K46" i="179" s="1"/>
  <c r="H106" i="185" s="1"/>
  <c r="R176" i="100"/>
  <c r="P176" i="100"/>
  <c r="S176" i="100"/>
  <c r="Q176" i="100"/>
  <c r="R148" i="100"/>
  <c r="O204" i="100"/>
  <c r="J148" i="100"/>
  <c r="S43" i="179" s="1"/>
  <c r="Q148" i="100"/>
  <c r="Q204" i="100" s="1"/>
  <c r="S148" i="100"/>
  <c r="P148" i="100"/>
  <c r="S23" i="97"/>
  <c r="J23" i="97"/>
  <c r="Q23" i="97"/>
  <c r="P23" i="97"/>
  <c r="R23" i="97"/>
  <c r="S183" i="100"/>
  <c r="J183" i="100"/>
  <c r="R46" i="179" s="1"/>
  <c r="H162" i="185" s="1"/>
  <c r="R183" i="100"/>
  <c r="P183" i="100"/>
  <c r="Q183" i="100"/>
  <c r="J167" i="100"/>
  <c r="N45" i="179" s="1"/>
  <c r="H129" i="185" s="1"/>
  <c r="R167" i="100"/>
  <c r="S167" i="100"/>
  <c r="P167" i="100"/>
  <c r="Q167" i="100"/>
  <c r="S146" i="100"/>
  <c r="S202" i="100" s="1"/>
  <c r="Q146" i="100"/>
  <c r="R146" i="100"/>
  <c r="P146" i="100"/>
  <c r="O202" i="100"/>
  <c r="J146" i="100"/>
  <c r="Q43" i="179" s="1"/>
  <c r="P24" i="97"/>
  <c r="S24" i="97"/>
  <c r="J24" i="97"/>
  <c r="R24" i="97"/>
  <c r="Q24" i="97"/>
  <c r="S46" i="97"/>
  <c r="Q46" i="97"/>
  <c r="P46" i="97"/>
  <c r="R46" i="97"/>
  <c r="J46" i="97"/>
  <c r="R64" i="100"/>
  <c r="Q64" i="100"/>
  <c r="S64" i="100"/>
  <c r="P64" i="100"/>
  <c r="J64" i="100"/>
  <c r="M24" i="179" s="1"/>
  <c r="R182" i="100"/>
  <c r="J182" i="100"/>
  <c r="Q46" i="179" s="1"/>
  <c r="H154" i="185" s="1"/>
  <c r="Q207" i="185" s="1"/>
  <c r="P182" i="100"/>
  <c r="S182" i="100"/>
  <c r="Q182" i="100"/>
  <c r="R160" i="100"/>
  <c r="Q160" i="100"/>
  <c r="P160" i="100"/>
  <c r="S160" i="100"/>
  <c r="J160" i="100"/>
  <c r="S44" i="179" s="1"/>
  <c r="H168" i="185" s="1"/>
  <c r="R144" i="100"/>
  <c r="P144" i="100"/>
  <c r="Q144" i="100"/>
  <c r="O200" i="100"/>
  <c r="J144" i="100"/>
  <c r="O43" i="179" s="1"/>
  <c r="S144" i="100"/>
  <c r="O122" i="98"/>
  <c r="H122" i="98" s="1"/>
  <c r="J19" i="98"/>
  <c r="S170" i="100"/>
  <c r="P170" i="100"/>
  <c r="Q170" i="100"/>
  <c r="R170" i="100"/>
  <c r="J170" i="100"/>
  <c r="Q45" i="179" s="1"/>
  <c r="H153" i="185" s="1"/>
  <c r="S26" i="185"/>
  <c r="S226" i="185" s="1"/>
  <c r="T26" i="185"/>
  <c r="T226" i="185" s="1"/>
  <c r="Y26" i="185"/>
  <c r="Y226" i="185" s="1"/>
  <c r="U26" i="185"/>
  <c r="U226" i="185" s="1"/>
  <c r="O26" i="185"/>
  <c r="O226" i="185" s="1"/>
  <c r="N26" i="185"/>
  <c r="N226" i="185" s="1"/>
  <c r="P26" i="185"/>
  <c r="P226" i="185" s="1"/>
  <c r="V26" i="185"/>
  <c r="V226" i="185" s="1"/>
  <c r="W26" i="185"/>
  <c r="W226" i="185" s="1"/>
  <c r="M26" i="185"/>
  <c r="M226" i="185" s="1"/>
  <c r="J26" i="185"/>
  <c r="J226" i="185" s="1"/>
  <c r="L26" i="185"/>
  <c r="L226" i="185" s="1"/>
  <c r="R26" i="185"/>
  <c r="R226" i="185" s="1"/>
  <c r="X26" i="185"/>
  <c r="X226" i="185" s="1"/>
  <c r="K26" i="185"/>
  <c r="K226" i="185" s="1"/>
  <c r="S25" i="97"/>
  <c r="P25" i="97"/>
  <c r="R25" i="97"/>
  <c r="Q25" i="97"/>
  <c r="J25" i="97"/>
  <c r="J62" i="100"/>
  <c r="S62" i="100"/>
  <c r="P62" i="100"/>
  <c r="Q62" i="100"/>
  <c r="R62" i="100"/>
  <c r="R63" i="100"/>
  <c r="P63" i="100"/>
  <c r="S63" i="100"/>
  <c r="Q63" i="100"/>
  <c r="J63" i="100"/>
  <c r="L24" i="179" s="1"/>
  <c r="Q180" i="100"/>
  <c r="R180" i="100"/>
  <c r="J180" i="100"/>
  <c r="O46" i="179" s="1"/>
  <c r="H138" i="185" s="1"/>
  <c r="P180" i="100"/>
  <c r="S180" i="100"/>
  <c r="S159" i="100"/>
  <c r="J159" i="100"/>
  <c r="R44" i="179" s="1"/>
  <c r="H160" i="185" s="1"/>
  <c r="Q159" i="100"/>
  <c r="R159" i="100"/>
  <c r="P159" i="100"/>
  <c r="R143" i="100"/>
  <c r="P143" i="100"/>
  <c r="Q143" i="100"/>
  <c r="Q199" i="100" s="1"/>
  <c r="S143" i="100"/>
  <c r="O199" i="100"/>
  <c r="J143" i="100"/>
  <c r="N43" i="179" s="1"/>
  <c r="N49" i="195"/>
  <c r="L49" i="195"/>
  <c r="P49" i="195"/>
  <c r="O49" i="195"/>
  <c r="J49" i="195"/>
  <c r="Q21" i="97"/>
  <c r="J21" i="97"/>
  <c r="P21" i="97"/>
  <c r="R21" i="97"/>
  <c r="S21" i="97"/>
  <c r="U25" i="185"/>
  <c r="U225" i="185" s="1"/>
  <c r="R25" i="185"/>
  <c r="R225" i="185" s="1"/>
  <c r="S25" i="185"/>
  <c r="S225" i="185" s="1"/>
  <c r="O25" i="185"/>
  <c r="O225" i="185" s="1"/>
  <c r="T25" i="185"/>
  <c r="T225" i="185" s="1"/>
  <c r="N25" i="185"/>
  <c r="N225" i="185" s="1"/>
  <c r="K25" i="185"/>
  <c r="K225" i="185" s="1"/>
  <c r="V25" i="185"/>
  <c r="V225" i="185" s="1"/>
  <c r="Y25" i="185"/>
  <c r="Y225" i="185" s="1"/>
  <c r="W25" i="185"/>
  <c r="W225" i="185" s="1"/>
  <c r="L25" i="185"/>
  <c r="L225" i="185" s="1"/>
  <c r="M25" i="185"/>
  <c r="M225" i="185" s="1"/>
  <c r="X25" i="185"/>
  <c r="X225" i="185" s="1"/>
  <c r="J25" i="185"/>
  <c r="J225" i="185" s="1"/>
  <c r="P25" i="185"/>
  <c r="P225" i="185" s="1"/>
  <c r="R45" i="97"/>
  <c r="S45" i="97"/>
  <c r="P45" i="97"/>
  <c r="Q45" i="97"/>
  <c r="J45" i="97"/>
  <c r="P65" i="100"/>
  <c r="Q65" i="100"/>
  <c r="J65" i="100"/>
  <c r="N24" i="179" s="1"/>
  <c r="S65" i="100"/>
  <c r="R65" i="100"/>
  <c r="P26" i="97"/>
  <c r="J26" i="97"/>
  <c r="Q26" i="97"/>
  <c r="R26" i="97"/>
  <c r="S26" i="97"/>
  <c r="S70" i="100"/>
  <c r="P70" i="100"/>
  <c r="Q70" i="100"/>
  <c r="R70" i="100"/>
  <c r="J70" i="100"/>
  <c r="S24" i="179" s="1"/>
  <c r="O196" i="100"/>
  <c r="J140" i="100"/>
  <c r="K43" i="179" s="1"/>
  <c r="S140" i="100"/>
  <c r="S196" i="100" s="1"/>
  <c r="Q140" i="100"/>
  <c r="R140" i="100"/>
  <c r="P140" i="100"/>
  <c r="R179" i="100"/>
  <c r="Q179" i="100"/>
  <c r="P179" i="100"/>
  <c r="S179" i="100"/>
  <c r="J179" i="100"/>
  <c r="N46" i="179" s="1"/>
  <c r="H130" i="185" s="1"/>
  <c r="P158" i="100"/>
  <c r="S158" i="100"/>
  <c r="J158" i="100"/>
  <c r="Q44" i="179" s="1"/>
  <c r="H152" i="185" s="1"/>
  <c r="R158" i="100"/>
  <c r="Q158" i="100"/>
  <c r="H43" i="195"/>
  <c r="J48" i="195" s="1"/>
  <c r="Q39" i="97"/>
  <c r="R39" i="97"/>
  <c r="J39" i="97"/>
  <c r="S39" i="97"/>
  <c r="P39" i="97"/>
  <c r="Q69" i="100"/>
  <c r="S69" i="100"/>
  <c r="J69" i="100"/>
  <c r="R24" i="179" s="1"/>
  <c r="P69" i="100"/>
  <c r="R69" i="100"/>
  <c r="R152" i="100"/>
  <c r="J152" i="100"/>
  <c r="K44" i="179" s="1"/>
  <c r="H104" i="185" s="1"/>
  <c r="Q152" i="100"/>
  <c r="S152" i="100"/>
  <c r="P152" i="100"/>
  <c r="S172" i="100"/>
  <c r="P172" i="100"/>
  <c r="Q172" i="100"/>
  <c r="R172" i="100"/>
  <c r="J172" i="100"/>
  <c r="S45" i="179" s="1"/>
  <c r="H169" i="185" s="1"/>
  <c r="P156" i="100"/>
  <c r="J156" i="100"/>
  <c r="O44" i="179" s="1"/>
  <c r="H136" i="185" s="1"/>
  <c r="R156" i="100"/>
  <c r="S156" i="100"/>
  <c r="Q156" i="100"/>
  <c r="O50" i="195"/>
  <c r="N50" i="195"/>
  <c r="N51" i="195" s="1"/>
  <c r="L50" i="195"/>
  <c r="L51" i="195" s="1"/>
  <c r="P50" i="195"/>
  <c r="P51" i="195" s="1"/>
  <c r="J50" i="195"/>
  <c r="Q242" i="185"/>
  <c r="Q241" i="185"/>
  <c r="Q245" i="185"/>
  <c r="R20" i="97"/>
  <c r="Q20" i="97"/>
  <c r="J20" i="97"/>
  <c r="P20" i="97"/>
  <c r="S20" i="97"/>
  <c r="P41" i="97"/>
  <c r="J41" i="97"/>
  <c r="S41" i="97"/>
  <c r="R41" i="97"/>
  <c r="Q41" i="97"/>
  <c r="S68" i="100"/>
  <c r="P68" i="100"/>
  <c r="Q68" i="100"/>
  <c r="R68" i="100"/>
  <c r="J68" i="100"/>
  <c r="Q24" i="179" s="1"/>
  <c r="R164" i="100"/>
  <c r="S164" i="100"/>
  <c r="Q164" i="100"/>
  <c r="P164" i="100"/>
  <c r="J164" i="100"/>
  <c r="K45" i="179" s="1"/>
  <c r="H105" i="185" s="1"/>
  <c r="J171" i="100"/>
  <c r="R45" i="179" s="1"/>
  <c r="H161" i="185" s="1"/>
  <c r="R171" i="100"/>
  <c r="S171" i="100"/>
  <c r="Q171" i="100"/>
  <c r="P171" i="100"/>
  <c r="S155" i="100"/>
  <c r="P155" i="100"/>
  <c r="Q155" i="100"/>
  <c r="R155" i="100"/>
  <c r="J155" i="100"/>
  <c r="N44" i="179" s="1"/>
  <c r="H128" i="185" s="1"/>
  <c r="O76" i="98"/>
  <c r="H103" i="185" l="1"/>
  <c r="K56" i="179"/>
  <c r="X245" i="185"/>
  <c r="X241" i="185"/>
  <c r="X242" i="185"/>
  <c r="T242" i="185"/>
  <c r="T241" i="185"/>
  <c r="T245" i="185"/>
  <c r="K213" i="185"/>
  <c r="K247" i="185" s="1"/>
  <c r="V213" i="185"/>
  <c r="V247" i="185" s="1"/>
  <c r="J213" i="185"/>
  <c r="J247" i="185" s="1"/>
  <c r="R213" i="185"/>
  <c r="R247" i="185" s="1"/>
  <c r="T213" i="185"/>
  <c r="T247" i="185" s="1"/>
  <c r="M213" i="185"/>
  <c r="M247" i="185" s="1"/>
  <c r="S213" i="185"/>
  <c r="S247" i="185" s="1"/>
  <c r="W213" i="185"/>
  <c r="W247" i="185" s="1"/>
  <c r="Y213" i="185"/>
  <c r="Y247" i="185" s="1"/>
  <c r="N213" i="185"/>
  <c r="N247" i="185" s="1"/>
  <c r="U213" i="185"/>
  <c r="U247" i="185" s="1"/>
  <c r="L213" i="185"/>
  <c r="L247" i="185" s="1"/>
  <c r="X213" i="185"/>
  <c r="X247" i="185" s="1"/>
  <c r="O213" i="185"/>
  <c r="O247" i="185" s="1"/>
  <c r="P213" i="185"/>
  <c r="P247" i="185" s="1"/>
  <c r="K24" i="179"/>
  <c r="H190" i="100" a="1"/>
  <c r="H190" i="100" s="1"/>
  <c r="R252" i="185"/>
  <c r="R256" i="185"/>
  <c r="R253" i="185"/>
  <c r="O256" i="185"/>
  <c r="O252" i="185"/>
  <c r="O253" i="185"/>
  <c r="P200" i="100"/>
  <c r="P204" i="100"/>
  <c r="H204" i="100" s="1"/>
  <c r="Q217" i="185"/>
  <c r="S193" i="185"/>
  <c r="S243" i="185" s="1"/>
  <c r="M193" i="185"/>
  <c r="M243" i="185" s="1"/>
  <c r="P193" i="185"/>
  <c r="P243" i="185" s="1"/>
  <c r="R193" i="185"/>
  <c r="R243" i="185" s="1"/>
  <c r="K193" i="185"/>
  <c r="K243" i="185" s="1"/>
  <c r="V193" i="185"/>
  <c r="V243" i="185" s="1"/>
  <c r="L193" i="185"/>
  <c r="L243" i="185" s="1"/>
  <c r="Y193" i="185"/>
  <c r="Y243" i="185" s="1"/>
  <c r="N193" i="185"/>
  <c r="N243" i="185" s="1"/>
  <c r="U193" i="185"/>
  <c r="U243" i="185" s="1"/>
  <c r="T193" i="185"/>
  <c r="T243" i="185" s="1"/>
  <c r="W193" i="185"/>
  <c r="W243" i="185" s="1"/>
  <c r="J193" i="185"/>
  <c r="J243" i="185" s="1"/>
  <c r="X193" i="185"/>
  <c r="X243" i="185" s="1"/>
  <c r="O193" i="185"/>
  <c r="O243" i="185" s="1"/>
  <c r="J51" i="195"/>
  <c r="M242" i="185"/>
  <c r="M241" i="185"/>
  <c r="M245" i="185"/>
  <c r="O241" i="185"/>
  <c r="O242" i="185"/>
  <c r="O245" i="185"/>
  <c r="S199" i="100"/>
  <c r="L252" i="185"/>
  <c r="L253" i="185"/>
  <c r="L256" i="185"/>
  <c r="U253" i="185"/>
  <c r="U252" i="185"/>
  <c r="U256" i="185"/>
  <c r="R200" i="100"/>
  <c r="Q212" i="185"/>
  <c r="S204" i="100"/>
  <c r="S203" i="100"/>
  <c r="J179" i="185"/>
  <c r="J251" i="185" s="1"/>
  <c r="Y179" i="185"/>
  <c r="Y251" i="185" s="1"/>
  <c r="O179" i="185"/>
  <c r="O251" i="185" s="1"/>
  <c r="T179" i="185"/>
  <c r="T251" i="185" s="1"/>
  <c r="W179" i="185"/>
  <c r="W251" i="185" s="1"/>
  <c r="X179" i="185"/>
  <c r="X251" i="185" s="1"/>
  <c r="H108" i="185"/>
  <c r="Q179" i="185" s="1"/>
  <c r="Q251" i="185" s="1"/>
  <c r="M179" i="185"/>
  <c r="M251" i="185" s="1"/>
  <c r="L179" i="185"/>
  <c r="L251" i="185" s="1"/>
  <c r="S179" i="185"/>
  <c r="S251" i="185" s="1"/>
  <c r="U179" i="185"/>
  <c r="U251" i="185" s="1"/>
  <c r="P179" i="185"/>
  <c r="P251" i="185" s="1"/>
  <c r="K179" i="185"/>
  <c r="K251" i="185" s="1"/>
  <c r="N179" i="185"/>
  <c r="N251" i="185" s="1"/>
  <c r="R179" i="185"/>
  <c r="R251" i="185" s="1"/>
  <c r="V179" i="185"/>
  <c r="V251" i="185" s="1"/>
  <c r="M252" i="185"/>
  <c r="M253" i="185"/>
  <c r="M256" i="185"/>
  <c r="L55" i="195"/>
  <c r="L59" i="195"/>
  <c r="L29" i="196"/>
  <c r="O178" i="185"/>
  <c r="O240" i="185" s="1"/>
  <c r="Y178" i="185"/>
  <c r="Y240" i="185" s="1"/>
  <c r="P178" i="185"/>
  <c r="P240" i="185" s="1"/>
  <c r="R178" i="185"/>
  <c r="R240" i="185" s="1"/>
  <c r="K178" i="185"/>
  <c r="K240" i="185" s="1"/>
  <c r="J178" i="185"/>
  <c r="J240" i="185" s="1"/>
  <c r="X178" i="185"/>
  <c r="X240" i="185" s="1"/>
  <c r="W178" i="185"/>
  <c r="W240" i="185" s="1"/>
  <c r="U178" i="185"/>
  <c r="U240" i="185" s="1"/>
  <c r="N178" i="185"/>
  <c r="N240" i="185" s="1"/>
  <c r="V178" i="185"/>
  <c r="V240" i="185" s="1"/>
  <c r="L178" i="185"/>
  <c r="L240" i="185" s="1"/>
  <c r="T178" i="185"/>
  <c r="T240" i="185" s="1"/>
  <c r="S178" i="185"/>
  <c r="S240" i="185" s="1"/>
  <c r="M178" i="185"/>
  <c r="M240" i="185" s="1"/>
  <c r="J208" i="185"/>
  <c r="J246" i="185" s="1"/>
  <c r="Y208" i="185"/>
  <c r="Y246" i="185" s="1"/>
  <c r="O208" i="185"/>
  <c r="O246" i="185" s="1"/>
  <c r="X208" i="185"/>
  <c r="X246" i="185" s="1"/>
  <c r="R208" i="185"/>
  <c r="R246" i="185" s="1"/>
  <c r="N208" i="185"/>
  <c r="N246" i="185" s="1"/>
  <c r="T208" i="185"/>
  <c r="T246" i="185" s="1"/>
  <c r="U208" i="185"/>
  <c r="U246" i="185" s="1"/>
  <c r="V208" i="185"/>
  <c r="V246" i="185" s="1"/>
  <c r="M208" i="185"/>
  <c r="M246" i="185" s="1"/>
  <c r="L208" i="185"/>
  <c r="L246" i="185" s="1"/>
  <c r="W208" i="185"/>
  <c r="W246" i="185" s="1"/>
  <c r="S208" i="185"/>
  <c r="S246" i="185" s="1"/>
  <c r="P208" i="185"/>
  <c r="P246" i="185" s="1"/>
  <c r="K208" i="185"/>
  <c r="K246" i="185" s="1"/>
  <c r="P196" i="100"/>
  <c r="H196" i="100" s="1"/>
  <c r="Y241" i="185"/>
  <c r="Y242" i="185"/>
  <c r="Y245" i="185"/>
  <c r="U242" i="185"/>
  <c r="U245" i="185"/>
  <c r="U241" i="185"/>
  <c r="R199" i="100"/>
  <c r="Q197" i="185"/>
  <c r="W256" i="185"/>
  <c r="W253" i="185"/>
  <c r="W252" i="185"/>
  <c r="S253" i="185"/>
  <c r="S256" i="185"/>
  <c r="S252" i="185"/>
  <c r="S200" i="100"/>
  <c r="J18" i="178" a="1"/>
  <c r="H2138" i="97" a="1"/>
  <c r="H2138" i="97" s="1"/>
  <c r="H2140" i="97" s="1"/>
  <c r="A4" i="97" s="1"/>
  <c r="Q192" i="185"/>
  <c r="O198" i="185"/>
  <c r="O244" i="185" s="1"/>
  <c r="T198" i="185"/>
  <c r="T244" i="185" s="1"/>
  <c r="U198" i="185"/>
  <c r="U244" i="185" s="1"/>
  <c r="M198" i="185"/>
  <c r="M244" i="185" s="1"/>
  <c r="S198" i="185"/>
  <c r="S244" i="185" s="1"/>
  <c r="K198" i="185"/>
  <c r="K244" i="185" s="1"/>
  <c r="Y198" i="185"/>
  <c r="Y244" i="185" s="1"/>
  <c r="W198" i="185"/>
  <c r="W244" i="185" s="1"/>
  <c r="V198" i="185"/>
  <c r="V244" i="185" s="1"/>
  <c r="J198" i="185"/>
  <c r="J244" i="185" s="1"/>
  <c r="P198" i="185"/>
  <c r="P244" i="185" s="1"/>
  <c r="L198" i="185"/>
  <c r="L244" i="185" s="1"/>
  <c r="X198" i="185"/>
  <c r="X244" i="185" s="1"/>
  <c r="N198" i="185"/>
  <c r="N244" i="185" s="1"/>
  <c r="R198" i="185"/>
  <c r="R244" i="185" s="1"/>
  <c r="L242" i="185"/>
  <c r="L241" i="185"/>
  <c r="L245" i="185"/>
  <c r="S245" i="185"/>
  <c r="S242" i="185"/>
  <c r="S241" i="185"/>
  <c r="Y252" i="185"/>
  <c r="Y253" i="185"/>
  <c r="Y256" i="185"/>
  <c r="H19" i="180"/>
  <c r="Q177" i="185"/>
  <c r="H107" i="185"/>
  <c r="Q178" i="185" s="1"/>
  <c r="Q240" i="185" s="1"/>
  <c r="P29" i="196"/>
  <c r="P55" i="195"/>
  <c r="P59" i="195"/>
  <c r="R242" i="185"/>
  <c r="R241" i="185"/>
  <c r="R245" i="185"/>
  <c r="H151" i="185"/>
  <c r="Q56" i="179"/>
  <c r="H167" i="185"/>
  <c r="S56" i="179"/>
  <c r="U219" i="185"/>
  <c r="U259" i="185" s="1"/>
  <c r="V219" i="185"/>
  <c r="V259" i="185" s="1"/>
  <c r="M219" i="185"/>
  <c r="M259" i="185" s="1"/>
  <c r="W219" i="185"/>
  <c r="W259" i="185" s="1"/>
  <c r="H172" i="185"/>
  <c r="Q219" i="185" s="1"/>
  <c r="Q259" i="185" s="1"/>
  <c r="N219" i="185"/>
  <c r="N259" i="185" s="1"/>
  <c r="K219" i="185"/>
  <c r="K259" i="185" s="1"/>
  <c r="R219" i="185"/>
  <c r="R259" i="185" s="1"/>
  <c r="P219" i="185"/>
  <c r="P259" i="185" s="1"/>
  <c r="O219" i="185"/>
  <c r="O259" i="185" s="1"/>
  <c r="Y219" i="185"/>
  <c r="Y259" i="185" s="1"/>
  <c r="X219" i="185"/>
  <c r="X259" i="185" s="1"/>
  <c r="T219" i="185"/>
  <c r="T259" i="185" s="1"/>
  <c r="J219" i="185"/>
  <c r="J259" i="185" s="1"/>
  <c r="S219" i="185"/>
  <c r="S259" i="185" s="1"/>
  <c r="L219" i="185"/>
  <c r="L259" i="185" s="1"/>
  <c r="N29" i="196"/>
  <c r="N55" i="195"/>
  <c r="N59" i="195"/>
  <c r="J19" i="178" a="1"/>
  <c r="R196" i="100"/>
  <c r="V241" i="185"/>
  <c r="V242" i="185"/>
  <c r="V245" i="185"/>
  <c r="V256" i="185"/>
  <c r="V252" i="185"/>
  <c r="V253" i="185"/>
  <c r="S209" i="185"/>
  <c r="S257" i="185" s="1"/>
  <c r="W209" i="185"/>
  <c r="W257" i="185" s="1"/>
  <c r="M209" i="185"/>
  <c r="M257" i="185" s="1"/>
  <c r="K209" i="185"/>
  <c r="K257" i="185" s="1"/>
  <c r="T209" i="185"/>
  <c r="T257" i="185" s="1"/>
  <c r="O209" i="185"/>
  <c r="O257" i="185" s="1"/>
  <c r="J209" i="185"/>
  <c r="J257" i="185" s="1"/>
  <c r="R209" i="185"/>
  <c r="R257" i="185" s="1"/>
  <c r="P209" i="185"/>
  <c r="P257" i="185" s="1"/>
  <c r="X209" i="185"/>
  <c r="X257" i="185" s="1"/>
  <c r="N209" i="185"/>
  <c r="N257" i="185" s="1"/>
  <c r="V209" i="185"/>
  <c r="V257" i="185" s="1"/>
  <c r="H156" i="185"/>
  <c r="Q209" i="185" s="1"/>
  <c r="Q257" i="185" s="1"/>
  <c r="L209" i="185"/>
  <c r="L257" i="185" s="1"/>
  <c r="Y209" i="185"/>
  <c r="Y257" i="185" s="1"/>
  <c r="U209" i="185"/>
  <c r="U257" i="185" s="1"/>
  <c r="H135" i="185"/>
  <c r="H139" i="185" s="1"/>
  <c r="Q198" i="185" s="1"/>
  <c r="Q244" i="185" s="1"/>
  <c r="O56" i="179"/>
  <c r="P202" i="100"/>
  <c r="U194" i="185"/>
  <c r="U254" i="185" s="1"/>
  <c r="K194" i="185"/>
  <c r="K254" i="185" s="1"/>
  <c r="S194" i="185"/>
  <c r="S254" i="185" s="1"/>
  <c r="P194" i="185"/>
  <c r="P254" i="185" s="1"/>
  <c r="N194" i="185"/>
  <c r="N254" i="185" s="1"/>
  <c r="W194" i="185"/>
  <c r="W254" i="185" s="1"/>
  <c r="T194" i="185"/>
  <c r="T254" i="185" s="1"/>
  <c r="O194" i="185"/>
  <c r="O254" i="185" s="1"/>
  <c r="Y194" i="185"/>
  <c r="Y254" i="185" s="1"/>
  <c r="L194" i="185"/>
  <c r="L254" i="185" s="1"/>
  <c r="R194" i="185"/>
  <c r="R254" i="185" s="1"/>
  <c r="H132" i="185"/>
  <c r="Q194" i="185" s="1"/>
  <c r="Q254" i="185" s="1"/>
  <c r="J194" i="185"/>
  <c r="J254" i="185" s="1"/>
  <c r="M194" i="185"/>
  <c r="M254" i="185" s="1"/>
  <c r="X194" i="185"/>
  <c r="X254" i="185" s="1"/>
  <c r="V194" i="185"/>
  <c r="V254" i="185" s="1"/>
  <c r="R204" i="100"/>
  <c r="H159" i="185"/>
  <c r="H163" i="185" s="1"/>
  <c r="Q213" i="185" s="1"/>
  <c r="Q247" i="185" s="1"/>
  <c r="R56" i="179"/>
  <c r="P199" i="185"/>
  <c r="P255" i="185" s="1"/>
  <c r="X199" i="185"/>
  <c r="X255" i="185" s="1"/>
  <c r="J199" i="185"/>
  <c r="J255" i="185" s="1"/>
  <c r="S199" i="185"/>
  <c r="S255" i="185" s="1"/>
  <c r="W199" i="185"/>
  <c r="W255" i="185" s="1"/>
  <c r="L199" i="185"/>
  <c r="L255" i="185" s="1"/>
  <c r="M199" i="185"/>
  <c r="M255" i="185" s="1"/>
  <c r="Y199" i="185"/>
  <c r="Y255" i="185" s="1"/>
  <c r="H140" i="185"/>
  <c r="Q199" i="185" s="1"/>
  <c r="Q255" i="185" s="1"/>
  <c r="V199" i="185"/>
  <c r="V255" i="185" s="1"/>
  <c r="T199" i="185"/>
  <c r="T255" i="185" s="1"/>
  <c r="U199" i="185"/>
  <c r="U255" i="185" s="1"/>
  <c r="O199" i="185"/>
  <c r="O255" i="185" s="1"/>
  <c r="N199" i="185"/>
  <c r="N255" i="185" s="1"/>
  <c r="K199" i="185"/>
  <c r="K255" i="185" s="1"/>
  <c r="R199" i="185"/>
  <c r="R255" i="185" s="1"/>
  <c r="L24" i="185"/>
  <c r="W24" i="185"/>
  <c r="R24" i="185"/>
  <c r="X24" i="185"/>
  <c r="S24" i="185"/>
  <c r="K24" i="185"/>
  <c r="U24" i="185"/>
  <c r="P24" i="185"/>
  <c r="J24" i="185"/>
  <c r="O24" i="185"/>
  <c r="V24" i="185"/>
  <c r="T24" i="185"/>
  <c r="N24" i="185"/>
  <c r="H116" i="180"/>
  <c r="M24" i="185"/>
  <c r="Y24" i="185"/>
  <c r="P96" i="98"/>
  <c r="O84" i="98"/>
  <c r="O96" i="98"/>
  <c r="J96" i="98" s="1"/>
  <c r="J76" i="98"/>
  <c r="O214" i="185"/>
  <c r="O258" i="185" s="1"/>
  <c r="U214" i="185"/>
  <c r="U258" i="185" s="1"/>
  <c r="N214" i="185"/>
  <c r="N258" i="185" s="1"/>
  <c r="P214" i="185"/>
  <c r="P258" i="185" s="1"/>
  <c r="V214" i="185"/>
  <c r="V258" i="185" s="1"/>
  <c r="M214" i="185"/>
  <c r="M258" i="185" s="1"/>
  <c r="H164" i="185"/>
  <c r="Q214" i="185" s="1"/>
  <c r="Q258" i="185" s="1"/>
  <c r="L214" i="185"/>
  <c r="L258" i="185" s="1"/>
  <c r="X214" i="185"/>
  <c r="X258" i="185" s="1"/>
  <c r="J214" i="185"/>
  <c r="J258" i="185" s="1"/>
  <c r="W214" i="185"/>
  <c r="W258" i="185" s="1"/>
  <c r="R214" i="185"/>
  <c r="R258" i="185" s="1"/>
  <c r="Y214" i="185"/>
  <c r="Y258" i="185" s="1"/>
  <c r="K214" i="185"/>
  <c r="K258" i="185" s="1"/>
  <c r="T214" i="185"/>
  <c r="T258" i="185" s="1"/>
  <c r="S214" i="185"/>
  <c r="S258" i="185" s="1"/>
  <c r="J256" i="185"/>
  <c r="J253" i="185"/>
  <c r="J252" i="185"/>
  <c r="U218" i="185"/>
  <c r="U248" i="185" s="1"/>
  <c r="W218" i="185"/>
  <c r="W248" i="185" s="1"/>
  <c r="J218" i="185"/>
  <c r="J248" i="185" s="1"/>
  <c r="Y218" i="185"/>
  <c r="Y248" i="185" s="1"/>
  <c r="M218" i="185"/>
  <c r="M248" i="185" s="1"/>
  <c r="N218" i="185"/>
  <c r="N248" i="185" s="1"/>
  <c r="R218" i="185"/>
  <c r="R248" i="185" s="1"/>
  <c r="X218" i="185"/>
  <c r="X248" i="185" s="1"/>
  <c r="K218" i="185"/>
  <c r="K248" i="185" s="1"/>
  <c r="T218" i="185"/>
  <c r="T248" i="185" s="1"/>
  <c r="L218" i="185"/>
  <c r="L248" i="185" s="1"/>
  <c r="P218" i="185"/>
  <c r="P248" i="185" s="1"/>
  <c r="S218" i="185"/>
  <c r="S248" i="185" s="1"/>
  <c r="V218" i="185"/>
  <c r="V248" i="185" s="1"/>
  <c r="O218" i="185"/>
  <c r="O248" i="185" s="1"/>
  <c r="W245" i="185"/>
  <c r="W242" i="185"/>
  <c r="W241" i="185"/>
  <c r="P199" i="100"/>
  <c r="H199" i="100" s="1"/>
  <c r="T252" i="185"/>
  <c r="T253" i="185"/>
  <c r="T256" i="185"/>
  <c r="O51" i="195"/>
  <c r="Q196" i="100"/>
  <c r="P242" i="185"/>
  <c r="P245" i="185"/>
  <c r="P241" i="185"/>
  <c r="K242" i="185"/>
  <c r="K241" i="185"/>
  <c r="K245" i="185"/>
  <c r="K253" i="185"/>
  <c r="K252" i="185"/>
  <c r="K256" i="185"/>
  <c r="P256" i="185"/>
  <c r="P252" i="185"/>
  <c r="P253" i="185"/>
  <c r="H200" i="100"/>
  <c r="R202" i="100"/>
  <c r="J241" i="185"/>
  <c r="J242" i="185"/>
  <c r="J245" i="185"/>
  <c r="N245" i="185"/>
  <c r="N241" i="185"/>
  <c r="N242" i="185"/>
  <c r="H127" i="185"/>
  <c r="H131" i="185" s="1"/>
  <c r="Q193" i="185" s="1"/>
  <c r="Q243" i="185" s="1"/>
  <c r="N56" i="179"/>
  <c r="X253" i="185"/>
  <c r="X256" i="185"/>
  <c r="X252" i="185"/>
  <c r="N252" i="185"/>
  <c r="N256" i="185"/>
  <c r="N253" i="185"/>
  <c r="Q200" i="100"/>
  <c r="Q202" i="100"/>
  <c r="Q203" i="100"/>
  <c r="H203" i="100" s="1"/>
  <c r="P65" i="195" l="1"/>
  <c r="S54" i="185"/>
  <c r="S224" i="185"/>
  <c r="X224" i="185"/>
  <c r="X54" i="185"/>
  <c r="H155" i="185"/>
  <c r="Q208" i="185" s="1"/>
  <c r="Q246" i="185" s="1"/>
  <c r="K207" i="185"/>
  <c r="W207" i="185"/>
  <c r="N207" i="185"/>
  <c r="O207" i="185"/>
  <c r="P207" i="185"/>
  <c r="V207" i="185"/>
  <c r="R207" i="185"/>
  <c r="X207" i="185"/>
  <c r="X235" i="185" s="1"/>
  <c r="L207" i="185"/>
  <c r="J207" i="185"/>
  <c r="S207" i="185"/>
  <c r="T207" i="185"/>
  <c r="Y207" i="185"/>
  <c r="U207" i="185"/>
  <c r="M207" i="185"/>
  <c r="P48" i="196"/>
  <c r="P47" i="197" s="1"/>
  <c r="L48" i="196"/>
  <c r="L47" i="197" s="1"/>
  <c r="N48" i="196"/>
  <c r="N47" i="197" s="1"/>
  <c r="M48" i="196"/>
  <c r="M47" i="197" s="1"/>
  <c r="O48" i="196"/>
  <c r="O47" i="197" s="1"/>
  <c r="H50" i="179" a="1"/>
  <c r="H50" i="179" s="1"/>
  <c r="H22" i="193" a="1"/>
  <c r="R54" i="185"/>
  <c r="R224" i="185"/>
  <c r="W224" i="185"/>
  <c r="W54" i="185"/>
  <c r="Q24" i="185"/>
  <c r="H115" i="180"/>
  <c r="H112" i="180" a="1"/>
  <c r="H112" i="180" s="1"/>
  <c r="J54" i="185"/>
  <c r="J224" i="185"/>
  <c r="L224" i="185"/>
  <c r="L54" i="185"/>
  <c r="N65" i="195"/>
  <c r="J55" i="195"/>
  <c r="J29" i="196"/>
  <c r="J48" i="196" s="1"/>
  <c r="J47" i="197" s="1"/>
  <c r="J59" i="195"/>
  <c r="L217" i="185"/>
  <c r="R217" i="185"/>
  <c r="O217" i="185"/>
  <c r="S217" i="185"/>
  <c r="J217" i="185"/>
  <c r="J237" i="185" s="1"/>
  <c r="U217" i="185"/>
  <c r="P217" i="185"/>
  <c r="W217" i="185"/>
  <c r="W237" i="185" s="1"/>
  <c r="Y217" i="185"/>
  <c r="M217" i="185"/>
  <c r="V217" i="185"/>
  <c r="N217" i="185"/>
  <c r="K217" i="185"/>
  <c r="T217" i="185"/>
  <c r="X217" i="185"/>
  <c r="J18" i="178"/>
  <c r="K18" i="178"/>
  <c r="V18" i="178"/>
  <c r="V62" i="185" s="1"/>
  <c r="N18" i="178"/>
  <c r="Q18" i="178"/>
  <c r="S18" i="178"/>
  <c r="S62" i="185" s="1"/>
  <c r="M18" i="178"/>
  <c r="Y18" i="178"/>
  <c r="Y62" i="185" s="1"/>
  <c r="L18" i="178"/>
  <c r="T18" i="178"/>
  <c r="T62" i="185" s="1"/>
  <c r="R18" i="178"/>
  <c r="R62" i="185" s="1"/>
  <c r="O18" i="178"/>
  <c r="W18" i="178"/>
  <c r="W62" i="185" s="1"/>
  <c r="P18" i="178"/>
  <c r="U18" i="178"/>
  <c r="U62" i="185" s="1"/>
  <c r="X18" i="178"/>
  <c r="X62" i="185" s="1"/>
  <c r="T224" i="185"/>
  <c r="T54" i="185"/>
  <c r="O94" i="98"/>
  <c r="O91" i="98"/>
  <c r="J84" i="98"/>
  <c r="V54" i="185"/>
  <c r="V224" i="185"/>
  <c r="U197" i="185"/>
  <c r="M197" i="185"/>
  <c r="O197" i="185"/>
  <c r="X197" i="185"/>
  <c r="N197" i="185"/>
  <c r="R197" i="185"/>
  <c r="R233" i="185" s="1"/>
  <c r="P197" i="185"/>
  <c r="W197" i="185"/>
  <c r="W233" i="185" s="1"/>
  <c r="L197" i="185"/>
  <c r="L233" i="185" s="1"/>
  <c r="V197" i="185"/>
  <c r="S197" i="185"/>
  <c r="K197" i="185"/>
  <c r="T197" i="185"/>
  <c r="Y197" i="185"/>
  <c r="J197" i="185"/>
  <c r="J233" i="185" s="1"/>
  <c r="O224" i="185"/>
  <c r="O54" i="185"/>
  <c r="Y224" i="185"/>
  <c r="Y54" i="185"/>
  <c r="P224" i="185"/>
  <c r="P54" i="185"/>
  <c r="R48" i="196"/>
  <c r="R47" i="197" s="1"/>
  <c r="V48" i="196"/>
  <c r="V47" i="197" s="1"/>
  <c r="S48" i="196"/>
  <c r="S47" i="197" s="1"/>
  <c r="U48" i="196"/>
  <c r="U47" i="197" s="1"/>
  <c r="T48" i="196"/>
  <c r="T47" i="197" s="1"/>
  <c r="H171" i="185"/>
  <c r="Q218" i="185" s="1"/>
  <c r="Q248" i="185" s="1"/>
  <c r="K224" i="185"/>
  <c r="K54" i="185"/>
  <c r="AD48" i="196"/>
  <c r="AD47" i="197" s="1"/>
  <c r="AB48" i="196"/>
  <c r="AB47" i="197" s="1"/>
  <c r="AC48" i="196"/>
  <c r="AC47" i="197" s="1"/>
  <c r="AE48" i="196"/>
  <c r="AE47" i="197" s="1"/>
  <c r="AF48" i="196"/>
  <c r="AF47" i="197" s="1"/>
  <c r="N224" i="185"/>
  <c r="N54" i="185"/>
  <c r="H202" i="100"/>
  <c r="X19" i="178"/>
  <c r="X63" i="185" s="1"/>
  <c r="X85" i="185" s="1"/>
  <c r="U19" i="178"/>
  <c r="U63" i="185" s="1"/>
  <c r="U85" i="185" s="1"/>
  <c r="O19" i="178"/>
  <c r="O63" i="185" s="1"/>
  <c r="W19" i="178"/>
  <c r="W63" i="185" s="1"/>
  <c r="W85" i="185" s="1"/>
  <c r="T19" i="178"/>
  <c r="T63" i="185" s="1"/>
  <c r="T85" i="185" s="1"/>
  <c r="Q19" i="178"/>
  <c r="Q63" i="185" s="1"/>
  <c r="Q85" i="185" s="1"/>
  <c r="S19" i="178"/>
  <c r="S63" i="185" s="1"/>
  <c r="S85" i="185" s="1"/>
  <c r="M19" i="178"/>
  <c r="M63" i="185" s="1"/>
  <c r="N19" i="178"/>
  <c r="N63" i="185" s="1"/>
  <c r="Y19" i="178"/>
  <c r="Y63" i="185" s="1"/>
  <c r="Y85" i="185" s="1"/>
  <c r="L19" i="178"/>
  <c r="L63" i="185" s="1"/>
  <c r="K19" i="178"/>
  <c r="K63" i="185" s="1"/>
  <c r="R19" i="178"/>
  <c r="R63" i="185" s="1"/>
  <c r="R85" i="185" s="1"/>
  <c r="V19" i="178"/>
  <c r="V63" i="185" s="1"/>
  <c r="V85" i="185" s="1"/>
  <c r="J19" i="178"/>
  <c r="J63" i="185" s="1"/>
  <c r="P19" i="178"/>
  <c r="P63" i="185" s="1"/>
  <c r="L65" i="195"/>
  <c r="M192" i="185"/>
  <c r="X192" i="185"/>
  <c r="X232" i="185" s="1"/>
  <c r="P192" i="185"/>
  <c r="P232" i="185" s="1"/>
  <c r="Y192" i="185"/>
  <c r="U192" i="185"/>
  <c r="V192" i="185"/>
  <c r="O192" i="185"/>
  <c r="J192" i="185"/>
  <c r="J232" i="185" s="1"/>
  <c r="W192" i="185"/>
  <c r="W232" i="185" s="1"/>
  <c r="R192" i="185"/>
  <c r="R232" i="185" s="1"/>
  <c r="T192" i="185"/>
  <c r="N192" i="185"/>
  <c r="K192" i="185"/>
  <c r="L192" i="185"/>
  <c r="L232" i="185" s="1"/>
  <c r="S192" i="185"/>
  <c r="O29" i="196"/>
  <c r="O55" i="195"/>
  <c r="O59" i="195"/>
  <c r="M54" i="185"/>
  <c r="M224" i="185"/>
  <c r="U54" i="185"/>
  <c r="U224" i="185"/>
  <c r="U212" i="185"/>
  <c r="P212" i="185"/>
  <c r="P236" i="185" s="1"/>
  <c r="R212" i="185"/>
  <c r="R236" i="185" s="1"/>
  <c r="Y212" i="185"/>
  <c r="X212" i="185"/>
  <c r="W212" i="185"/>
  <c r="W236" i="185" s="1"/>
  <c r="J212" i="185"/>
  <c r="J236" i="185" s="1"/>
  <c r="N212" i="185"/>
  <c r="O212" i="185"/>
  <c r="L212" i="185"/>
  <c r="L236" i="185" s="1"/>
  <c r="M212" i="185"/>
  <c r="V212" i="185"/>
  <c r="S212" i="185"/>
  <c r="T212" i="185"/>
  <c r="T236" i="185" s="1"/>
  <c r="K212" i="185"/>
  <c r="H56" i="179"/>
  <c r="H218" i="100"/>
  <c r="K177" i="185"/>
  <c r="X177" i="185"/>
  <c r="X229" i="185" s="1"/>
  <c r="W177" i="185"/>
  <c r="W229" i="185" s="1"/>
  <c r="L177" i="185"/>
  <c r="L229" i="185" s="1"/>
  <c r="U177" i="185"/>
  <c r="U229" i="185" s="1"/>
  <c r="O177" i="185"/>
  <c r="N177" i="185"/>
  <c r="P177" i="185"/>
  <c r="P229" i="185" s="1"/>
  <c r="V177" i="185"/>
  <c r="S177" i="185"/>
  <c r="S229" i="185" s="1"/>
  <c r="M177" i="185"/>
  <c r="Y177" i="185"/>
  <c r="R177" i="185"/>
  <c r="R229" i="185" s="1"/>
  <c r="J177" i="185"/>
  <c r="J229" i="185" s="1"/>
  <c r="T177" i="185"/>
  <c r="O65" i="195" l="1"/>
  <c r="M236" i="185"/>
  <c r="K237" i="185"/>
  <c r="T233" i="185"/>
  <c r="T229" i="185"/>
  <c r="R237" i="185"/>
  <c r="T232" i="185"/>
  <c r="O232" i="185"/>
  <c r="N232" i="185"/>
  <c r="K233" i="185"/>
  <c r="T93" i="185"/>
  <c r="O237" i="185"/>
  <c r="O236" i="185"/>
  <c r="U233" i="185"/>
  <c r="L237" i="185"/>
  <c r="R93" i="185"/>
  <c r="R272" i="185" s="1"/>
  <c r="O229" i="185"/>
  <c r="N236" i="185"/>
  <c r="T237" i="185"/>
  <c r="Y48" i="196"/>
  <c r="Y47" i="197" s="1"/>
  <c r="AA48" i="196"/>
  <c r="AA47" i="197" s="1"/>
  <c r="X48" i="196"/>
  <c r="X47" i="197" s="1"/>
  <c r="Z48" i="196"/>
  <c r="Z47" i="197" s="1"/>
  <c r="W48" i="196"/>
  <c r="W47" i="197" s="1"/>
  <c r="H59" i="179"/>
  <c r="A4" i="179" s="1"/>
  <c r="V234" i="185"/>
  <c r="V230" i="185"/>
  <c r="V231" i="185"/>
  <c r="O61" i="186"/>
  <c r="O200" i="186" s="1"/>
  <c r="O62" i="185"/>
  <c r="N61" i="186"/>
  <c r="N200" i="186" s="1"/>
  <c r="N62" i="185"/>
  <c r="M237" i="185"/>
  <c r="X230" i="185"/>
  <c r="X231" i="185"/>
  <c r="X234" i="185"/>
  <c r="S231" i="185"/>
  <c r="S230" i="185"/>
  <c r="S234" i="185"/>
  <c r="V229" i="185"/>
  <c r="K229" i="185"/>
  <c r="K236" i="185"/>
  <c r="S232" i="185"/>
  <c r="T294" i="185"/>
  <c r="T299" i="185"/>
  <c r="T276" i="185"/>
  <c r="N233" i="185"/>
  <c r="V93" i="185"/>
  <c r="R89" i="185"/>
  <c r="R83" i="185"/>
  <c r="R91" i="185" s="1"/>
  <c r="R267" i="185" s="1"/>
  <c r="R78" i="189" s="1"/>
  <c r="V89" i="185"/>
  <c r="V83" i="185"/>
  <c r="V91" i="185" s="1"/>
  <c r="V267" i="185" s="1"/>
  <c r="V78" i="189" s="1"/>
  <c r="Y237" i="185"/>
  <c r="H57" i="195"/>
  <c r="H86" i="198" s="1"/>
  <c r="H129" i="198" s="1"/>
  <c r="J65" i="195"/>
  <c r="H67" i="195" s="1"/>
  <c r="H69" i="195" s="1"/>
  <c r="L234" i="185"/>
  <c r="L231" i="185"/>
  <c r="L230" i="185"/>
  <c r="T286" i="185"/>
  <c r="M235" i="185"/>
  <c r="R235" i="185"/>
  <c r="S93" i="185"/>
  <c r="W93" i="185"/>
  <c r="W279" i="185" s="1"/>
  <c r="T284" i="185"/>
  <c r="U235" i="185"/>
  <c r="V235" i="185"/>
  <c r="T302" i="185"/>
  <c r="Y230" i="185"/>
  <c r="Y234" i="185"/>
  <c r="Y231" i="185"/>
  <c r="Y233" i="185"/>
  <c r="U231" i="185"/>
  <c r="U230" i="185"/>
  <c r="U234" i="185"/>
  <c r="V232" i="185"/>
  <c r="X233" i="185"/>
  <c r="T83" i="185"/>
  <c r="T91" i="185" s="1"/>
  <c r="T267" i="185" s="1"/>
  <c r="T78" i="189" s="1"/>
  <c r="T89" i="185"/>
  <c r="K61" i="186"/>
  <c r="K200" i="186" s="1"/>
  <c r="K20" i="194" s="1"/>
  <c r="K62" i="185"/>
  <c r="T272" i="185"/>
  <c r="N229" i="185"/>
  <c r="S236" i="185"/>
  <c r="X236" i="185"/>
  <c r="U93" i="185"/>
  <c r="U272" i="185" s="1"/>
  <c r="K232" i="185"/>
  <c r="U232" i="185"/>
  <c r="T289" i="185"/>
  <c r="O234" i="185"/>
  <c r="O231" i="185"/>
  <c r="O230" i="185"/>
  <c r="S233" i="185"/>
  <c r="O233" i="185"/>
  <c r="J91" i="98"/>
  <c r="O92" i="98"/>
  <c r="J92" i="98" s="1"/>
  <c r="T234" i="185"/>
  <c r="T277" i="185" s="1"/>
  <c r="T230" i="185"/>
  <c r="T273" i="185" s="1"/>
  <c r="T231" i="185"/>
  <c r="T274" i="185" s="1"/>
  <c r="L62" i="185"/>
  <c r="L61" i="186"/>
  <c r="L200" i="186" s="1"/>
  <c r="J62" i="185"/>
  <c r="J61" i="186"/>
  <c r="H214" i="178" a="1"/>
  <c r="H214" i="178" s="1"/>
  <c r="H216" i="178" s="1"/>
  <c r="X237" i="185"/>
  <c r="P237" i="185"/>
  <c r="J234" i="185"/>
  <c r="J231" i="185"/>
  <c r="J230" i="185"/>
  <c r="W230" i="185"/>
  <c r="W234" i="185"/>
  <c r="W231" i="185"/>
  <c r="T298" i="185"/>
  <c r="Y235" i="185"/>
  <c r="P235" i="185"/>
  <c r="A4" i="100"/>
  <c r="J37" i="55"/>
  <c r="V236" i="185"/>
  <c r="Y236" i="185"/>
  <c r="M234" i="185"/>
  <c r="M230" i="185"/>
  <c r="M231" i="185"/>
  <c r="Y232" i="185"/>
  <c r="V233" i="185"/>
  <c r="M233" i="185"/>
  <c r="P97" i="98"/>
  <c r="O97" i="98"/>
  <c r="J97" i="98" s="1"/>
  <c r="J94" i="98"/>
  <c r="H119" i="98" s="1" a="1"/>
  <c r="H119" i="98" s="1"/>
  <c r="H125" i="98" s="1"/>
  <c r="O95" i="98"/>
  <c r="J95" i="98" s="1"/>
  <c r="X83" i="185"/>
  <c r="X91" i="185" s="1"/>
  <c r="X267" i="185" s="1"/>
  <c r="X78" i="189" s="1"/>
  <c r="X89" i="185"/>
  <c r="Y89" i="185"/>
  <c r="Y83" i="185"/>
  <c r="Y91" i="185" s="1"/>
  <c r="Y267" i="185" s="1"/>
  <c r="Y78" i="189" s="1"/>
  <c r="U237" i="185"/>
  <c r="H118" i="180"/>
  <c r="R230" i="185"/>
  <c r="R234" i="185"/>
  <c r="R231" i="185"/>
  <c r="R274" i="185" s="1"/>
  <c r="H29" i="193"/>
  <c r="H27" i="193"/>
  <c r="H30" i="193"/>
  <c r="H25" i="193"/>
  <c r="H26" i="193"/>
  <c r="H23" i="193"/>
  <c r="H24" i="193"/>
  <c r="H28" i="193"/>
  <c r="H22" i="193"/>
  <c r="T296" i="185"/>
  <c r="T235" i="185"/>
  <c r="T278" i="185" s="1"/>
  <c r="O235" i="185"/>
  <c r="S235" i="185"/>
  <c r="N235" i="185"/>
  <c r="T297" i="185"/>
  <c r="H71" i="195" a="1"/>
  <c r="H71" i="195" s="1"/>
  <c r="Q54" i="185"/>
  <c r="Q224" i="185"/>
  <c r="T287" i="185"/>
  <c r="J235" i="185"/>
  <c r="W235" i="185"/>
  <c r="U89" i="185"/>
  <c r="U83" i="185"/>
  <c r="U91" i="185" s="1"/>
  <c r="U267" i="185" s="1"/>
  <c r="U78" i="189" s="1"/>
  <c r="M61" i="186"/>
  <c r="M200" i="186" s="1"/>
  <c r="M20" i="194" s="1"/>
  <c r="M62" i="185"/>
  <c r="Y229" i="185"/>
  <c r="N231" i="185"/>
  <c r="N234" i="185"/>
  <c r="N230" i="185"/>
  <c r="K231" i="185"/>
  <c r="K230" i="185"/>
  <c r="K234" i="185"/>
  <c r="P234" i="185"/>
  <c r="P231" i="185"/>
  <c r="P230" i="185"/>
  <c r="W276" i="185"/>
  <c r="T295" i="185"/>
  <c r="P61" i="186"/>
  <c r="P200" i="186" s="1"/>
  <c r="P62" i="185"/>
  <c r="S89" i="185"/>
  <c r="S83" i="185"/>
  <c r="S91" i="185" s="1"/>
  <c r="S267" i="185" s="1"/>
  <c r="S78" i="189" s="1"/>
  <c r="N237" i="185"/>
  <c r="S237" i="185"/>
  <c r="S280" i="185" s="1"/>
  <c r="M229" i="185"/>
  <c r="U236" i="185"/>
  <c r="M232" i="185"/>
  <c r="Y93" i="185"/>
  <c r="T285" i="185"/>
  <c r="P233" i="185"/>
  <c r="W89" i="185"/>
  <c r="W83" i="185"/>
  <c r="W91" i="185" s="1"/>
  <c r="W267" i="185" s="1"/>
  <c r="W78" i="189" s="1"/>
  <c r="Q61" i="186"/>
  <c r="Q200" i="186" s="1"/>
  <c r="Q62" i="185"/>
  <c r="V237" i="185"/>
  <c r="H61" i="195"/>
  <c r="H87" i="198" s="1"/>
  <c r="H130" i="198" s="1"/>
  <c r="T283" i="185"/>
  <c r="R288" i="185"/>
  <c r="L235" i="185"/>
  <c r="K235" i="185"/>
  <c r="X93" i="185"/>
  <c r="X272" i="185" s="1"/>
  <c r="R277" i="185" l="1"/>
  <c r="R296" i="185"/>
  <c r="R294" i="185"/>
  <c r="R297" i="185"/>
  <c r="R278" i="185"/>
  <c r="R290" i="185"/>
  <c r="R273" i="185"/>
  <c r="V280" i="185"/>
  <c r="V78" i="186" s="1"/>
  <c r="V90" i="186" s="1"/>
  <c r="R289" i="185"/>
  <c r="R275" i="185"/>
  <c r="R286" i="185"/>
  <c r="V275" i="185"/>
  <c r="W277" i="185"/>
  <c r="W275" i="185"/>
  <c r="V279" i="185"/>
  <c r="R284" i="185"/>
  <c r="R95" i="189" s="1"/>
  <c r="R183" i="189" s="1"/>
  <c r="R54" i="191" s="1"/>
  <c r="R159" i="191" s="1"/>
  <c r="U279" i="185"/>
  <c r="V276" i="185"/>
  <c r="R299" i="185"/>
  <c r="W272" i="185"/>
  <c r="R301" i="185"/>
  <c r="R298" i="185"/>
  <c r="R302" i="185"/>
  <c r="V272" i="185"/>
  <c r="V82" i="189" s="1"/>
  <c r="V153" i="189" s="1"/>
  <c r="V23" i="191" s="1"/>
  <c r="V128" i="191" s="1"/>
  <c r="R280" i="185"/>
  <c r="W274" i="185"/>
  <c r="W273" i="185"/>
  <c r="V278" i="185"/>
  <c r="R291" i="185"/>
  <c r="R81" i="189"/>
  <c r="R152" i="189" s="1"/>
  <c r="R82" i="189"/>
  <c r="R153" i="189" s="1"/>
  <c r="R23" i="191" s="1"/>
  <c r="R128" i="191" s="1"/>
  <c r="R70" i="186"/>
  <c r="R82" i="186" s="1"/>
  <c r="W280" i="185"/>
  <c r="U277" i="185"/>
  <c r="R276" i="185"/>
  <c r="V274" i="185"/>
  <c r="R300" i="185"/>
  <c r="S279" i="185"/>
  <c r="S273" i="185"/>
  <c r="S274" i="185"/>
  <c r="S84" i="189" s="1"/>
  <c r="S155" i="189" s="1"/>
  <c r="S25" i="191" s="1"/>
  <c r="S130" i="191" s="1"/>
  <c r="T290" i="185"/>
  <c r="T300" i="185"/>
  <c r="T301" i="185"/>
  <c r="T291" i="185"/>
  <c r="T288" i="185"/>
  <c r="T275" i="185"/>
  <c r="R285" i="185"/>
  <c r="R287" i="185"/>
  <c r="R295" i="185"/>
  <c r="R283" i="185"/>
  <c r="S278" i="185"/>
  <c r="X273" i="185"/>
  <c r="S276" i="185"/>
  <c r="T279" i="185"/>
  <c r="S277" i="185"/>
  <c r="T280" i="185"/>
  <c r="R279" i="185"/>
  <c r="A4" i="98"/>
  <c r="J38" i="55"/>
  <c r="X82" i="189"/>
  <c r="X153" i="189" s="1"/>
  <c r="X23" i="191" s="1"/>
  <c r="X128" i="191" s="1"/>
  <c r="X70" i="186"/>
  <c r="X82" i="186" s="1"/>
  <c r="X81" i="189"/>
  <c r="X152" i="189" s="1"/>
  <c r="U82" i="189"/>
  <c r="U153" i="189" s="1"/>
  <c r="U23" i="191" s="1"/>
  <c r="U128" i="191" s="1"/>
  <c r="U81" i="189"/>
  <c r="U152" i="189" s="1"/>
  <c r="U70" i="186"/>
  <c r="U82" i="186" s="1"/>
  <c r="Y272" i="185"/>
  <c r="R76" i="186"/>
  <c r="R88" i="186" s="1"/>
  <c r="R88" i="189"/>
  <c r="R159" i="189" s="1"/>
  <c r="R29" i="191" s="1"/>
  <c r="R134" i="191" s="1"/>
  <c r="R101" i="189"/>
  <c r="R189" i="189" s="1"/>
  <c r="R60" i="191" s="1"/>
  <c r="R165" i="191" s="1"/>
  <c r="R100" i="186"/>
  <c r="R112" i="186" s="1"/>
  <c r="N20" i="194"/>
  <c r="N204" i="186"/>
  <c r="R123" i="186"/>
  <c r="R135" i="186" s="1"/>
  <c r="R113" i="189"/>
  <c r="R218" i="189" s="1"/>
  <c r="R90" i="191" s="1"/>
  <c r="R195" i="191" s="1"/>
  <c r="S125" i="189"/>
  <c r="S127" i="189"/>
  <c r="S124" i="189"/>
  <c r="S132" i="189"/>
  <c r="S129" i="189"/>
  <c r="S130" i="189"/>
  <c r="S123" i="189"/>
  <c r="S128" i="189"/>
  <c r="S126" i="189"/>
  <c r="S131" i="189"/>
  <c r="X275" i="185"/>
  <c r="S196" i="193"/>
  <c r="S226" i="193" s="1"/>
  <c r="X196" i="193"/>
  <c r="X226" i="193" s="1"/>
  <c r="W196" i="193"/>
  <c r="W226" i="193" s="1"/>
  <c r="R196" i="193"/>
  <c r="R226" i="193" s="1"/>
  <c r="U196" i="193"/>
  <c r="U226" i="193" s="1"/>
  <c r="V196" i="193"/>
  <c r="V226" i="193" s="1"/>
  <c r="T196" i="193"/>
  <c r="T226" i="193" s="1"/>
  <c r="Y196" i="193"/>
  <c r="Y226" i="193" s="1"/>
  <c r="U75" i="186"/>
  <c r="U87" i="186" s="1"/>
  <c r="U87" i="189"/>
  <c r="U158" i="189" s="1"/>
  <c r="U28" i="191" s="1"/>
  <c r="U133" i="191" s="1"/>
  <c r="V88" i="189"/>
  <c r="V159" i="189" s="1"/>
  <c r="V29" i="191" s="1"/>
  <c r="V134" i="191" s="1"/>
  <c r="V76" i="186"/>
  <c r="V88" i="186" s="1"/>
  <c r="T195" i="193"/>
  <c r="T225" i="193" s="1"/>
  <c r="U195" i="193"/>
  <c r="U225" i="193" s="1"/>
  <c r="V195" i="193"/>
  <c r="V225" i="193" s="1"/>
  <c r="S195" i="193"/>
  <c r="S225" i="193" s="1"/>
  <c r="Y195" i="193"/>
  <c r="Y225" i="193" s="1"/>
  <c r="R195" i="193"/>
  <c r="R225" i="193" s="1"/>
  <c r="W195" i="193"/>
  <c r="W225" i="193" s="1"/>
  <c r="X195" i="193"/>
  <c r="X225" i="193" s="1"/>
  <c r="R83" i="189"/>
  <c r="R154" i="189" s="1"/>
  <c r="R24" i="191" s="1"/>
  <c r="R129" i="191" s="1"/>
  <c r="R71" i="186"/>
  <c r="R83" i="186" s="1"/>
  <c r="X128" i="189"/>
  <c r="X130" i="189"/>
  <c r="X123" i="189"/>
  <c r="X125" i="189"/>
  <c r="X131" i="189"/>
  <c r="X124" i="189"/>
  <c r="X129" i="189"/>
  <c r="X132" i="189"/>
  <c r="X126" i="189"/>
  <c r="X127" i="189"/>
  <c r="V74" i="186"/>
  <c r="V86" i="186" s="1"/>
  <c r="V86" i="189"/>
  <c r="V157" i="189" s="1"/>
  <c r="V27" i="191" s="1"/>
  <c r="V132" i="191" s="1"/>
  <c r="V89" i="189"/>
  <c r="V160" i="189" s="1"/>
  <c r="V30" i="191" s="1"/>
  <c r="V135" i="191" s="1"/>
  <c r="V77" i="186"/>
  <c r="V89" i="186" s="1"/>
  <c r="W84" i="189"/>
  <c r="W155" i="189" s="1"/>
  <c r="W25" i="191" s="1"/>
  <c r="W130" i="191" s="1"/>
  <c r="W72" i="186"/>
  <c r="W84" i="186" s="1"/>
  <c r="X280" i="185"/>
  <c r="T71" i="186"/>
  <c r="T83" i="186" s="1"/>
  <c r="T83" i="189"/>
  <c r="T154" i="189" s="1"/>
  <c r="T24" i="191" s="1"/>
  <c r="T129" i="191" s="1"/>
  <c r="U273" i="185"/>
  <c r="Y274" i="185"/>
  <c r="U278" i="185"/>
  <c r="S83" i="189"/>
  <c r="S154" i="189" s="1"/>
  <c r="S24" i="191" s="1"/>
  <c r="S129" i="191" s="1"/>
  <c r="S71" i="186"/>
  <c r="S83" i="186" s="1"/>
  <c r="A4" i="178"/>
  <c r="J40" i="55"/>
  <c r="T75" i="186"/>
  <c r="T87" i="186" s="1"/>
  <c r="T87" i="189"/>
  <c r="T158" i="189" s="1"/>
  <c r="T28" i="191" s="1"/>
  <c r="T133" i="191" s="1"/>
  <c r="T100" i="189"/>
  <c r="T188" i="189" s="1"/>
  <c r="T59" i="191" s="1"/>
  <c r="T164" i="191" s="1"/>
  <c r="T99" i="186"/>
  <c r="T111" i="186" s="1"/>
  <c r="T82" i="189"/>
  <c r="T153" i="189" s="1"/>
  <c r="T23" i="191" s="1"/>
  <c r="T128" i="191" s="1"/>
  <c r="T81" i="189"/>
  <c r="T152" i="189" s="1"/>
  <c r="T70" i="186"/>
  <c r="T82" i="186" s="1"/>
  <c r="X276" i="185"/>
  <c r="U274" i="185"/>
  <c r="Y277" i="185"/>
  <c r="T94" i="186"/>
  <c r="T106" i="186" s="1"/>
  <c r="T95" i="189"/>
  <c r="T183" i="189" s="1"/>
  <c r="T54" i="191" s="1"/>
  <c r="T159" i="191" s="1"/>
  <c r="R123" i="189"/>
  <c r="R126" i="189"/>
  <c r="R132" i="189"/>
  <c r="R124" i="189"/>
  <c r="R125" i="189"/>
  <c r="R131" i="189"/>
  <c r="R130" i="189"/>
  <c r="R127" i="189"/>
  <c r="R129" i="189"/>
  <c r="R128" i="189"/>
  <c r="R90" i="189"/>
  <c r="R161" i="189" s="1"/>
  <c r="R31" i="191" s="1"/>
  <c r="R136" i="191" s="1"/>
  <c r="R78" i="186"/>
  <c r="R90" i="186" s="1"/>
  <c r="V72" i="186"/>
  <c r="V84" i="186" s="1"/>
  <c r="V84" i="189"/>
  <c r="V155" i="189" s="1"/>
  <c r="V25" i="191" s="1"/>
  <c r="V130" i="191" s="1"/>
  <c r="R85" i="189"/>
  <c r="R156" i="189" s="1"/>
  <c r="R26" i="191" s="1"/>
  <c r="R131" i="191" s="1"/>
  <c r="R73" i="186"/>
  <c r="R85" i="186" s="1"/>
  <c r="T93" i="189"/>
  <c r="T181" i="189" s="1"/>
  <c r="T52" i="191" s="1"/>
  <c r="T157" i="191" s="1"/>
  <c r="T94" i="189"/>
  <c r="T182" i="189" s="1"/>
  <c r="T53" i="191" s="1"/>
  <c r="T158" i="191" s="1"/>
  <c r="T93" i="186"/>
  <c r="T105" i="186" s="1"/>
  <c r="U89" i="189"/>
  <c r="U160" i="189" s="1"/>
  <c r="U30" i="191" s="1"/>
  <c r="U135" i="191" s="1"/>
  <c r="U77" i="186"/>
  <c r="U89" i="186" s="1"/>
  <c r="P89" i="185"/>
  <c r="P71" i="185"/>
  <c r="R97" i="189"/>
  <c r="R185" i="189" s="1"/>
  <c r="R56" i="191" s="1"/>
  <c r="R161" i="191" s="1"/>
  <c r="R96" i="186"/>
  <c r="R108" i="186" s="1"/>
  <c r="S76" i="186"/>
  <c r="S88" i="186" s="1"/>
  <c r="S88" i="189"/>
  <c r="S159" i="189" s="1"/>
  <c r="S29" i="191" s="1"/>
  <c r="S134" i="191" s="1"/>
  <c r="W198" i="193"/>
  <c r="W228" i="193" s="1"/>
  <c r="V198" i="193"/>
  <c r="V228" i="193" s="1"/>
  <c r="R198" i="193"/>
  <c r="R228" i="193" s="1"/>
  <c r="S198" i="193"/>
  <c r="S228" i="193" s="1"/>
  <c r="U198" i="193"/>
  <c r="U228" i="193" s="1"/>
  <c r="T198" i="193"/>
  <c r="T228" i="193" s="1"/>
  <c r="X198" i="193"/>
  <c r="X228" i="193" s="1"/>
  <c r="Y198" i="193"/>
  <c r="Y228" i="193" s="1"/>
  <c r="J42" i="55"/>
  <c r="A4" i="180"/>
  <c r="J41" i="55"/>
  <c r="R120" i="186"/>
  <c r="R132" i="186" s="1"/>
  <c r="R110" i="189"/>
  <c r="R215" i="189" s="1"/>
  <c r="R87" i="191" s="1"/>
  <c r="R192" i="191" s="1"/>
  <c r="P20" i="194"/>
  <c r="P204" i="186"/>
  <c r="P206" i="186" s="1"/>
  <c r="T98" i="189"/>
  <c r="T186" i="189" s="1"/>
  <c r="T57" i="191" s="1"/>
  <c r="T162" i="191" s="1"/>
  <c r="T97" i="186"/>
  <c r="T109" i="186" s="1"/>
  <c r="U197" i="193"/>
  <c r="U227" i="193" s="1"/>
  <c r="V197" i="193"/>
  <c r="V227" i="193" s="1"/>
  <c r="W197" i="193"/>
  <c r="W227" i="193" s="1"/>
  <c r="X197" i="193"/>
  <c r="X227" i="193" s="1"/>
  <c r="S197" i="193"/>
  <c r="S227" i="193" s="1"/>
  <c r="R197" i="193"/>
  <c r="R227" i="193" s="1"/>
  <c r="T197" i="193"/>
  <c r="T227" i="193" s="1"/>
  <c r="Y197" i="193"/>
  <c r="Y227" i="193" s="1"/>
  <c r="U280" i="185"/>
  <c r="Y275" i="185"/>
  <c r="W83" i="189"/>
  <c r="W154" i="189" s="1"/>
  <c r="W24" i="191" s="1"/>
  <c r="W129" i="191" s="1"/>
  <c r="W71" i="186"/>
  <c r="W83" i="186" s="1"/>
  <c r="J200" i="186"/>
  <c r="R94" i="186"/>
  <c r="R106" i="186" s="1"/>
  <c r="W78" i="186"/>
  <c r="W90" i="186" s="1"/>
  <c r="W90" i="189"/>
  <c r="W161" i="189" s="1"/>
  <c r="W31" i="191" s="1"/>
  <c r="W136" i="191" s="1"/>
  <c r="W77" i="186"/>
  <c r="W89" i="186" s="1"/>
  <c r="W89" i="189"/>
  <c r="W160" i="189" s="1"/>
  <c r="W30" i="191" s="1"/>
  <c r="W135" i="191" s="1"/>
  <c r="Y273" i="185"/>
  <c r="W278" i="185"/>
  <c r="W286" i="185"/>
  <c r="W299" i="185"/>
  <c r="W297" i="185"/>
  <c r="W291" i="185"/>
  <c r="W295" i="185"/>
  <c r="W290" i="185"/>
  <c r="W289" i="185"/>
  <c r="W300" i="185"/>
  <c r="W298" i="185"/>
  <c r="W287" i="185"/>
  <c r="W301" i="185"/>
  <c r="W283" i="185"/>
  <c r="W285" i="185"/>
  <c r="W296" i="185"/>
  <c r="W294" i="185"/>
  <c r="W302" i="185"/>
  <c r="W284" i="185"/>
  <c r="W288" i="185"/>
  <c r="R101" i="186"/>
  <c r="R113" i="186" s="1"/>
  <c r="R102" i="189"/>
  <c r="R190" i="189" s="1"/>
  <c r="R61" i="191" s="1"/>
  <c r="R166" i="191" s="1"/>
  <c r="X277" i="185"/>
  <c r="V273" i="185"/>
  <c r="U276" i="185"/>
  <c r="Y289" i="185"/>
  <c r="Y302" i="185"/>
  <c r="Y283" i="185"/>
  <c r="Y296" i="185"/>
  <c r="Y299" i="185"/>
  <c r="Y291" i="185"/>
  <c r="Y288" i="185"/>
  <c r="Y284" i="185"/>
  <c r="Y297" i="185"/>
  <c r="Y301" i="185"/>
  <c r="Y287" i="185"/>
  <c r="Y300" i="185"/>
  <c r="Y298" i="185"/>
  <c r="Y290" i="185"/>
  <c r="Y294" i="185"/>
  <c r="Y286" i="185"/>
  <c r="Y295" i="185"/>
  <c r="Y285" i="185"/>
  <c r="W86" i="189"/>
  <c r="W157" i="189" s="1"/>
  <c r="W27" i="191" s="1"/>
  <c r="W132" i="191" s="1"/>
  <c r="W74" i="186"/>
  <c r="W86" i="186" s="1"/>
  <c r="M72" i="194"/>
  <c r="M73" i="194"/>
  <c r="M76" i="194"/>
  <c r="M74" i="194"/>
  <c r="M75" i="194"/>
  <c r="M77" i="194"/>
  <c r="M78" i="194"/>
  <c r="T118" i="186"/>
  <c r="T130" i="186" s="1"/>
  <c r="T108" i="189"/>
  <c r="T213" i="189" s="1"/>
  <c r="T85" i="191" s="1"/>
  <c r="T190" i="191" s="1"/>
  <c r="S199" i="193"/>
  <c r="S229" i="193" s="1"/>
  <c r="Y199" i="193"/>
  <c r="Y229" i="193" s="1"/>
  <c r="T199" i="193"/>
  <c r="T229" i="193" s="1"/>
  <c r="W199" i="193"/>
  <c r="W229" i="193" s="1"/>
  <c r="R199" i="193"/>
  <c r="R229" i="193" s="1"/>
  <c r="X199" i="193"/>
  <c r="X229" i="193" s="1"/>
  <c r="V199" i="193"/>
  <c r="V229" i="193" s="1"/>
  <c r="U199" i="193"/>
  <c r="U229" i="193" s="1"/>
  <c r="L20" i="194"/>
  <c r="L255" i="186"/>
  <c r="L257" i="186"/>
  <c r="L259" i="186"/>
  <c r="L253" i="186"/>
  <c r="L256" i="186"/>
  <c r="L252" i="186"/>
  <c r="L254" i="186"/>
  <c r="L204" i="186"/>
  <c r="L206" i="186" s="1"/>
  <c r="L258" i="186"/>
  <c r="K72" i="194"/>
  <c r="K76" i="194"/>
  <c r="K74" i="194"/>
  <c r="K75" i="194"/>
  <c r="K77" i="194"/>
  <c r="K78" i="194"/>
  <c r="K73" i="194"/>
  <c r="R119" i="186"/>
  <c r="R131" i="186" s="1"/>
  <c r="R109" i="189"/>
  <c r="R214" i="189" s="1"/>
  <c r="R86" i="191" s="1"/>
  <c r="R191" i="191" s="1"/>
  <c r="X83" i="189"/>
  <c r="X154" i="189" s="1"/>
  <c r="X24" i="191" s="1"/>
  <c r="X129" i="191" s="1"/>
  <c r="X71" i="186"/>
  <c r="X83" i="186" s="1"/>
  <c r="X284" i="185"/>
  <c r="X286" i="185"/>
  <c r="X296" i="185"/>
  <c r="X290" i="185"/>
  <c r="X301" i="185"/>
  <c r="X297" i="185"/>
  <c r="X300" i="185"/>
  <c r="X295" i="185"/>
  <c r="X285" i="185"/>
  <c r="X291" i="185"/>
  <c r="X288" i="185"/>
  <c r="X289" i="185"/>
  <c r="X287" i="185"/>
  <c r="X283" i="185"/>
  <c r="X294" i="185"/>
  <c r="X298" i="185"/>
  <c r="X299" i="185"/>
  <c r="X302" i="185"/>
  <c r="Q89" i="185"/>
  <c r="Q83" i="185"/>
  <c r="Q91" i="185" s="1"/>
  <c r="Q267" i="185" s="1"/>
  <c r="Q78" i="189" s="1"/>
  <c r="R99" i="186"/>
  <c r="R111" i="186" s="1"/>
  <c r="R100" i="189"/>
  <c r="R188" i="189" s="1"/>
  <c r="R59" i="191" s="1"/>
  <c r="R164" i="191" s="1"/>
  <c r="S90" i="189"/>
  <c r="S161" i="189" s="1"/>
  <c r="S31" i="191" s="1"/>
  <c r="S136" i="191" s="1"/>
  <c r="S78" i="186"/>
  <c r="S90" i="186" s="1"/>
  <c r="U124" i="189"/>
  <c r="U123" i="189"/>
  <c r="U132" i="189"/>
  <c r="U125" i="189"/>
  <c r="U130" i="189"/>
  <c r="U128" i="189"/>
  <c r="U129" i="189"/>
  <c r="U131" i="189"/>
  <c r="U127" i="189"/>
  <c r="U126" i="189"/>
  <c r="Q253" i="186"/>
  <c r="Q256" i="186"/>
  <c r="Q259" i="186"/>
  <c r="Q257" i="186"/>
  <c r="Q258" i="186"/>
  <c r="Q254" i="186"/>
  <c r="Q255" i="186"/>
  <c r="Q204" i="186"/>
  <c r="Q206" i="186" s="1"/>
  <c r="Q20" i="194"/>
  <c r="Q252" i="186"/>
  <c r="W129" i="189"/>
  <c r="W124" i="189"/>
  <c r="W131" i="189"/>
  <c r="W132" i="189"/>
  <c r="W126" i="189"/>
  <c r="W125" i="189"/>
  <c r="W127" i="189"/>
  <c r="W123" i="189"/>
  <c r="W130" i="189"/>
  <c r="W128" i="189"/>
  <c r="T119" i="186"/>
  <c r="T131" i="186" s="1"/>
  <c r="T109" i="189"/>
  <c r="T214" i="189" s="1"/>
  <c r="T86" i="191" s="1"/>
  <c r="T191" i="191" s="1"/>
  <c r="R75" i="186"/>
  <c r="R87" i="186" s="1"/>
  <c r="R87" i="189"/>
  <c r="R158" i="189" s="1"/>
  <c r="R28" i="191" s="1"/>
  <c r="R133" i="191" s="1"/>
  <c r="Y279" i="185"/>
  <c r="T120" i="186"/>
  <c r="T132" i="186" s="1"/>
  <c r="T110" i="189"/>
  <c r="T215" i="189" s="1"/>
  <c r="T87" i="191" s="1"/>
  <c r="T192" i="191" s="1"/>
  <c r="T84" i="189"/>
  <c r="T155" i="189" s="1"/>
  <c r="T25" i="191" s="1"/>
  <c r="T130" i="191" s="1"/>
  <c r="T72" i="186"/>
  <c r="T84" i="186" s="1"/>
  <c r="S89" i="189"/>
  <c r="S160" i="189" s="1"/>
  <c r="S30" i="191" s="1"/>
  <c r="S135" i="191" s="1"/>
  <c r="S77" i="186"/>
  <c r="S89" i="186" s="1"/>
  <c r="Y276" i="185"/>
  <c r="V125" i="189"/>
  <c r="V131" i="189"/>
  <c r="V128" i="189"/>
  <c r="V129" i="189"/>
  <c r="V130" i="189"/>
  <c r="V124" i="189"/>
  <c r="V127" i="189"/>
  <c r="V123" i="189"/>
  <c r="V132" i="189"/>
  <c r="V126" i="189"/>
  <c r="T105" i="189"/>
  <c r="T210" i="189" s="1"/>
  <c r="T82" i="191" s="1"/>
  <c r="T187" i="191" s="1"/>
  <c r="T116" i="186"/>
  <c r="T128" i="186" s="1"/>
  <c r="T106" i="189"/>
  <c r="T211" i="189" s="1"/>
  <c r="T83" i="191" s="1"/>
  <c r="T188" i="191" s="1"/>
  <c r="S87" i="189"/>
  <c r="S158" i="189" s="1"/>
  <c r="S28" i="191" s="1"/>
  <c r="S133" i="191" s="1"/>
  <c r="S75" i="186"/>
  <c r="S87" i="186" s="1"/>
  <c r="R122" i="186"/>
  <c r="R134" i="186" s="1"/>
  <c r="R112" i="189"/>
  <c r="R217" i="189" s="1"/>
  <c r="R89" i="191" s="1"/>
  <c r="R194" i="191" s="1"/>
  <c r="R98" i="186"/>
  <c r="R110" i="186" s="1"/>
  <c r="R99" i="189"/>
  <c r="R187" i="189" s="1"/>
  <c r="R58" i="191" s="1"/>
  <c r="R163" i="191" s="1"/>
  <c r="W85" i="189"/>
  <c r="W156" i="189" s="1"/>
  <c r="W26" i="191" s="1"/>
  <c r="W131" i="191" s="1"/>
  <c r="W73" i="186"/>
  <c r="W85" i="186" s="1"/>
  <c r="R121" i="186"/>
  <c r="R133" i="186" s="1"/>
  <c r="R111" i="189"/>
  <c r="R216" i="189" s="1"/>
  <c r="R88" i="191" s="1"/>
  <c r="R193" i="191" s="1"/>
  <c r="W75" i="186"/>
  <c r="W87" i="186" s="1"/>
  <c r="W87" i="189"/>
  <c r="W158" i="189" s="1"/>
  <c r="W28" i="191" s="1"/>
  <c r="W133" i="191" s="1"/>
  <c r="T96" i="189"/>
  <c r="T184" i="189" s="1"/>
  <c r="T55" i="191" s="1"/>
  <c r="T160" i="191" s="1"/>
  <c r="T95" i="186"/>
  <c r="T107" i="186" s="1"/>
  <c r="W81" i="189"/>
  <c r="W152" i="189" s="1"/>
  <c r="W70" i="186"/>
  <c r="W82" i="186" s="1"/>
  <c r="W82" i="189"/>
  <c r="W153" i="189" s="1"/>
  <c r="W23" i="191" s="1"/>
  <c r="W128" i="191" s="1"/>
  <c r="T117" i="186"/>
  <c r="T129" i="186" s="1"/>
  <c r="T107" i="189"/>
  <c r="T212" i="189" s="1"/>
  <c r="T84" i="191" s="1"/>
  <c r="T189" i="191" s="1"/>
  <c r="M89" i="185"/>
  <c r="M71" i="185"/>
  <c r="M73" i="185" s="1"/>
  <c r="Q230" i="185"/>
  <c r="Q231" i="185"/>
  <c r="Q234" i="185"/>
  <c r="Q235" i="185"/>
  <c r="Q233" i="185"/>
  <c r="Q232" i="185"/>
  <c r="Q236" i="185"/>
  <c r="Q237" i="185"/>
  <c r="Q229" i="185"/>
  <c r="T88" i="189"/>
  <c r="T159" i="189" s="1"/>
  <c r="T29" i="191" s="1"/>
  <c r="T134" i="191" s="1"/>
  <c r="T76" i="186"/>
  <c r="T88" i="186" s="1"/>
  <c r="Y202" i="193"/>
  <c r="Y232" i="193" s="1"/>
  <c r="R202" i="193"/>
  <c r="R232" i="193" s="1"/>
  <c r="W202" i="193"/>
  <c r="W232" i="193" s="1"/>
  <c r="X202" i="193"/>
  <c r="X232" i="193" s="1"/>
  <c r="V202" i="193"/>
  <c r="V232" i="193" s="1"/>
  <c r="T202" i="193"/>
  <c r="T232" i="193" s="1"/>
  <c r="S202" i="193"/>
  <c r="S232" i="193" s="1"/>
  <c r="U202" i="193"/>
  <c r="U232" i="193" s="1"/>
  <c r="J89" i="185"/>
  <c r="J71" i="185"/>
  <c r="U275" i="185"/>
  <c r="K89" i="185"/>
  <c r="K71" i="185"/>
  <c r="K73" i="185" s="1"/>
  <c r="S275" i="185"/>
  <c r="S288" i="185"/>
  <c r="S291" i="185"/>
  <c r="S300" i="185"/>
  <c r="S284" i="185"/>
  <c r="S286" i="185"/>
  <c r="S295" i="185"/>
  <c r="S287" i="185"/>
  <c r="S290" i="185"/>
  <c r="S294" i="185"/>
  <c r="S299" i="185"/>
  <c r="S283" i="185"/>
  <c r="S296" i="185"/>
  <c r="S302" i="185"/>
  <c r="S301" i="185"/>
  <c r="S298" i="185"/>
  <c r="S297" i="185"/>
  <c r="S285" i="185"/>
  <c r="S289" i="185"/>
  <c r="V291" i="185"/>
  <c r="V297" i="185"/>
  <c r="V296" i="185"/>
  <c r="V299" i="185"/>
  <c r="V290" i="185"/>
  <c r="V302" i="185"/>
  <c r="V294" i="185"/>
  <c r="V286" i="185"/>
  <c r="V301" i="185"/>
  <c r="V288" i="185"/>
  <c r="V289" i="185"/>
  <c r="V284" i="185"/>
  <c r="V287" i="185"/>
  <c r="V300" i="185"/>
  <c r="V285" i="185"/>
  <c r="V283" i="185"/>
  <c r="V295" i="185"/>
  <c r="V298" i="185"/>
  <c r="X274" i="185"/>
  <c r="N89" i="185"/>
  <c r="N71" i="185"/>
  <c r="V277" i="185"/>
  <c r="S272" i="185"/>
  <c r="V201" i="193"/>
  <c r="V231" i="193" s="1"/>
  <c r="X201" i="193"/>
  <c r="X231" i="193" s="1"/>
  <c r="Y201" i="193"/>
  <c r="Y231" i="193" s="1"/>
  <c r="W201" i="193"/>
  <c r="W231" i="193" s="1"/>
  <c r="U201" i="193"/>
  <c r="U231" i="193" s="1"/>
  <c r="T201" i="193"/>
  <c r="T231" i="193" s="1"/>
  <c r="S201" i="193"/>
  <c r="S231" i="193" s="1"/>
  <c r="R201" i="193"/>
  <c r="R231" i="193" s="1"/>
  <c r="Y125" i="189"/>
  <c r="Y132" i="189"/>
  <c r="Y123" i="189"/>
  <c r="Y131" i="189"/>
  <c r="Y127" i="189"/>
  <c r="Y124" i="189"/>
  <c r="Y130" i="189"/>
  <c r="Y129" i="189"/>
  <c r="Y128" i="189"/>
  <c r="Y126" i="189"/>
  <c r="L71" i="185"/>
  <c r="L89" i="185"/>
  <c r="S86" i="189"/>
  <c r="S157" i="189" s="1"/>
  <c r="S27" i="191" s="1"/>
  <c r="S132" i="191" s="1"/>
  <c r="S74" i="186"/>
  <c r="S86" i="186" s="1"/>
  <c r="U284" i="185"/>
  <c r="U291" i="185"/>
  <c r="U302" i="185"/>
  <c r="U295" i="185"/>
  <c r="U301" i="185"/>
  <c r="U289" i="185"/>
  <c r="U283" i="185"/>
  <c r="U286" i="185"/>
  <c r="U287" i="185"/>
  <c r="U294" i="185"/>
  <c r="U300" i="185"/>
  <c r="U297" i="185"/>
  <c r="U296" i="185"/>
  <c r="U298" i="185"/>
  <c r="U288" i="185"/>
  <c r="U290" i="185"/>
  <c r="U299" i="185"/>
  <c r="U285" i="185"/>
  <c r="V73" i="186"/>
  <c r="V85" i="186" s="1"/>
  <c r="V85" i="189"/>
  <c r="V156" i="189" s="1"/>
  <c r="V26" i="191" s="1"/>
  <c r="V131" i="191" s="1"/>
  <c r="R124" i="186"/>
  <c r="R136" i="186" s="1"/>
  <c r="R114" i="189"/>
  <c r="R219" i="189" s="1"/>
  <c r="R91" i="191" s="1"/>
  <c r="R196" i="191" s="1"/>
  <c r="T86" i="189"/>
  <c r="T157" i="189" s="1"/>
  <c r="T27" i="191" s="1"/>
  <c r="T132" i="191" s="1"/>
  <c r="T74" i="186"/>
  <c r="T86" i="186" s="1"/>
  <c r="T146" i="186" s="1"/>
  <c r="T172" i="186" s="1"/>
  <c r="T273" i="186" s="1"/>
  <c r="O71" i="185"/>
  <c r="O89" i="185"/>
  <c r="A4" i="195"/>
  <c r="J57" i="55"/>
  <c r="T200" i="193"/>
  <c r="T230" i="193" s="1"/>
  <c r="R200" i="193"/>
  <c r="R230" i="193" s="1"/>
  <c r="X200" i="193"/>
  <c r="X230" i="193" s="1"/>
  <c r="U200" i="193"/>
  <c r="U230" i="193" s="1"/>
  <c r="V200" i="193"/>
  <c r="V230" i="193" s="1"/>
  <c r="W200" i="193"/>
  <c r="W230" i="193" s="1"/>
  <c r="S200" i="193"/>
  <c r="S230" i="193" s="1"/>
  <c r="Y200" i="193"/>
  <c r="Y230" i="193" s="1"/>
  <c r="R84" i="189"/>
  <c r="R155" i="189" s="1"/>
  <c r="R25" i="191" s="1"/>
  <c r="R130" i="191" s="1"/>
  <c r="R72" i="186"/>
  <c r="R84" i="186" s="1"/>
  <c r="Y278" i="185"/>
  <c r="R118" i="186"/>
  <c r="R130" i="186" s="1"/>
  <c r="R108" i="189"/>
  <c r="R213" i="189" s="1"/>
  <c r="R85" i="191" s="1"/>
  <c r="R190" i="191" s="1"/>
  <c r="R116" i="186"/>
  <c r="R128" i="186" s="1"/>
  <c r="R105" i="189"/>
  <c r="R210" i="189" s="1"/>
  <c r="R82" i="191" s="1"/>
  <c r="R187" i="191" s="1"/>
  <c r="R106" i="189"/>
  <c r="R211" i="189" s="1"/>
  <c r="R83" i="191" s="1"/>
  <c r="R188" i="191" s="1"/>
  <c r="X279" i="185"/>
  <c r="T131" i="189"/>
  <c r="T130" i="189"/>
  <c r="T129" i="189"/>
  <c r="T125" i="189"/>
  <c r="T132" i="189"/>
  <c r="T128" i="189"/>
  <c r="T124" i="189"/>
  <c r="T123" i="189"/>
  <c r="T127" i="189"/>
  <c r="T126" i="189"/>
  <c r="T114" i="189"/>
  <c r="T219" i="189" s="1"/>
  <c r="T91" i="191" s="1"/>
  <c r="T196" i="191" s="1"/>
  <c r="T124" i="186"/>
  <c r="T136" i="186" s="1"/>
  <c r="T96" i="186"/>
  <c r="T108" i="186" s="1"/>
  <c r="T97" i="189"/>
  <c r="T185" i="189" s="1"/>
  <c r="T56" i="191" s="1"/>
  <c r="T161" i="191" s="1"/>
  <c r="Y280" i="185"/>
  <c r="T121" i="186"/>
  <c r="T133" i="186" s="1"/>
  <c r="T111" i="189"/>
  <c r="T216" i="189" s="1"/>
  <c r="T88" i="191" s="1"/>
  <c r="T193" i="191" s="1"/>
  <c r="X278" i="185"/>
  <c r="O204" i="186"/>
  <c r="O206" i="186" s="1"/>
  <c r="O20" i="194"/>
  <c r="R22" i="191"/>
  <c r="R127" i="191" s="1"/>
  <c r="S72" i="186" l="1"/>
  <c r="S84" i="186" s="1"/>
  <c r="V70" i="186"/>
  <c r="V82" i="186" s="1"/>
  <c r="V81" i="189"/>
  <c r="V152" i="189" s="1"/>
  <c r="V90" i="189"/>
  <c r="V161" i="189" s="1"/>
  <c r="V31" i="191" s="1"/>
  <c r="V136" i="191" s="1"/>
  <c r="R74" i="186"/>
  <c r="R86" i="186" s="1"/>
  <c r="R86" i="189"/>
  <c r="R157" i="189" s="1"/>
  <c r="R27" i="191" s="1"/>
  <c r="R132" i="191" s="1"/>
  <c r="T98" i="186"/>
  <c r="T110" i="186" s="1"/>
  <c r="T99" i="189"/>
  <c r="T187" i="189" s="1"/>
  <c r="T58" i="191" s="1"/>
  <c r="T163" i="191" s="1"/>
  <c r="T102" i="189"/>
  <c r="T190" i="189" s="1"/>
  <c r="T61" i="191" s="1"/>
  <c r="T166" i="191" s="1"/>
  <c r="T101" i="186"/>
  <c r="T113" i="186" s="1"/>
  <c r="T123" i="186"/>
  <c r="T135" i="186" s="1"/>
  <c r="T113" i="189"/>
  <c r="T218" i="189" s="1"/>
  <c r="T90" i="191" s="1"/>
  <c r="T195" i="191" s="1"/>
  <c r="R93" i="189"/>
  <c r="R181" i="189" s="1"/>
  <c r="R52" i="191" s="1"/>
  <c r="R157" i="191" s="1"/>
  <c r="R94" i="189"/>
  <c r="R182" i="189" s="1"/>
  <c r="R53" i="191" s="1"/>
  <c r="R158" i="191" s="1"/>
  <c r="R93" i="186"/>
  <c r="R105" i="186" s="1"/>
  <c r="R142" i="186" s="1"/>
  <c r="R168" i="186" s="1"/>
  <c r="R269" i="186" s="1"/>
  <c r="T122" i="186"/>
  <c r="T134" i="186" s="1"/>
  <c r="T148" i="186" s="1"/>
  <c r="T174" i="186" s="1"/>
  <c r="T275" i="186" s="1"/>
  <c r="T112" i="189"/>
  <c r="T217" i="189" s="1"/>
  <c r="T89" i="191" s="1"/>
  <c r="T194" i="191" s="1"/>
  <c r="R89" i="189"/>
  <c r="R160" i="189" s="1"/>
  <c r="R30" i="191" s="1"/>
  <c r="R135" i="191" s="1"/>
  <c r="R77" i="186"/>
  <c r="R89" i="186" s="1"/>
  <c r="R149" i="186" s="1"/>
  <c r="R175" i="186" s="1"/>
  <c r="R276" i="186" s="1"/>
  <c r="R107" i="189"/>
  <c r="R212" i="189" s="1"/>
  <c r="R84" i="191" s="1"/>
  <c r="R189" i="191" s="1"/>
  <c r="R117" i="186"/>
  <c r="R129" i="186" s="1"/>
  <c r="T100" i="186"/>
  <c r="T112" i="186" s="1"/>
  <c r="T101" i="189"/>
  <c r="T189" i="189" s="1"/>
  <c r="T60" i="191" s="1"/>
  <c r="T165" i="191" s="1"/>
  <c r="T78" i="186"/>
  <c r="T90" i="186" s="1"/>
  <c r="T150" i="186" s="1"/>
  <c r="T90" i="189"/>
  <c r="T161" i="189" s="1"/>
  <c r="T31" i="191" s="1"/>
  <c r="T136" i="191" s="1"/>
  <c r="R97" i="186"/>
  <c r="R109" i="186" s="1"/>
  <c r="R146" i="186" s="1"/>
  <c r="R172" i="186" s="1"/>
  <c r="R273" i="186" s="1"/>
  <c r="R98" i="189"/>
  <c r="R186" i="189" s="1"/>
  <c r="R57" i="191" s="1"/>
  <c r="R162" i="191" s="1"/>
  <c r="R95" i="186"/>
  <c r="R107" i="186" s="1"/>
  <c r="R96" i="189"/>
  <c r="R184" i="189" s="1"/>
  <c r="R55" i="191" s="1"/>
  <c r="R160" i="191" s="1"/>
  <c r="R144" i="186"/>
  <c r="R170" i="186" s="1"/>
  <c r="R271" i="186" s="1"/>
  <c r="T89" i="189"/>
  <c r="T160" i="189" s="1"/>
  <c r="T30" i="191" s="1"/>
  <c r="T135" i="191" s="1"/>
  <c r="T77" i="186"/>
  <c r="T89" i="186" s="1"/>
  <c r="T73" i="186"/>
  <c r="T85" i="186" s="1"/>
  <c r="T145" i="186" s="1"/>
  <c r="T171" i="186" s="1"/>
  <c r="T272" i="186" s="1"/>
  <c r="T85" i="189"/>
  <c r="T156" i="189" s="1"/>
  <c r="T26" i="191" s="1"/>
  <c r="T131" i="191" s="1"/>
  <c r="V107" i="189"/>
  <c r="V212" i="189" s="1"/>
  <c r="V84" i="191" s="1"/>
  <c r="V189" i="191" s="1"/>
  <c r="V117" i="186"/>
  <c r="V129" i="186" s="1"/>
  <c r="V123" i="186"/>
  <c r="V135" i="186" s="1"/>
  <c r="V113" i="189"/>
  <c r="V218" i="189" s="1"/>
  <c r="V90" i="191" s="1"/>
  <c r="V195" i="191" s="1"/>
  <c r="V102" i="189"/>
  <c r="V190" i="189" s="1"/>
  <c r="V61" i="191" s="1"/>
  <c r="V166" i="191" s="1"/>
  <c r="V101" i="186"/>
  <c r="V113" i="186" s="1"/>
  <c r="S93" i="186"/>
  <c r="S105" i="186" s="1"/>
  <c r="S94" i="189"/>
  <c r="S182" i="189" s="1"/>
  <c r="S53" i="191" s="1"/>
  <c r="S158" i="191" s="1"/>
  <c r="S93" i="189"/>
  <c r="S181" i="189" s="1"/>
  <c r="S52" i="191" s="1"/>
  <c r="S157" i="191" s="1"/>
  <c r="S122" i="186"/>
  <c r="S134" i="186" s="1"/>
  <c r="S112" i="189"/>
  <c r="S217" i="189" s="1"/>
  <c r="S89" i="191" s="1"/>
  <c r="S194" i="191" s="1"/>
  <c r="J73" i="185"/>
  <c r="J77" i="185"/>
  <c r="J83" i="185" s="1"/>
  <c r="K77" i="185"/>
  <c r="K83" i="185" s="1"/>
  <c r="Q128" i="189"/>
  <c r="Q128" i="193" s="1"/>
  <c r="Q198" i="193" s="1"/>
  <c r="Q228" i="193" s="1"/>
  <c r="Q129" i="189"/>
  <c r="Q129" i="193" s="1"/>
  <c r="Q199" i="193" s="1"/>
  <c r="Q229" i="193" s="1"/>
  <c r="Q130" i="189"/>
  <c r="Q130" i="193" s="1"/>
  <c r="Q200" i="193" s="1"/>
  <c r="Q230" i="193" s="1"/>
  <c r="Q123" i="189"/>
  <c r="Q126" i="189"/>
  <c r="Q126" i="193" s="1"/>
  <c r="Q196" i="193" s="1"/>
  <c r="Q226" i="193" s="1"/>
  <c r="Q131" i="189"/>
  <c r="Q131" i="193" s="1"/>
  <c r="Q201" i="193" s="1"/>
  <c r="Q231" i="193" s="1"/>
  <c r="Q125" i="189"/>
  <c r="Q125" i="193" s="1"/>
  <c r="Q195" i="193" s="1"/>
  <c r="Q225" i="193" s="1"/>
  <c r="Q127" i="189"/>
  <c r="Q127" i="193" s="1"/>
  <c r="Q197" i="193" s="1"/>
  <c r="Q227" i="193" s="1"/>
  <c r="Q124" i="189"/>
  <c r="Q132" i="189"/>
  <c r="Q132" i="193" s="1"/>
  <c r="Q202" i="193" s="1"/>
  <c r="Q232" i="193" s="1"/>
  <c r="X100" i="189"/>
  <c r="X188" i="189" s="1"/>
  <c r="X59" i="191" s="1"/>
  <c r="X164" i="191" s="1"/>
  <c r="X99" i="186"/>
  <c r="X111" i="186" s="1"/>
  <c r="X101" i="189"/>
  <c r="X189" i="189" s="1"/>
  <c r="X60" i="191" s="1"/>
  <c r="X165" i="191" s="1"/>
  <c r="X100" i="186"/>
  <c r="X112" i="186" s="1"/>
  <c r="Y122" i="186"/>
  <c r="Y134" i="186" s="1"/>
  <c r="Y112" i="189"/>
  <c r="Y217" i="189" s="1"/>
  <c r="Y89" i="191" s="1"/>
  <c r="Y194" i="191" s="1"/>
  <c r="Y108" i="189"/>
  <c r="Y213" i="189" s="1"/>
  <c r="Y85" i="191" s="1"/>
  <c r="Y190" i="191" s="1"/>
  <c r="Y118" i="186"/>
  <c r="Y130" i="186" s="1"/>
  <c r="W94" i="189"/>
  <c r="W182" i="189" s="1"/>
  <c r="W53" i="191" s="1"/>
  <c r="W158" i="191" s="1"/>
  <c r="W93" i="189"/>
  <c r="W181" i="189" s="1"/>
  <c r="W52" i="191" s="1"/>
  <c r="W157" i="191" s="1"/>
  <c r="W93" i="186"/>
  <c r="W105" i="186" s="1"/>
  <c r="W102" i="189"/>
  <c r="W190" i="189" s="1"/>
  <c r="W61" i="191" s="1"/>
  <c r="W166" i="191" s="1"/>
  <c r="W101" i="186"/>
  <c r="W113" i="186" s="1"/>
  <c r="Y85" i="189"/>
  <c r="Y156" i="189" s="1"/>
  <c r="Y26" i="191" s="1"/>
  <c r="Y131" i="191" s="1"/>
  <c r="Y73" i="186"/>
  <c r="Y85" i="186" s="1"/>
  <c r="U84" i="189"/>
  <c r="U155" i="189" s="1"/>
  <c r="U25" i="191" s="1"/>
  <c r="U130" i="191" s="1"/>
  <c r="U72" i="186"/>
  <c r="U84" i="186" s="1"/>
  <c r="T147" i="186"/>
  <c r="T173" i="186" s="1"/>
  <c r="T274" i="186" s="1"/>
  <c r="U83" i="189"/>
  <c r="U154" i="189" s="1"/>
  <c r="U24" i="191" s="1"/>
  <c r="U129" i="191" s="1"/>
  <c r="U71" i="186"/>
  <c r="U83" i="186" s="1"/>
  <c r="R148" i="186"/>
  <c r="R174" i="186" s="1"/>
  <c r="R275" i="186" s="1"/>
  <c r="Y88" i="189"/>
  <c r="Y159" i="189" s="1"/>
  <c r="Y29" i="191" s="1"/>
  <c r="Y134" i="191" s="1"/>
  <c r="Y76" i="186"/>
  <c r="Y88" i="186" s="1"/>
  <c r="X88" i="189"/>
  <c r="X159" i="189" s="1"/>
  <c r="X29" i="191" s="1"/>
  <c r="X134" i="191" s="1"/>
  <c r="X76" i="186"/>
  <c r="X88" i="186" s="1"/>
  <c r="U110" i="189"/>
  <c r="U215" i="189" s="1"/>
  <c r="U87" i="191" s="1"/>
  <c r="U192" i="191" s="1"/>
  <c r="U120" i="186"/>
  <c r="U132" i="186" s="1"/>
  <c r="U99" i="186"/>
  <c r="U111" i="186" s="1"/>
  <c r="U100" i="189"/>
  <c r="U188" i="189" s="1"/>
  <c r="U59" i="191" s="1"/>
  <c r="U164" i="191" s="1"/>
  <c r="S82" i="189"/>
  <c r="S153" i="189" s="1"/>
  <c r="S23" i="191" s="1"/>
  <c r="S128" i="191" s="1"/>
  <c r="S70" i="186"/>
  <c r="S82" i="186" s="1"/>
  <c r="S81" i="189"/>
  <c r="S152" i="189" s="1"/>
  <c r="V93" i="186"/>
  <c r="V105" i="186" s="1"/>
  <c r="V94" i="189"/>
  <c r="V182" i="189" s="1"/>
  <c r="V53" i="191" s="1"/>
  <c r="V158" i="191" s="1"/>
  <c r="V93" i="189"/>
  <c r="V181" i="189" s="1"/>
  <c r="V52" i="191" s="1"/>
  <c r="V157" i="191" s="1"/>
  <c r="V96" i="186"/>
  <c r="V108" i="186" s="1"/>
  <c r="V97" i="189"/>
  <c r="V185" i="189" s="1"/>
  <c r="V56" i="191" s="1"/>
  <c r="V161" i="191" s="1"/>
  <c r="S100" i="189"/>
  <c r="S188" i="189" s="1"/>
  <c r="S59" i="191" s="1"/>
  <c r="S164" i="191" s="1"/>
  <c r="S99" i="186"/>
  <c r="S111" i="186" s="1"/>
  <c r="S111" i="189"/>
  <c r="S216" i="189" s="1"/>
  <c r="S88" i="191" s="1"/>
  <c r="S193" i="191" s="1"/>
  <c r="S121" i="186"/>
  <c r="S133" i="186" s="1"/>
  <c r="S101" i="186"/>
  <c r="S113" i="186" s="1"/>
  <c r="S102" i="189"/>
  <c r="S190" i="189" s="1"/>
  <c r="S61" i="191" s="1"/>
  <c r="S166" i="191" s="1"/>
  <c r="X99" i="189"/>
  <c r="X187" i="189" s="1"/>
  <c r="X58" i="191" s="1"/>
  <c r="X163" i="191" s="1"/>
  <c r="X98" i="186"/>
  <c r="X110" i="186" s="1"/>
  <c r="X108" i="189"/>
  <c r="X213" i="189" s="1"/>
  <c r="X85" i="191" s="1"/>
  <c r="X190" i="191" s="1"/>
  <c r="X118" i="186"/>
  <c r="X130" i="186" s="1"/>
  <c r="Y98" i="189"/>
  <c r="Y186" i="189" s="1"/>
  <c r="Y57" i="191" s="1"/>
  <c r="Y162" i="191" s="1"/>
  <c r="Y97" i="186"/>
  <c r="Y109" i="186" s="1"/>
  <c r="Y94" i="189"/>
  <c r="Y182" i="189" s="1"/>
  <c r="Y53" i="191" s="1"/>
  <c r="Y158" i="191" s="1"/>
  <c r="Y93" i="186"/>
  <c r="Y105" i="186" s="1"/>
  <c r="Y93" i="189"/>
  <c r="Y181" i="189" s="1"/>
  <c r="Y52" i="191" s="1"/>
  <c r="Y157" i="191" s="1"/>
  <c r="W123" i="186"/>
  <c r="W135" i="186" s="1"/>
  <c r="W113" i="189"/>
  <c r="W218" i="189" s="1"/>
  <c r="W90" i="191" s="1"/>
  <c r="W195" i="191" s="1"/>
  <c r="W109" i="189"/>
  <c r="W214" i="189" s="1"/>
  <c r="W86" i="191" s="1"/>
  <c r="W191" i="191" s="1"/>
  <c r="W119" i="186"/>
  <c r="W131" i="186" s="1"/>
  <c r="U78" i="186"/>
  <c r="U90" i="186" s="1"/>
  <c r="U90" i="189"/>
  <c r="U161" i="189" s="1"/>
  <c r="U31" i="191" s="1"/>
  <c r="U136" i="191" s="1"/>
  <c r="R145" i="186"/>
  <c r="R171" i="186" s="1"/>
  <c r="R272" i="186" s="1"/>
  <c r="X86" i="189"/>
  <c r="X157" i="189" s="1"/>
  <c r="X27" i="191" s="1"/>
  <c r="X132" i="191" s="1"/>
  <c r="X74" i="186"/>
  <c r="X86" i="186" s="1"/>
  <c r="X85" i="189"/>
  <c r="X156" i="189" s="1"/>
  <c r="X26" i="191" s="1"/>
  <c r="X131" i="191" s="1"/>
  <c r="X73" i="186"/>
  <c r="X85" i="186" s="1"/>
  <c r="U22" i="191"/>
  <c r="U127" i="191" s="1"/>
  <c r="U98" i="186"/>
  <c r="U110" i="186" s="1"/>
  <c r="U99" i="189"/>
  <c r="U187" i="189" s="1"/>
  <c r="U58" i="191" s="1"/>
  <c r="U163" i="191" s="1"/>
  <c r="U93" i="186"/>
  <c r="U105" i="186" s="1"/>
  <c r="U94" i="189"/>
  <c r="U182" i="189" s="1"/>
  <c r="U53" i="191" s="1"/>
  <c r="U158" i="191" s="1"/>
  <c r="U93" i="189"/>
  <c r="U181" i="189" s="1"/>
  <c r="U52" i="191" s="1"/>
  <c r="U157" i="191" s="1"/>
  <c r="V22" i="191"/>
  <c r="V127" i="191" s="1"/>
  <c r="U108" i="189"/>
  <c r="U213" i="189" s="1"/>
  <c r="U85" i="191" s="1"/>
  <c r="U190" i="191" s="1"/>
  <c r="U118" i="186"/>
  <c r="U130" i="186" s="1"/>
  <c r="U123" i="186"/>
  <c r="U135" i="186" s="1"/>
  <c r="U113" i="189"/>
  <c r="U218" i="189" s="1"/>
  <c r="U90" i="191" s="1"/>
  <c r="U195" i="191" s="1"/>
  <c r="M77" i="185"/>
  <c r="M83" i="185" s="1"/>
  <c r="L73" i="185"/>
  <c r="L77" i="185"/>
  <c r="L83" i="185" s="1"/>
  <c r="V96" i="189"/>
  <c r="V184" i="189" s="1"/>
  <c r="V55" i="191" s="1"/>
  <c r="V160" i="191" s="1"/>
  <c r="V95" i="186"/>
  <c r="V107" i="186" s="1"/>
  <c r="V116" i="186"/>
  <c r="V128" i="186" s="1"/>
  <c r="V106" i="189"/>
  <c r="V211" i="189" s="1"/>
  <c r="V83" i="191" s="1"/>
  <c r="V188" i="191" s="1"/>
  <c r="V105" i="189"/>
  <c r="V210" i="189" s="1"/>
  <c r="V82" i="191" s="1"/>
  <c r="V187" i="191" s="1"/>
  <c r="S96" i="189"/>
  <c r="S184" i="189" s="1"/>
  <c r="S55" i="191" s="1"/>
  <c r="S160" i="191" s="1"/>
  <c r="S95" i="186"/>
  <c r="S107" i="186" s="1"/>
  <c r="S116" i="186"/>
  <c r="S128" i="186" s="1"/>
  <c r="S106" i="189"/>
  <c r="S211" i="189" s="1"/>
  <c r="S83" i="191" s="1"/>
  <c r="S188" i="191" s="1"/>
  <c r="S105" i="189"/>
  <c r="S210" i="189" s="1"/>
  <c r="S82" i="191" s="1"/>
  <c r="S187" i="191" s="1"/>
  <c r="S98" i="186"/>
  <c r="S110" i="186" s="1"/>
  <c r="S147" i="186" s="1"/>
  <c r="S173" i="186" s="1"/>
  <c r="S274" i="186" s="1"/>
  <c r="S99" i="189"/>
  <c r="S187" i="189" s="1"/>
  <c r="S58" i="191" s="1"/>
  <c r="S163" i="191" s="1"/>
  <c r="X124" i="186"/>
  <c r="X136" i="186" s="1"/>
  <c r="X114" i="189"/>
  <c r="X219" i="189" s="1"/>
  <c r="X91" i="191" s="1"/>
  <c r="X196" i="191" s="1"/>
  <c r="X102" i="189"/>
  <c r="X190" i="189" s="1"/>
  <c r="X61" i="191" s="1"/>
  <c r="X166" i="191" s="1"/>
  <c r="X101" i="186"/>
  <c r="X113" i="186" s="1"/>
  <c r="X97" i="189"/>
  <c r="X185" i="189" s="1"/>
  <c r="X56" i="191" s="1"/>
  <c r="X161" i="191" s="1"/>
  <c r="X96" i="186"/>
  <c r="X108" i="186" s="1"/>
  <c r="Y95" i="186"/>
  <c r="Y107" i="186" s="1"/>
  <c r="Y96" i="189"/>
  <c r="Y184" i="189" s="1"/>
  <c r="Y55" i="191" s="1"/>
  <c r="Y160" i="191" s="1"/>
  <c r="Y113" i="189"/>
  <c r="Y218" i="189" s="1"/>
  <c r="Y90" i="191" s="1"/>
  <c r="Y195" i="191" s="1"/>
  <c r="Y123" i="186"/>
  <c r="Y135" i="186" s="1"/>
  <c r="Y124" i="186"/>
  <c r="Y136" i="186" s="1"/>
  <c r="Y114" i="189"/>
  <c r="Y219" i="189" s="1"/>
  <c r="Y91" i="191" s="1"/>
  <c r="Y196" i="191" s="1"/>
  <c r="W99" i="189"/>
  <c r="W187" i="189" s="1"/>
  <c r="W58" i="191" s="1"/>
  <c r="W163" i="191" s="1"/>
  <c r="W98" i="186"/>
  <c r="W110" i="186" s="1"/>
  <c r="W98" i="189"/>
  <c r="W186" i="189" s="1"/>
  <c r="W57" i="191" s="1"/>
  <c r="W162" i="191" s="1"/>
  <c r="W97" i="186"/>
  <c r="W109" i="186" s="1"/>
  <c r="W121" i="186"/>
  <c r="W133" i="186" s="1"/>
  <c r="W111" i="189"/>
  <c r="W216" i="189" s="1"/>
  <c r="W88" i="191" s="1"/>
  <c r="W193" i="191" s="1"/>
  <c r="P73" i="185"/>
  <c r="P79" i="185" s="1"/>
  <c r="P85" i="185" s="1"/>
  <c r="P77" i="185"/>
  <c r="P83" i="185" s="1"/>
  <c r="P91" i="185" s="1"/>
  <c r="P267" i="185" s="1"/>
  <c r="P78" i="189" s="1"/>
  <c r="T142" i="186"/>
  <c r="T168" i="186" s="1"/>
  <c r="U109" i="189"/>
  <c r="U214" i="189" s="1"/>
  <c r="U86" i="191" s="1"/>
  <c r="U191" i="191" s="1"/>
  <c r="U119" i="186"/>
  <c r="U131" i="186" s="1"/>
  <c r="U117" i="186"/>
  <c r="U129" i="186" s="1"/>
  <c r="U107" i="189"/>
  <c r="U212" i="189" s="1"/>
  <c r="U84" i="191" s="1"/>
  <c r="U189" i="191" s="1"/>
  <c r="V75" i="186"/>
  <c r="V87" i="186" s="1"/>
  <c r="V87" i="189"/>
  <c r="V158" i="189" s="1"/>
  <c r="V28" i="191" s="1"/>
  <c r="V133" i="191" s="1"/>
  <c r="V112" i="189"/>
  <c r="V217" i="189" s="1"/>
  <c r="V89" i="191" s="1"/>
  <c r="V194" i="191" s="1"/>
  <c r="V122" i="186"/>
  <c r="V134" i="186" s="1"/>
  <c r="V124" i="186"/>
  <c r="V136" i="186" s="1"/>
  <c r="V150" i="186" s="1"/>
  <c r="V114" i="189"/>
  <c r="V219" i="189" s="1"/>
  <c r="V91" i="191" s="1"/>
  <c r="V196" i="191" s="1"/>
  <c r="S119" i="186"/>
  <c r="S131" i="186" s="1"/>
  <c r="S109" i="189"/>
  <c r="S214" i="189" s="1"/>
  <c r="S86" i="191" s="1"/>
  <c r="S191" i="191" s="1"/>
  <c r="S101" i="189"/>
  <c r="S189" i="189" s="1"/>
  <c r="S60" i="191" s="1"/>
  <c r="S165" i="191" s="1"/>
  <c r="S100" i="186"/>
  <c r="S112" i="186" s="1"/>
  <c r="S85" i="189"/>
  <c r="S156" i="189" s="1"/>
  <c r="S26" i="191" s="1"/>
  <c r="S131" i="191" s="1"/>
  <c r="S73" i="186"/>
  <c r="S85" i="186" s="1"/>
  <c r="Y86" i="189"/>
  <c r="Y157" i="189" s="1"/>
  <c r="Y27" i="191" s="1"/>
  <c r="Y132" i="191" s="1"/>
  <c r="Y74" i="186"/>
  <c r="Y86" i="186" s="1"/>
  <c r="Y89" i="189"/>
  <c r="Y160" i="189" s="1"/>
  <c r="Y30" i="191" s="1"/>
  <c r="Y135" i="191" s="1"/>
  <c r="Y77" i="186"/>
  <c r="Y89" i="186" s="1"/>
  <c r="X111" i="189"/>
  <c r="X216" i="189" s="1"/>
  <c r="X88" i="191" s="1"/>
  <c r="X193" i="191" s="1"/>
  <c r="X121" i="186"/>
  <c r="X133" i="186" s="1"/>
  <c r="X96" i="189"/>
  <c r="X184" i="189" s="1"/>
  <c r="X55" i="191" s="1"/>
  <c r="X160" i="191" s="1"/>
  <c r="X95" i="186"/>
  <c r="X107" i="186" s="1"/>
  <c r="X95" i="189"/>
  <c r="X183" i="189" s="1"/>
  <c r="X54" i="191" s="1"/>
  <c r="X159" i="191" s="1"/>
  <c r="X94" i="186"/>
  <c r="X106" i="186" s="1"/>
  <c r="L76" i="194"/>
  <c r="L75" i="194"/>
  <c r="L78" i="194"/>
  <c r="L73" i="194"/>
  <c r="L77" i="194"/>
  <c r="L72" i="194"/>
  <c r="L74" i="194"/>
  <c r="Y107" i="189"/>
  <c r="Y212" i="189" s="1"/>
  <c r="Y84" i="191" s="1"/>
  <c r="Y189" i="191" s="1"/>
  <c r="Y117" i="186"/>
  <c r="Y129" i="186" s="1"/>
  <c r="Y119" i="186"/>
  <c r="Y131" i="186" s="1"/>
  <c r="Y109" i="189"/>
  <c r="Y214" i="189" s="1"/>
  <c r="Y86" i="191" s="1"/>
  <c r="Y191" i="191" s="1"/>
  <c r="Y99" i="186"/>
  <c r="Y111" i="186" s="1"/>
  <c r="Y100" i="189"/>
  <c r="Y188" i="189" s="1"/>
  <c r="Y59" i="191" s="1"/>
  <c r="Y164" i="191" s="1"/>
  <c r="W94" i="186"/>
  <c r="W106" i="186" s="1"/>
  <c r="W95" i="189"/>
  <c r="W183" i="189" s="1"/>
  <c r="W54" i="191" s="1"/>
  <c r="W159" i="191" s="1"/>
  <c r="W120" i="186"/>
  <c r="W132" i="186" s="1"/>
  <c r="W110" i="189"/>
  <c r="W215" i="189" s="1"/>
  <c r="W87" i="191" s="1"/>
  <c r="W192" i="191" s="1"/>
  <c r="W97" i="189"/>
  <c r="W185" i="189" s="1"/>
  <c r="W56" i="191" s="1"/>
  <c r="W161" i="191" s="1"/>
  <c r="W96" i="186"/>
  <c r="W108" i="186" s="1"/>
  <c r="W145" i="186" s="1"/>
  <c r="W171" i="186" s="1"/>
  <c r="W272" i="186" s="1"/>
  <c r="T22" i="191"/>
  <c r="T127" i="191" s="1"/>
  <c r="N73" i="194"/>
  <c r="N74" i="194"/>
  <c r="N72" i="194"/>
  <c r="N78" i="194"/>
  <c r="N77" i="194"/>
  <c r="N75" i="194"/>
  <c r="N76" i="194"/>
  <c r="X22" i="191"/>
  <c r="X127" i="191" s="1"/>
  <c r="T143" i="186"/>
  <c r="T169" i="186" s="1"/>
  <c r="T270" i="186" s="1"/>
  <c r="Y82" i="189"/>
  <c r="Y153" i="189" s="1"/>
  <c r="Y23" i="191" s="1"/>
  <c r="Y128" i="191" s="1"/>
  <c r="Y70" i="186"/>
  <c r="Y82" i="186" s="1"/>
  <c r="Y81" i="189"/>
  <c r="Y152" i="189" s="1"/>
  <c r="U114" i="189"/>
  <c r="U219" i="189" s="1"/>
  <c r="U91" i="191" s="1"/>
  <c r="U196" i="191" s="1"/>
  <c r="U124" i="186"/>
  <c r="U136" i="186" s="1"/>
  <c r="Y96" i="186"/>
  <c r="Y108" i="186" s="1"/>
  <c r="Y97" i="189"/>
  <c r="Y185" i="189" s="1"/>
  <c r="Y56" i="191" s="1"/>
  <c r="Y161" i="191" s="1"/>
  <c r="Y94" i="186"/>
  <c r="Y106" i="186" s="1"/>
  <c r="Y95" i="189"/>
  <c r="Y183" i="189" s="1"/>
  <c r="Y54" i="191" s="1"/>
  <c r="Y159" i="191" s="1"/>
  <c r="U74" i="186"/>
  <c r="U86" i="186" s="1"/>
  <c r="U86" i="189"/>
  <c r="U157" i="189" s="1"/>
  <c r="U27" i="191" s="1"/>
  <c r="U132" i="191" s="1"/>
  <c r="W124" i="186"/>
  <c r="W136" i="186" s="1"/>
  <c r="W114" i="189"/>
  <c r="W219" i="189" s="1"/>
  <c r="W91" i="191" s="1"/>
  <c r="W196" i="191" s="1"/>
  <c r="W112" i="189"/>
  <c r="W217" i="189" s="1"/>
  <c r="W89" i="191" s="1"/>
  <c r="W194" i="191" s="1"/>
  <c r="W122" i="186"/>
  <c r="W134" i="186" s="1"/>
  <c r="W88" i="189"/>
  <c r="W159" i="189" s="1"/>
  <c r="W29" i="191" s="1"/>
  <c r="W134" i="191" s="1"/>
  <c r="W76" i="186"/>
  <c r="W88" i="186" s="1"/>
  <c r="X89" i="189"/>
  <c r="X160" i="189" s="1"/>
  <c r="X30" i="191" s="1"/>
  <c r="X135" i="191" s="1"/>
  <c r="X77" i="186"/>
  <c r="X89" i="186" s="1"/>
  <c r="U95" i="186"/>
  <c r="U107" i="186" s="1"/>
  <c r="U96" i="189"/>
  <c r="U184" i="189" s="1"/>
  <c r="U55" i="191" s="1"/>
  <c r="U160" i="191" s="1"/>
  <c r="U116" i="186"/>
  <c r="U128" i="186" s="1"/>
  <c r="U106" i="189"/>
  <c r="U211" i="189" s="1"/>
  <c r="U83" i="191" s="1"/>
  <c r="U188" i="191" s="1"/>
  <c r="U105" i="189"/>
  <c r="U210" i="189" s="1"/>
  <c r="U82" i="191" s="1"/>
  <c r="U187" i="191" s="1"/>
  <c r="U101" i="186"/>
  <c r="U113" i="186" s="1"/>
  <c r="U102" i="189"/>
  <c r="U190" i="189" s="1"/>
  <c r="U61" i="191" s="1"/>
  <c r="U166" i="191" s="1"/>
  <c r="V95" i="189"/>
  <c r="V183" i="189" s="1"/>
  <c r="V54" i="191" s="1"/>
  <c r="V159" i="191" s="1"/>
  <c r="V94" i="186"/>
  <c r="V106" i="186" s="1"/>
  <c r="V111" i="189"/>
  <c r="V216" i="189" s="1"/>
  <c r="V88" i="191" s="1"/>
  <c r="V193" i="191" s="1"/>
  <c r="V121" i="186"/>
  <c r="V133" i="186" s="1"/>
  <c r="S123" i="186"/>
  <c r="S135" i="186" s="1"/>
  <c r="S149" i="186" s="1"/>
  <c r="S175" i="186" s="1"/>
  <c r="S276" i="186" s="1"/>
  <c r="S113" i="189"/>
  <c r="S218" i="189" s="1"/>
  <c r="S90" i="191" s="1"/>
  <c r="S195" i="191" s="1"/>
  <c r="S117" i="186"/>
  <c r="S129" i="186" s="1"/>
  <c r="S107" i="189"/>
  <c r="S212" i="189" s="1"/>
  <c r="S84" i="191" s="1"/>
  <c r="S189" i="191" s="1"/>
  <c r="R147" i="186"/>
  <c r="R173" i="186" s="1"/>
  <c r="R274" i="186" s="1"/>
  <c r="X116" i="186"/>
  <c r="X128" i="186" s="1"/>
  <c r="X106" i="189"/>
  <c r="X211" i="189" s="1"/>
  <c r="X83" i="191" s="1"/>
  <c r="X188" i="191" s="1"/>
  <c r="X105" i="189"/>
  <c r="X210" i="189" s="1"/>
  <c r="X82" i="191" s="1"/>
  <c r="X187" i="191" s="1"/>
  <c r="X122" i="186"/>
  <c r="X134" i="186" s="1"/>
  <c r="X112" i="189"/>
  <c r="X217" i="189" s="1"/>
  <c r="X89" i="191" s="1"/>
  <c r="X194" i="191" s="1"/>
  <c r="Y116" i="186"/>
  <c r="Y128" i="186" s="1"/>
  <c r="Y106" i="189"/>
  <c r="Y211" i="189" s="1"/>
  <c r="Y83" i="191" s="1"/>
  <c r="Y188" i="191" s="1"/>
  <c r="Y105" i="189"/>
  <c r="Y210" i="189" s="1"/>
  <c r="Y82" i="191" s="1"/>
  <c r="Y187" i="191" s="1"/>
  <c r="Y99" i="189"/>
  <c r="Y187" i="189" s="1"/>
  <c r="Y58" i="191" s="1"/>
  <c r="Y163" i="191" s="1"/>
  <c r="Y98" i="186"/>
  <c r="Y110" i="186" s="1"/>
  <c r="V83" i="189"/>
  <c r="V154" i="189" s="1"/>
  <c r="V24" i="191" s="1"/>
  <c r="V129" i="191" s="1"/>
  <c r="V71" i="186"/>
  <c r="V83" i="186" s="1"/>
  <c r="W106" i="189"/>
  <c r="W211" i="189" s="1"/>
  <c r="W83" i="191" s="1"/>
  <c r="W188" i="191" s="1"/>
  <c r="W105" i="189"/>
  <c r="W210" i="189" s="1"/>
  <c r="W82" i="191" s="1"/>
  <c r="W187" i="191" s="1"/>
  <c r="W116" i="186"/>
  <c r="W128" i="186" s="1"/>
  <c r="W100" i="189"/>
  <c r="W188" i="189" s="1"/>
  <c r="W59" i="191" s="1"/>
  <c r="W164" i="191" s="1"/>
  <c r="W99" i="186"/>
  <c r="W111" i="186" s="1"/>
  <c r="Y83" i="189"/>
  <c r="Y154" i="189" s="1"/>
  <c r="Y24" i="191" s="1"/>
  <c r="Y129" i="191" s="1"/>
  <c r="Y71" i="186"/>
  <c r="Y83" i="186" s="1"/>
  <c r="J257" i="186"/>
  <c r="J259" i="186"/>
  <c r="J254" i="186"/>
  <c r="J204" i="186"/>
  <c r="J206" i="186" s="1"/>
  <c r="J256" i="186"/>
  <c r="J252" i="186"/>
  <c r="J253" i="186"/>
  <c r="J255" i="186"/>
  <c r="J20" i="194"/>
  <c r="J258" i="186"/>
  <c r="X78" i="186"/>
  <c r="X90" i="186" s="1"/>
  <c r="X90" i="189"/>
  <c r="X161" i="189" s="1"/>
  <c r="X31" i="191" s="1"/>
  <c r="X136" i="191" s="1"/>
  <c r="O73" i="185"/>
  <c r="O79" i="185" s="1"/>
  <c r="O85" i="185" s="1"/>
  <c r="O77" i="185"/>
  <c r="O83" i="185" s="1"/>
  <c r="U112" i="189"/>
  <c r="U217" i="189" s="1"/>
  <c r="U89" i="191" s="1"/>
  <c r="U194" i="191" s="1"/>
  <c r="U122" i="186"/>
  <c r="U134" i="186" s="1"/>
  <c r="N73" i="185"/>
  <c r="N79" i="185" s="1"/>
  <c r="N85" i="185" s="1"/>
  <c r="N77" i="185"/>
  <c r="N83" i="185" s="1"/>
  <c r="V101" i="189"/>
  <c r="V189" i="189" s="1"/>
  <c r="V60" i="191" s="1"/>
  <c r="V165" i="191" s="1"/>
  <c r="V100" i="186"/>
  <c r="V112" i="186" s="1"/>
  <c r="V149" i="186" s="1"/>
  <c r="V175" i="186" s="1"/>
  <c r="V276" i="186" s="1"/>
  <c r="S97" i="186"/>
  <c r="S109" i="186" s="1"/>
  <c r="S98" i="189"/>
  <c r="S186" i="189" s="1"/>
  <c r="S57" i="191" s="1"/>
  <c r="S162" i="191" s="1"/>
  <c r="X120" i="186"/>
  <c r="X132" i="186" s="1"/>
  <c r="X110" i="189"/>
  <c r="X215" i="189" s="1"/>
  <c r="X87" i="191" s="1"/>
  <c r="X192" i="191" s="1"/>
  <c r="X107" i="189"/>
  <c r="X212" i="189" s="1"/>
  <c r="X84" i="191" s="1"/>
  <c r="X189" i="191" s="1"/>
  <c r="X117" i="186"/>
  <c r="X129" i="186" s="1"/>
  <c r="X143" i="186" s="1"/>
  <c r="X169" i="186" s="1"/>
  <c r="X270" i="186" s="1"/>
  <c r="O72" i="194"/>
  <c r="O78" i="194"/>
  <c r="O76" i="194"/>
  <c r="O75" i="194"/>
  <c r="O74" i="194"/>
  <c r="O77" i="194"/>
  <c r="O73" i="194"/>
  <c r="Y78" i="186"/>
  <c r="Y90" i="186" s="1"/>
  <c r="Y90" i="189"/>
  <c r="Y161" i="189" s="1"/>
  <c r="Y31" i="191" s="1"/>
  <c r="Y136" i="191" s="1"/>
  <c r="U121" i="186"/>
  <c r="U133" i="186" s="1"/>
  <c r="U147" i="186" s="1"/>
  <c r="U173" i="186" s="1"/>
  <c r="U274" i="186" s="1"/>
  <c r="U111" i="189"/>
  <c r="U216" i="189" s="1"/>
  <c r="U88" i="191" s="1"/>
  <c r="U193" i="191" s="1"/>
  <c r="U97" i="186"/>
  <c r="U109" i="186" s="1"/>
  <c r="U98" i="189"/>
  <c r="U186" i="189" s="1"/>
  <c r="U57" i="191" s="1"/>
  <c r="U162" i="191" s="1"/>
  <c r="U94" i="186"/>
  <c r="U106" i="186" s="1"/>
  <c r="U95" i="189"/>
  <c r="U183" i="189" s="1"/>
  <c r="U54" i="191" s="1"/>
  <c r="U159" i="191" s="1"/>
  <c r="X84" i="189"/>
  <c r="X155" i="189" s="1"/>
  <c r="X25" i="191" s="1"/>
  <c r="X130" i="191" s="1"/>
  <c r="X72" i="186"/>
  <c r="X84" i="186" s="1"/>
  <c r="X144" i="186" s="1"/>
  <c r="X170" i="186" s="1"/>
  <c r="X271" i="186" s="1"/>
  <c r="V100" i="189"/>
  <c r="V188" i="189" s="1"/>
  <c r="V59" i="191" s="1"/>
  <c r="V164" i="191" s="1"/>
  <c r="V99" i="186"/>
  <c r="V111" i="186" s="1"/>
  <c r="V148" i="186" s="1"/>
  <c r="V174" i="186" s="1"/>
  <c r="V275" i="186" s="1"/>
  <c r="V108" i="189"/>
  <c r="V213" i="189" s="1"/>
  <c r="V85" i="191" s="1"/>
  <c r="V190" i="191" s="1"/>
  <c r="V118" i="186"/>
  <c r="V130" i="186" s="1"/>
  <c r="S124" i="186"/>
  <c r="S136" i="186" s="1"/>
  <c r="S150" i="186" s="1"/>
  <c r="S114" i="189"/>
  <c r="S219" i="189" s="1"/>
  <c r="S91" i="191" s="1"/>
  <c r="S196" i="191" s="1"/>
  <c r="S96" i="186"/>
  <c r="S108" i="186" s="1"/>
  <c r="S97" i="189"/>
  <c r="S185" i="189" s="1"/>
  <c r="S56" i="191" s="1"/>
  <c r="S161" i="191" s="1"/>
  <c r="W22" i="191"/>
  <c r="W127" i="191" s="1"/>
  <c r="X94" i="189"/>
  <c r="X182" i="189" s="1"/>
  <c r="X53" i="191" s="1"/>
  <c r="X158" i="191" s="1"/>
  <c r="X93" i="189"/>
  <c r="X181" i="189" s="1"/>
  <c r="X52" i="191" s="1"/>
  <c r="X157" i="191" s="1"/>
  <c r="X93" i="186"/>
  <c r="X105" i="186" s="1"/>
  <c r="X142" i="186" s="1"/>
  <c r="X168" i="186" s="1"/>
  <c r="X119" i="186"/>
  <c r="X131" i="186" s="1"/>
  <c r="X109" i="189"/>
  <c r="X214" i="189" s="1"/>
  <c r="X86" i="191" s="1"/>
  <c r="X191" i="191" s="1"/>
  <c r="Y101" i="189"/>
  <c r="Y189" i="189" s="1"/>
  <c r="Y60" i="191" s="1"/>
  <c r="Y165" i="191" s="1"/>
  <c r="Y100" i="186"/>
  <c r="Y112" i="186" s="1"/>
  <c r="Y102" i="189"/>
  <c r="Y190" i="189" s="1"/>
  <c r="Y61" i="191" s="1"/>
  <c r="Y166" i="191" s="1"/>
  <c r="Y101" i="186"/>
  <c r="Y113" i="186" s="1"/>
  <c r="W118" i="186"/>
  <c r="W130" i="186" s="1"/>
  <c r="W108" i="189"/>
  <c r="W213" i="189" s="1"/>
  <c r="W85" i="191" s="1"/>
  <c r="W190" i="191" s="1"/>
  <c r="W100" i="186"/>
  <c r="W112" i="186" s="1"/>
  <c r="W101" i="189"/>
  <c r="W189" i="189" s="1"/>
  <c r="W60" i="191" s="1"/>
  <c r="W165" i="191" s="1"/>
  <c r="S148" i="186"/>
  <c r="S174" i="186" s="1"/>
  <c r="S275" i="186" s="1"/>
  <c r="R150" i="186"/>
  <c r="U88" i="189"/>
  <c r="U159" i="189" s="1"/>
  <c r="U29" i="191" s="1"/>
  <c r="U134" i="191" s="1"/>
  <c r="U76" i="186"/>
  <c r="U88" i="186" s="1"/>
  <c r="R143" i="186"/>
  <c r="R169" i="186" s="1"/>
  <c r="R270" i="186" s="1"/>
  <c r="V98" i="189"/>
  <c r="V186" i="189" s="1"/>
  <c r="V57" i="191" s="1"/>
  <c r="V162" i="191" s="1"/>
  <c r="V97" i="186"/>
  <c r="V109" i="186" s="1"/>
  <c r="S110" i="189"/>
  <c r="S215" i="189" s="1"/>
  <c r="S87" i="191" s="1"/>
  <c r="S192" i="191" s="1"/>
  <c r="S120" i="186"/>
  <c r="S132" i="186" s="1"/>
  <c r="U100" i="186"/>
  <c r="U112" i="186" s="1"/>
  <c r="U149" i="186" s="1"/>
  <c r="U175" i="186" s="1"/>
  <c r="U276" i="186" s="1"/>
  <c r="U101" i="189"/>
  <c r="U189" i="189" s="1"/>
  <c r="U60" i="191" s="1"/>
  <c r="U165" i="191" s="1"/>
  <c r="U96" i="186"/>
  <c r="U108" i="186" s="1"/>
  <c r="U97" i="189"/>
  <c r="U185" i="189" s="1"/>
  <c r="U56" i="191" s="1"/>
  <c r="U161" i="191" s="1"/>
  <c r="V120" i="186"/>
  <c r="V132" i="186" s="1"/>
  <c r="V110" i="189"/>
  <c r="V215" i="189" s="1"/>
  <c r="V87" i="191" s="1"/>
  <c r="V192" i="191" s="1"/>
  <c r="V98" i="186"/>
  <c r="V110" i="186" s="1"/>
  <c r="V99" i="189"/>
  <c r="V187" i="189" s="1"/>
  <c r="V58" i="191" s="1"/>
  <c r="V163" i="191" s="1"/>
  <c r="V119" i="186"/>
  <c r="V131" i="186" s="1"/>
  <c r="V145" i="186" s="1"/>
  <c r="V171" i="186" s="1"/>
  <c r="V272" i="186" s="1"/>
  <c r="V109" i="189"/>
  <c r="V214" i="189" s="1"/>
  <c r="V86" i="191" s="1"/>
  <c r="V191" i="191" s="1"/>
  <c r="S118" i="186"/>
  <c r="S130" i="186" s="1"/>
  <c r="S108" i="189"/>
  <c r="S213" i="189" s="1"/>
  <c r="S85" i="191" s="1"/>
  <c r="S190" i="191" s="1"/>
  <c r="S94" i="186"/>
  <c r="S106" i="186" s="1"/>
  <c r="S143" i="186" s="1"/>
  <c r="S169" i="186" s="1"/>
  <c r="S270" i="186" s="1"/>
  <c r="S95" i="189"/>
  <c r="S183" i="189" s="1"/>
  <c r="S54" i="191" s="1"/>
  <c r="S159" i="191" s="1"/>
  <c r="U85" i="189"/>
  <c r="U156" i="189" s="1"/>
  <c r="U26" i="191" s="1"/>
  <c r="U131" i="191" s="1"/>
  <c r="U73" i="186"/>
  <c r="U85" i="186" s="1"/>
  <c r="T144" i="186"/>
  <c r="T170" i="186" s="1"/>
  <c r="T271" i="186" s="1"/>
  <c r="Q74" i="194"/>
  <c r="Q77" i="194"/>
  <c r="Q72" i="194"/>
  <c r="Q76" i="194"/>
  <c r="Q75" i="194"/>
  <c r="Q73" i="194"/>
  <c r="Q78" i="194"/>
  <c r="X98" i="189"/>
  <c r="X186" i="189" s="1"/>
  <c r="X57" i="191" s="1"/>
  <c r="X162" i="191" s="1"/>
  <c r="X97" i="186"/>
  <c r="X109" i="186" s="1"/>
  <c r="X113" i="189"/>
  <c r="X218" i="189" s="1"/>
  <c r="X90" i="191" s="1"/>
  <c r="X195" i="191" s="1"/>
  <c r="X123" i="186"/>
  <c r="X135" i="186" s="1"/>
  <c r="Q93" i="185"/>
  <c r="Q275" i="185" s="1"/>
  <c r="Y110" i="189"/>
  <c r="Y215" i="189" s="1"/>
  <c r="Y87" i="191" s="1"/>
  <c r="Y192" i="191" s="1"/>
  <c r="Y120" i="186"/>
  <c r="Y132" i="186" s="1"/>
  <c r="Y121" i="186"/>
  <c r="Y133" i="186" s="1"/>
  <c r="Y111" i="189"/>
  <c r="Y216" i="189" s="1"/>
  <c r="Y88" i="191" s="1"/>
  <c r="Y193" i="191" s="1"/>
  <c r="X75" i="186"/>
  <c r="X87" i="186" s="1"/>
  <c r="X87" i="189"/>
  <c r="X158" i="189" s="1"/>
  <c r="X28" i="191" s="1"/>
  <c r="X133" i="191" s="1"/>
  <c r="W95" i="186"/>
  <c r="W107" i="186" s="1"/>
  <c r="W144" i="186" s="1"/>
  <c r="W170" i="186" s="1"/>
  <c r="W271" i="186" s="1"/>
  <c r="W96" i="189"/>
  <c r="W184" i="189" s="1"/>
  <c r="W55" i="191" s="1"/>
  <c r="W160" i="191" s="1"/>
  <c r="W117" i="186"/>
  <c r="W129" i="186" s="1"/>
  <c r="W143" i="186" s="1"/>
  <c r="W169" i="186" s="1"/>
  <c r="W270" i="186" s="1"/>
  <c r="W107" i="189"/>
  <c r="W212" i="189" s="1"/>
  <c r="W84" i="191" s="1"/>
  <c r="W189" i="191" s="1"/>
  <c r="P72" i="194"/>
  <c r="P73" i="194"/>
  <c r="P74" i="194"/>
  <c r="K104" i="194" s="1"/>
  <c r="K136" i="194" s="1"/>
  <c r="P78" i="194"/>
  <c r="P77" i="194"/>
  <c r="P75" i="194"/>
  <c r="P76" i="194"/>
  <c r="Y75" i="186"/>
  <c r="Y87" i="186" s="1"/>
  <c r="Y87" i="189"/>
  <c r="Y158" i="189" s="1"/>
  <c r="Y28" i="191" s="1"/>
  <c r="Y133" i="191" s="1"/>
  <c r="Y84" i="189"/>
  <c r="Y155" i="189" s="1"/>
  <c r="Y25" i="191" s="1"/>
  <c r="Y130" i="191" s="1"/>
  <c r="Y72" i="186"/>
  <c r="Y84" i="186" s="1"/>
  <c r="Y144" i="186" s="1"/>
  <c r="Y170" i="186" s="1"/>
  <c r="Y271" i="186" s="1"/>
  <c r="W149" i="186" l="1"/>
  <c r="W175" i="186" s="1"/>
  <c r="W276" i="186" s="1"/>
  <c r="W150" i="186"/>
  <c r="X147" i="186"/>
  <c r="X173" i="186" s="1"/>
  <c r="X274" i="186" s="1"/>
  <c r="W147" i="186"/>
  <c r="W173" i="186" s="1"/>
  <c r="W274" i="186" s="1"/>
  <c r="T149" i="186"/>
  <c r="T175" i="186" s="1"/>
  <c r="T276" i="186" s="1"/>
  <c r="T105" i="194"/>
  <c r="T137" i="194" s="1"/>
  <c r="Q280" i="185"/>
  <c r="X107" i="194"/>
  <c r="X139" i="194" s="1"/>
  <c r="W146" i="186"/>
  <c r="W172" i="186" s="1"/>
  <c r="W273" i="186" s="1"/>
  <c r="W106" i="194"/>
  <c r="W138" i="194" s="1"/>
  <c r="Q273" i="185"/>
  <c r="Y108" i="194"/>
  <c r="Y140" i="194" s="1"/>
  <c r="Q107" i="194"/>
  <c r="Q139" i="194" s="1"/>
  <c r="Y143" i="186"/>
  <c r="Y169" i="186" s="1"/>
  <c r="Y270" i="186" s="1"/>
  <c r="V104" i="194"/>
  <c r="V136" i="194" s="1"/>
  <c r="T176" i="186"/>
  <c r="T177" i="186" s="1"/>
  <c r="T208" i="186"/>
  <c r="Y150" i="186"/>
  <c r="W108" i="194"/>
  <c r="W140" i="194" s="1"/>
  <c r="Q105" i="194"/>
  <c r="Q137" i="194" s="1"/>
  <c r="U107" i="194"/>
  <c r="U139" i="194" s="1"/>
  <c r="T102" i="194"/>
  <c r="T134" i="194" s="1"/>
  <c r="V146" i="186"/>
  <c r="V172" i="186" s="1"/>
  <c r="V273" i="186" s="1"/>
  <c r="W104" i="194"/>
  <c r="W136" i="194" s="1"/>
  <c r="V106" i="194"/>
  <c r="V138" i="194" s="1"/>
  <c r="R107" i="194"/>
  <c r="R139" i="194" s="1"/>
  <c r="V144" i="186"/>
  <c r="V170" i="186" s="1"/>
  <c r="V271" i="186" s="1"/>
  <c r="Y148" i="186"/>
  <c r="Y174" i="186" s="1"/>
  <c r="Y275" i="186" s="1"/>
  <c r="Y145" i="186"/>
  <c r="Y171" i="186" s="1"/>
  <c r="Y272" i="186" s="1"/>
  <c r="Q103" i="194"/>
  <c r="Q135" i="194" s="1"/>
  <c r="W148" i="186"/>
  <c r="W174" i="186" s="1"/>
  <c r="W275" i="186" s="1"/>
  <c r="Y106" i="194"/>
  <c r="Y138" i="194" s="1"/>
  <c r="Y103" i="194"/>
  <c r="Y135" i="194" s="1"/>
  <c r="V143" i="186"/>
  <c r="V169" i="186" s="1"/>
  <c r="V270" i="186" s="1"/>
  <c r="U142" i="186"/>
  <c r="U168" i="186" s="1"/>
  <c r="U269" i="186" s="1"/>
  <c r="W142" i="186"/>
  <c r="W168" i="186" s="1"/>
  <c r="W269" i="186" s="1"/>
  <c r="M108" i="194"/>
  <c r="M140" i="194" s="1"/>
  <c r="V142" i="186"/>
  <c r="V168" i="186" s="1"/>
  <c r="V269" i="186" s="1"/>
  <c r="M104" i="194"/>
  <c r="M136" i="194" s="1"/>
  <c r="M107" i="194"/>
  <c r="M139" i="194" s="1"/>
  <c r="S176" i="186"/>
  <c r="S208" i="186"/>
  <c r="Q85" i="189"/>
  <c r="Q156" i="189" s="1"/>
  <c r="Q26" i="191" s="1"/>
  <c r="Q131" i="191" s="1"/>
  <c r="Q73" i="186"/>
  <c r="Q85" i="186" s="1"/>
  <c r="W208" i="186"/>
  <c r="W176" i="186"/>
  <c r="Q90" i="189"/>
  <c r="Q161" i="189" s="1"/>
  <c r="Q31" i="191" s="1"/>
  <c r="Q136" i="191" s="1"/>
  <c r="Q78" i="186"/>
  <c r="Q90" i="186" s="1"/>
  <c r="R103" i="194"/>
  <c r="R135" i="194" s="1"/>
  <c r="U106" i="194"/>
  <c r="U138" i="194" s="1"/>
  <c r="X104" i="194"/>
  <c r="X136" i="194" s="1"/>
  <c r="U148" i="186"/>
  <c r="U174" i="186" s="1"/>
  <c r="U275" i="186" s="1"/>
  <c r="P105" i="194"/>
  <c r="P137" i="194" s="1"/>
  <c r="W105" i="194"/>
  <c r="W137" i="194" s="1"/>
  <c r="N107" i="194"/>
  <c r="N139" i="194" s="1"/>
  <c r="O107" i="194"/>
  <c r="O139" i="194" s="1"/>
  <c r="Y22" i="191"/>
  <c r="Y127" i="191" s="1"/>
  <c r="P108" i="194"/>
  <c r="P140" i="194" s="1"/>
  <c r="K108" i="194"/>
  <c r="K140" i="194" s="1"/>
  <c r="T269" i="186"/>
  <c r="V103" i="194"/>
  <c r="V135" i="194" s="1"/>
  <c r="P103" i="194"/>
  <c r="P135" i="194" s="1"/>
  <c r="U144" i="186"/>
  <c r="U170" i="186" s="1"/>
  <c r="U271" i="186" s="1"/>
  <c r="Y102" i="194"/>
  <c r="Y134" i="194" s="1"/>
  <c r="Q102" i="194"/>
  <c r="Q134" i="194" s="1"/>
  <c r="T106" i="194"/>
  <c r="T138" i="194" s="1"/>
  <c r="Y105" i="194"/>
  <c r="Y137" i="194" s="1"/>
  <c r="X269" i="186"/>
  <c r="R108" i="194"/>
  <c r="R140" i="194" s="1"/>
  <c r="N103" i="194"/>
  <c r="N135" i="194" s="1"/>
  <c r="R102" i="194"/>
  <c r="R134" i="194" s="1"/>
  <c r="U102" i="194"/>
  <c r="U134" i="194" s="1"/>
  <c r="K79" i="185"/>
  <c r="K85" i="185" s="1"/>
  <c r="J79" i="185"/>
  <c r="J85" i="185" s="1"/>
  <c r="N106" i="194"/>
  <c r="N138" i="194" s="1"/>
  <c r="U145" i="186"/>
  <c r="U171" i="186" s="1"/>
  <c r="U272" i="186" s="1"/>
  <c r="S146" i="186"/>
  <c r="S172" i="186" s="1"/>
  <c r="S273" i="186" s="1"/>
  <c r="R104" i="194"/>
  <c r="R136" i="194" s="1"/>
  <c r="Y147" i="186"/>
  <c r="Y173" i="186" s="1"/>
  <c r="Y274" i="186" s="1"/>
  <c r="M106" i="194"/>
  <c r="M138" i="194" s="1"/>
  <c r="Q106" i="194"/>
  <c r="Q138" i="194" s="1"/>
  <c r="O104" i="194"/>
  <c r="O136" i="194" s="1"/>
  <c r="S104" i="194"/>
  <c r="S136" i="194" s="1"/>
  <c r="J73" i="194"/>
  <c r="J76" i="194"/>
  <c r="J78" i="194"/>
  <c r="J72" i="194"/>
  <c r="J77" i="194"/>
  <c r="J75" i="194"/>
  <c r="J74" i="194"/>
  <c r="M105" i="194"/>
  <c r="M137" i="194" s="1"/>
  <c r="K107" i="194"/>
  <c r="K139" i="194" s="1"/>
  <c r="Y142" i="186"/>
  <c r="Y168" i="186" s="1"/>
  <c r="Y269" i="186" s="1"/>
  <c r="U108" i="194"/>
  <c r="U140" i="194" s="1"/>
  <c r="X108" i="194"/>
  <c r="X140" i="194" s="1"/>
  <c r="P129" i="189"/>
  <c r="P129" i="193" s="1"/>
  <c r="P199" i="193" s="1"/>
  <c r="P229" i="193" s="1"/>
  <c r="P131" i="189"/>
  <c r="P131" i="193" s="1"/>
  <c r="P201" i="193" s="1"/>
  <c r="P231" i="193" s="1"/>
  <c r="P125" i="189"/>
  <c r="P125" i="193" s="1"/>
  <c r="P195" i="193" s="1"/>
  <c r="P225" i="193" s="1"/>
  <c r="P132" i="189"/>
  <c r="P132" i="193" s="1"/>
  <c r="P202" i="193" s="1"/>
  <c r="P232" i="193" s="1"/>
  <c r="P130" i="189"/>
  <c r="P130" i="193" s="1"/>
  <c r="P200" i="193" s="1"/>
  <c r="P230" i="193" s="1"/>
  <c r="P126" i="189"/>
  <c r="P126" i="193" s="1"/>
  <c r="P196" i="193" s="1"/>
  <c r="P226" i="193" s="1"/>
  <c r="P128" i="189"/>
  <c r="P128" i="193" s="1"/>
  <c r="P198" i="193" s="1"/>
  <c r="P228" i="193" s="1"/>
  <c r="P123" i="189"/>
  <c r="P124" i="189"/>
  <c r="P127" i="189"/>
  <c r="P127" i="193" s="1"/>
  <c r="P197" i="193" s="1"/>
  <c r="P227" i="193" s="1"/>
  <c r="X103" i="194"/>
  <c r="X135" i="194" s="1"/>
  <c r="U103" i="194"/>
  <c r="U135" i="194" s="1"/>
  <c r="U150" i="186"/>
  <c r="U146" i="186"/>
  <c r="U172" i="186" s="1"/>
  <c r="U273" i="186" s="1"/>
  <c r="N102" i="194"/>
  <c r="N134" i="194" s="1"/>
  <c r="V102" i="194"/>
  <c r="V134" i="194" s="1"/>
  <c r="T108" i="194"/>
  <c r="T140" i="194" s="1"/>
  <c r="O106" i="194"/>
  <c r="O138" i="194" s="1"/>
  <c r="S106" i="194"/>
  <c r="S138" i="194" s="1"/>
  <c r="R208" i="186"/>
  <c r="R176" i="186"/>
  <c r="R177" i="186" s="1"/>
  <c r="P104" i="194"/>
  <c r="P136" i="194" s="1"/>
  <c r="Q104" i="194"/>
  <c r="Q136" i="194" s="1"/>
  <c r="O105" i="194"/>
  <c r="O137" i="194" s="1"/>
  <c r="O91" i="185"/>
  <c r="O267" i="185" s="1"/>
  <c r="O78" i="189" s="1"/>
  <c r="K105" i="194"/>
  <c r="K137" i="194" s="1"/>
  <c r="S105" i="194"/>
  <c r="S137" i="194" s="1"/>
  <c r="W107" i="194"/>
  <c r="W139" i="194" s="1"/>
  <c r="Q108" i="194"/>
  <c r="Q140" i="194" s="1"/>
  <c r="V108" i="194"/>
  <c r="V140" i="194" s="1"/>
  <c r="Y149" i="186"/>
  <c r="Y175" i="186" s="1"/>
  <c r="Y276" i="186" s="1"/>
  <c r="V147" i="186"/>
  <c r="V173" i="186" s="1"/>
  <c r="V274" i="186" s="1"/>
  <c r="P93" i="185"/>
  <c r="K103" i="194"/>
  <c r="K135" i="194" s="1"/>
  <c r="O103" i="194"/>
  <c r="O135" i="194" s="1"/>
  <c r="S144" i="186"/>
  <c r="S170" i="186" s="1"/>
  <c r="S271" i="186" s="1"/>
  <c r="L79" i="185"/>
  <c r="L85" i="185" s="1"/>
  <c r="M79" i="185"/>
  <c r="M85" i="185" s="1"/>
  <c r="X145" i="186"/>
  <c r="X171" i="186" s="1"/>
  <c r="X272" i="186" s="1"/>
  <c r="O102" i="194"/>
  <c r="O134" i="194" s="1"/>
  <c r="K102" i="194"/>
  <c r="K134" i="194" s="1"/>
  <c r="Q83" i="189"/>
  <c r="Q154" i="189" s="1"/>
  <c r="Q24" i="191" s="1"/>
  <c r="Q129" i="191" s="1"/>
  <c r="Q71" i="186"/>
  <c r="Q83" i="186" s="1"/>
  <c r="T103" i="194"/>
  <c r="T135" i="194" s="1"/>
  <c r="W102" i="194"/>
  <c r="W134" i="194" s="1"/>
  <c r="Q288" i="185"/>
  <c r="Q285" i="185"/>
  <c r="Q296" i="185"/>
  <c r="Q295" i="185"/>
  <c r="Q299" i="185"/>
  <c r="Q284" i="185"/>
  <c r="Q287" i="185"/>
  <c r="Q294" i="185"/>
  <c r="Q290" i="185"/>
  <c r="Q298" i="185"/>
  <c r="Q300" i="185"/>
  <c r="Q297" i="185"/>
  <c r="Q286" i="185"/>
  <c r="Q283" i="185"/>
  <c r="Q301" i="185"/>
  <c r="Q302" i="185"/>
  <c r="Q289" i="185"/>
  <c r="Q291" i="185"/>
  <c r="X106" i="194"/>
  <c r="X138" i="194" s="1"/>
  <c r="Y104" i="194"/>
  <c r="Y136" i="194" s="1"/>
  <c r="Q272" i="185"/>
  <c r="N105" i="194"/>
  <c r="N137" i="194" s="1"/>
  <c r="X105" i="194"/>
  <c r="X137" i="194" s="1"/>
  <c r="P107" i="194"/>
  <c r="P139" i="194" s="1"/>
  <c r="V107" i="194"/>
  <c r="V139" i="194" s="1"/>
  <c r="Q277" i="185"/>
  <c r="S108" i="194"/>
  <c r="S140" i="194" s="1"/>
  <c r="Y146" i="186"/>
  <c r="Y172" i="186" s="1"/>
  <c r="Y273" i="186" s="1"/>
  <c r="S145" i="186"/>
  <c r="S171" i="186" s="1"/>
  <c r="S272" i="186" s="1"/>
  <c r="W103" i="194"/>
  <c r="W135" i="194" s="1"/>
  <c r="M103" i="194"/>
  <c r="M135" i="194" s="1"/>
  <c r="Q276" i="185"/>
  <c r="S22" i="191"/>
  <c r="S127" i="191" s="1"/>
  <c r="P102" i="194"/>
  <c r="P134" i="194" s="1"/>
  <c r="S102" i="194"/>
  <c r="S134" i="194" s="1"/>
  <c r="Q279" i="185"/>
  <c r="S142" i="186"/>
  <c r="S168" i="186" s="1"/>
  <c r="V105" i="194"/>
  <c r="V137" i="194" s="1"/>
  <c r="O108" i="194"/>
  <c r="O140" i="194" s="1"/>
  <c r="M91" i="185"/>
  <c r="M267" i="185" s="1"/>
  <c r="M78" i="189" s="1"/>
  <c r="X102" i="194"/>
  <c r="X134" i="194" s="1"/>
  <c r="P106" i="194"/>
  <c r="P138" i="194" s="1"/>
  <c r="K106" i="194"/>
  <c r="K138" i="194" s="1"/>
  <c r="U104" i="194"/>
  <c r="U136" i="194" s="1"/>
  <c r="T104" i="194"/>
  <c r="T136" i="194" s="1"/>
  <c r="X150" i="186"/>
  <c r="U105" i="194"/>
  <c r="U137" i="194" s="1"/>
  <c r="Q274" i="185"/>
  <c r="X149" i="186"/>
  <c r="X175" i="186" s="1"/>
  <c r="X276" i="186" s="1"/>
  <c r="S107" i="194"/>
  <c r="S139" i="194" s="1"/>
  <c r="Y107" i="194"/>
  <c r="Y139" i="194" s="1"/>
  <c r="S103" i="194"/>
  <c r="S135" i="194" s="1"/>
  <c r="X146" i="186"/>
  <c r="X172" i="186" s="1"/>
  <c r="X273" i="186" s="1"/>
  <c r="X148" i="186"/>
  <c r="X174" i="186" s="1"/>
  <c r="X275" i="186" s="1"/>
  <c r="U143" i="186"/>
  <c r="U169" i="186" s="1"/>
  <c r="U270" i="186" s="1"/>
  <c r="M102" i="194"/>
  <c r="M134" i="194" s="1"/>
  <c r="K91" i="185"/>
  <c r="K267" i="185" s="1"/>
  <c r="K78" i="189" s="1"/>
  <c r="O93" i="185"/>
  <c r="R106" i="194"/>
  <c r="R138" i="194" s="1"/>
  <c r="N104" i="194"/>
  <c r="N136" i="194" s="1"/>
  <c r="Y176" i="186"/>
  <c r="Y208" i="186"/>
  <c r="N91" i="185"/>
  <c r="N267" i="185" s="1"/>
  <c r="N78" i="189" s="1"/>
  <c r="R105" i="194"/>
  <c r="R137" i="194" s="1"/>
  <c r="T107" i="194"/>
  <c r="T139" i="194" s="1"/>
  <c r="N108" i="194"/>
  <c r="N140" i="194" s="1"/>
  <c r="Q278" i="185"/>
  <c r="V208" i="186"/>
  <c r="V176" i="186"/>
  <c r="J91" i="185"/>
  <c r="Y177" i="186" l="1"/>
  <c r="W177" i="186"/>
  <c r="Q102" i="189"/>
  <c r="Q190" i="189" s="1"/>
  <c r="Q61" i="191" s="1"/>
  <c r="Q166" i="191" s="1"/>
  <c r="Q101" i="186"/>
  <c r="Q113" i="186" s="1"/>
  <c r="Q94" i="189"/>
  <c r="Q182" i="189" s="1"/>
  <c r="Q53" i="191" s="1"/>
  <c r="Q158" i="191" s="1"/>
  <c r="Q93" i="186"/>
  <c r="Q105" i="186" s="1"/>
  <c r="Q93" i="189"/>
  <c r="Q181" i="189" s="1"/>
  <c r="Q52" i="191" s="1"/>
  <c r="Q157" i="191" s="1"/>
  <c r="Q94" i="186"/>
  <c r="Q106" i="186" s="1"/>
  <c r="Q95" i="189"/>
  <c r="Q183" i="189" s="1"/>
  <c r="Q54" i="191" s="1"/>
  <c r="Q159" i="191" s="1"/>
  <c r="M93" i="185"/>
  <c r="J105" i="194"/>
  <c r="J137" i="194" s="1"/>
  <c r="L105" i="194"/>
  <c r="L137" i="194" s="1"/>
  <c r="K93" i="185"/>
  <c r="N126" i="189"/>
  <c r="N126" i="193" s="1"/>
  <c r="N196" i="193" s="1"/>
  <c r="N226" i="193" s="1"/>
  <c r="N130" i="189"/>
  <c r="N130" i="193" s="1"/>
  <c r="N200" i="193" s="1"/>
  <c r="N230" i="193" s="1"/>
  <c r="N124" i="189"/>
  <c r="N131" i="189"/>
  <c r="N131" i="193" s="1"/>
  <c r="N201" i="193" s="1"/>
  <c r="N231" i="193" s="1"/>
  <c r="N129" i="189"/>
  <c r="N129" i="193" s="1"/>
  <c r="N199" i="193" s="1"/>
  <c r="N229" i="193" s="1"/>
  <c r="N127" i="189"/>
  <c r="N127" i="193" s="1"/>
  <c r="N197" i="193" s="1"/>
  <c r="N227" i="193" s="1"/>
  <c r="N128" i="189"/>
  <c r="N128" i="193" s="1"/>
  <c r="N198" i="193" s="1"/>
  <c r="N228" i="193" s="1"/>
  <c r="N123" i="189"/>
  <c r="N132" i="189"/>
  <c r="N132" i="193" s="1"/>
  <c r="N202" i="193" s="1"/>
  <c r="N232" i="193" s="1"/>
  <c r="N125" i="189"/>
  <c r="N125" i="193" s="1"/>
  <c r="N195" i="193" s="1"/>
  <c r="N225" i="193" s="1"/>
  <c r="J93" i="185"/>
  <c r="J267" i="185"/>
  <c r="J78" i="189" s="1"/>
  <c r="Q84" i="189"/>
  <c r="Q155" i="189" s="1"/>
  <c r="Q25" i="191" s="1"/>
  <c r="Q130" i="191" s="1"/>
  <c r="Q72" i="186"/>
  <c r="Q84" i="186" s="1"/>
  <c r="Q81" i="189"/>
  <c r="Q152" i="189" s="1"/>
  <c r="Q82" i="189"/>
  <c r="Q153" i="189" s="1"/>
  <c r="Q23" i="191" s="1"/>
  <c r="Q128" i="191" s="1"/>
  <c r="Q70" i="186"/>
  <c r="Q82" i="186" s="1"/>
  <c r="Q96" i="186"/>
  <c r="Q108" i="186" s="1"/>
  <c r="Q97" i="189"/>
  <c r="Q185" i="189" s="1"/>
  <c r="Q56" i="191" s="1"/>
  <c r="Q161" i="191" s="1"/>
  <c r="Q121" i="186"/>
  <c r="Q133" i="186" s="1"/>
  <c r="Q111" i="189"/>
  <c r="Q216" i="189" s="1"/>
  <c r="Q88" i="191" s="1"/>
  <c r="Q193" i="191" s="1"/>
  <c r="L91" i="185"/>
  <c r="L107" i="194"/>
  <c r="L139" i="194" s="1"/>
  <c r="J107" i="194"/>
  <c r="J139" i="194" s="1"/>
  <c r="U176" i="186"/>
  <c r="U177" i="186" s="1"/>
  <c r="U208" i="186"/>
  <c r="L102" i="194"/>
  <c r="L134" i="194" s="1"/>
  <c r="J102" i="194"/>
  <c r="J134" i="194" s="1"/>
  <c r="N93" i="185"/>
  <c r="V177" i="186"/>
  <c r="M126" i="189"/>
  <c r="M126" i="193" s="1"/>
  <c r="M196" i="193" s="1"/>
  <c r="M226" i="193" s="1"/>
  <c r="M123" i="189"/>
  <c r="M132" i="189"/>
  <c r="M132" i="193" s="1"/>
  <c r="M202" i="193" s="1"/>
  <c r="M232" i="193" s="1"/>
  <c r="M131" i="189"/>
  <c r="M131" i="193" s="1"/>
  <c r="M201" i="193" s="1"/>
  <c r="M231" i="193" s="1"/>
  <c r="M127" i="189"/>
  <c r="M127" i="193" s="1"/>
  <c r="M197" i="193" s="1"/>
  <c r="M227" i="193" s="1"/>
  <c r="M125" i="189"/>
  <c r="M125" i="193" s="1"/>
  <c r="M195" i="193" s="1"/>
  <c r="M225" i="193" s="1"/>
  <c r="M124" i="189"/>
  <c r="M129" i="189"/>
  <c r="M129" i="193" s="1"/>
  <c r="M199" i="193" s="1"/>
  <c r="M229" i="193" s="1"/>
  <c r="M130" i="189"/>
  <c r="M130" i="193" s="1"/>
  <c r="M200" i="193" s="1"/>
  <c r="M230" i="193" s="1"/>
  <c r="M128" i="189"/>
  <c r="M128" i="193" s="1"/>
  <c r="M198" i="193" s="1"/>
  <c r="M228" i="193" s="1"/>
  <c r="Q119" i="186"/>
  <c r="Q131" i="186" s="1"/>
  <c r="Q109" i="189"/>
  <c r="Q214" i="189" s="1"/>
  <c r="Q86" i="191" s="1"/>
  <c r="Q191" i="191" s="1"/>
  <c r="Q117" i="186"/>
  <c r="Q129" i="186" s="1"/>
  <c r="Q143" i="186" s="1"/>
  <c r="Q169" i="186" s="1"/>
  <c r="Q270" i="186" s="1"/>
  <c r="Q107" i="189"/>
  <c r="Q212" i="189" s="1"/>
  <c r="Q84" i="191" s="1"/>
  <c r="Q189" i="191" s="1"/>
  <c r="Q75" i="186"/>
  <c r="Q87" i="186" s="1"/>
  <c r="Q87" i="189"/>
  <c r="Q158" i="189" s="1"/>
  <c r="Q28" i="191" s="1"/>
  <c r="Q133" i="191" s="1"/>
  <c r="Q112" i="189"/>
  <c r="Q217" i="189" s="1"/>
  <c r="Q89" i="191" s="1"/>
  <c r="Q194" i="191" s="1"/>
  <c r="Q122" i="186"/>
  <c r="Q134" i="186" s="1"/>
  <c r="Q118" i="186"/>
  <c r="Q130" i="186" s="1"/>
  <c r="Q108" i="189"/>
  <c r="Q213" i="189" s="1"/>
  <c r="Q85" i="191" s="1"/>
  <c r="Q190" i="191" s="1"/>
  <c r="J108" i="194"/>
  <c r="J140" i="194" s="1"/>
  <c r="L108" i="194"/>
  <c r="L140" i="194" s="1"/>
  <c r="L106" i="194"/>
  <c r="L138" i="194" s="1"/>
  <c r="J106" i="194"/>
  <c r="J138" i="194" s="1"/>
  <c r="Q145" i="186"/>
  <c r="Q171" i="186" s="1"/>
  <c r="Q272" i="186" s="1"/>
  <c r="Q76" i="186"/>
  <c r="Q88" i="186" s="1"/>
  <c r="Q88" i="189"/>
  <c r="Q159" i="189" s="1"/>
  <c r="Q29" i="191" s="1"/>
  <c r="Q134" i="191" s="1"/>
  <c r="X176" i="186"/>
  <c r="X208" i="186"/>
  <c r="Q110" i="189"/>
  <c r="Q215" i="189" s="1"/>
  <c r="Q87" i="191" s="1"/>
  <c r="Q192" i="191" s="1"/>
  <c r="Q120" i="186"/>
  <c r="Q132" i="186" s="1"/>
  <c r="S269" i="186"/>
  <c r="S177" i="186"/>
  <c r="Q86" i="189"/>
  <c r="Q157" i="189" s="1"/>
  <c r="Q27" i="191" s="1"/>
  <c r="Q132" i="191" s="1"/>
  <c r="Q74" i="186"/>
  <c r="Q86" i="186" s="1"/>
  <c r="Q100" i="189"/>
  <c r="Q188" i="189" s="1"/>
  <c r="Q59" i="191" s="1"/>
  <c r="Q164" i="191" s="1"/>
  <c r="Q99" i="186"/>
  <c r="Q111" i="186" s="1"/>
  <c r="Q100" i="186"/>
  <c r="Q112" i="186" s="1"/>
  <c r="Q101" i="189"/>
  <c r="Q189" i="189" s="1"/>
  <c r="Q60" i="191" s="1"/>
  <c r="Q165" i="191" s="1"/>
  <c r="Q98" i="186"/>
  <c r="Q110" i="186" s="1"/>
  <c r="Q99" i="189"/>
  <c r="Q187" i="189" s="1"/>
  <c r="Q58" i="191" s="1"/>
  <c r="Q163" i="191" s="1"/>
  <c r="P296" i="185"/>
  <c r="P295" i="185"/>
  <c r="P288" i="185"/>
  <c r="P284" i="185"/>
  <c r="P301" i="185"/>
  <c r="P287" i="185"/>
  <c r="P299" i="185"/>
  <c r="P298" i="185"/>
  <c r="P290" i="185"/>
  <c r="P297" i="185"/>
  <c r="P302" i="185"/>
  <c r="P291" i="185"/>
  <c r="P285" i="185"/>
  <c r="P300" i="185"/>
  <c r="P289" i="185"/>
  <c r="P294" i="185"/>
  <c r="P283" i="185"/>
  <c r="P286" i="185"/>
  <c r="P272" i="185"/>
  <c r="P279" i="185"/>
  <c r="P275" i="185"/>
  <c r="P280" i="185"/>
  <c r="P274" i="185"/>
  <c r="P273" i="185"/>
  <c r="P276" i="185"/>
  <c r="P277" i="185"/>
  <c r="P278" i="185"/>
  <c r="O132" i="189"/>
  <c r="O132" i="193" s="1"/>
  <c r="O202" i="193" s="1"/>
  <c r="O232" i="193" s="1"/>
  <c r="O127" i="189"/>
  <c r="O127" i="193" s="1"/>
  <c r="O197" i="193" s="1"/>
  <c r="O227" i="193" s="1"/>
  <c r="O125" i="189"/>
  <c r="O125" i="193" s="1"/>
  <c r="O195" i="193" s="1"/>
  <c r="O225" i="193" s="1"/>
  <c r="O126" i="189"/>
  <c r="O126" i="193" s="1"/>
  <c r="O196" i="193" s="1"/>
  <c r="O226" i="193" s="1"/>
  <c r="O124" i="189"/>
  <c r="O130" i="189"/>
  <c r="O130" i="193" s="1"/>
  <c r="O200" i="193" s="1"/>
  <c r="O230" i="193" s="1"/>
  <c r="O131" i="189"/>
  <c r="O131" i="193" s="1"/>
  <c r="O201" i="193" s="1"/>
  <c r="O231" i="193" s="1"/>
  <c r="O129" i="189"/>
  <c r="O129" i="193" s="1"/>
  <c r="O199" i="193" s="1"/>
  <c r="O229" i="193" s="1"/>
  <c r="O123" i="189"/>
  <c r="O128" i="189"/>
  <c r="O128" i="193" s="1"/>
  <c r="O198" i="193" s="1"/>
  <c r="O228" i="193" s="1"/>
  <c r="L103" i="194"/>
  <c r="L135" i="194" s="1"/>
  <c r="J103" i="194"/>
  <c r="J135" i="194" s="1"/>
  <c r="Q95" i="186"/>
  <c r="Q107" i="186" s="1"/>
  <c r="Q96" i="189"/>
  <c r="Q184" i="189" s="1"/>
  <c r="Q55" i="191" s="1"/>
  <c r="Q160" i="191" s="1"/>
  <c r="O302" i="185"/>
  <c r="O300" i="185"/>
  <c r="O301" i="185"/>
  <c r="O298" i="185"/>
  <c r="O299" i="185"/>
  <c r="O296" i="185"/>
  <c r="O297" i="185"/>
  <c r="O295" i="185"/>
  <c r="O285" i="185"/>
  <c r="O294" i="185"/>
  <c r="O286" i="185"/>
  <c r="O291" i="185"/>
  <c r="O283" i="185"/>
  <c r="O287" i="185"/>
  <c r="O288" i="185"/>
  <c r="O284" i="185"/>
  <c r="O289" i="185"/>
  <c r="O290" i="185"/>
  <c r="O272" i="185"/>
  <c r="O280" i="185"/>
  <c r="O279" i="185"/>
  <c r="O275" i="185"/>
  <c r="O274" i="185"/>
  <c r="O273" i="185"/>
  <c r="O276" i="185"/>
  <c r="O277" i="185"/>
  <c r="O278" i="185"/>
  <c r="Q89" i="189"/>
  <c r="Q160" i="189" s="1"/>
  <c r="Q30" i="191" s="1"/>
  <c r="Q135" i="191" s="1"/>
  <c r="Q77" i="186"/>
  <c r="Q89" i="186" s="1"/>
  <c r="Q114" i="189"/>
  <c r="Q219" i="189" s="1"/>
  <c r="Q91" i="191" s="1"/>
  <c r="Q196" i="191" s="1"/>
  <c r="Q124" i="186"/>
  <c r="Q136" i="186" s="1"/>
  <c r="Q150" i="186" s="1"/>
  <c r="Q106" i="189"/>
  <c r="Q211" i="189" s="1"/>
  <c r="Q83" i="191" s="1"/>
  <c r="Q188" i="191" s="1"/>
  <c r="Q116" i="186"/>
  <c r="Q128" i="186" s="1"/>
  <c r="Q105" i="189"/>
  <c r="Q210" i="189" s="1"/>
  <c r="Q82" i="191" s="1"/>
  <c r="Q187" i="191" s="1"/>
  <c r="K128" i="189"/>
  <c r="K128" i="193" s="1"/>
  <c r="K198" i="193" s="1"/>
  <c r="K228" i="193" s="1"/>
  <c r="K132" i="189"/>
  <c r="K132" i="193" s="1"/>
  <c r="K202" i="193" s="1"/>
  <c r="K232" i="193" s="1"/>
  <c r="K124" i="189"/>
  <c r="K125" i="189"/>
  <c r="K125" i="193" s="1"/>
  <c r="K195" i="193" s="1"/>
  <c r="K225" i="193" s="1"/>
  <c r="K131" i="189"/>
  <c r="K131" i="193" s="1"/>
  <c r="K201" i="193" s="1"/>
  <c r="K231" i="193" s="1"/>
  <c r="K127" i="189"/>
  <c r="K127" i="193" s="1"/>
  <c r="K197" i="193" s="1"/>
  <c r="K227" i="193" s="1"/>
  <c r="K123" i="189"/>
  <c r="K129" i="189"/>
  <c r="K129" i="193" s="1"/>
  <c r="K199" i="193" s="1"/>
  <c r="K229" i="193" s="1"/>
  <c r="K130" i="189"/>
  <c r="K130" i="193" s="1"/>
  <c r="K200" i="193" s="1"/>
  <c r="K230" i="193" s="1"/>
  <c r="K126" i="189"/>
  <c r="K126" i="193" s="1"/>
  <c r="K196" i="193" s="1"/>
  <c r="K226" i="193" s="1"/>
  <c r="Q123" i="186"/>
  <c r="Q135" i="186" s="1"/>
  <c r="Q113" i="189"/>
  <c r="Q218" i="189" s="1"/>
  <c r="Q90" i="191" s="1"/>
  <c r="Q195" i="191" s="1"/>
  <c r="Q97" i="186"/>
  <c r="Q109" i="186" s="1"/>
  <c r="Q98" i="189"/>
  <c r="Q186" i="189" s="1"/>
  <c r="Q57" i="191" s="1"/>
  <c r="Q162" i="191" s="1"/>
  <c r="L104" i="194"/>
  <c r="L136" i="194" s="1"/>
  <c r="J104" i="194"/>
  <c r="J136" i="194" s="1"/>
  <c r="X177" i="186"/>
  <c r="Q208" i="186" l="1"/>
  <c r="Q176" i="186"/>
  <c r="O72" i="186"/>
  <c r="O84" i="186" s="1"/>
  <c r="O84" i="189"/>
  <c r="O155" i="189" s="1"/>
  <c r="O25" i="191" s="1"/>
  <c r="O130" i="191" s="1"/>
  <c r="O98" i="186"/>
  <c r="O110" i="186" s="1"/>
  <c r="O99" i="189"/>
  <c r="O187" i="189" s="1"/>
  <c r="O58" i="191" s="1"/>
  <c r="O163" i="191" s="1"/>
  <c r="O119" i="186"/>
  <c r="O131" i="186" s="1"/>
  <c r="O109" i="189"/>
  <c r="O214" i="189" s="1"/>
  <c r="O86" i="191" s="1"/>
  <c r="O191" i="191" s="1"/>
  <c r="P87" i="189"/>
  <c r="P158" i="189" s="1"/>
  <c r="P28" i="191" s="1"/>
  <c r="P133" i="191" s="1"/>
  <c r="P75" i="186"/>
  <c r="P87" i="186" s="1"/>
  <c r="P96" i="186"/>
  <c r="P108" i="186" s="1"/>
  <c r="P97" i="189"/>
  <c r="P185" i="189" s="1"/>
  <c r="P56" i="191" s="1"/>
  <c r="P161" i="191" s="1"/>
  <c r="P109" i="189"/>
  <c r="P214" i="189" s="1"/>
  <c r="P86" i="191" s="1"/>
  <c r="P191" i="191" s="1"/>
  <c r="P119" i="186"/>
  <c r="P131" i="186" s="1"/>
  <c r="P107" i="189"/>
  <c r="P212" i="189" s="1"/>
  <c r="P84" i="191" s="1"/>
  <c r="P189" i="191" s="1"/>
  <c r="P117" i="186"/>
  <c r="P129" i="186" s="1"/>
  <c r="L267" i="185"/>
  <c r="L78" i="189" s="1"/>
  <c r="O73" i="186"/>
  <c r="O85" i="186" s="1"/>
  <c r="O85" i="189"/>
  <c r="O156" i="189" s="1"/>
  <c r="O26" i="191" s="1"/>
  <c r="O131" i="191" s="1"/>
  <c r="O98" i="189"/>
  <c r="O186" i="189" s="1"/>
  <c r="O57" i="191" s="1"/>
  <c r="O162" i="191" s="1"/>
  <c r="O97" i="186"/>
  <c r="O109" i="186" s="1"/>
  <c r="O108" i="189"/>
  <c r="O213" i="189" s="1"/>
  <c r="O85" i="191" s="1"/>
  <c r="O190" i="191" s="1"/>
  <c r="O118" i="186"/>
  <c r="O130" i="186" s="1"/>
  <c r="P74" i="186"/>
  <c r="P86" i="186" s="1"/>
  <c r="P86" i="189"/>
  <c r="P157" i="189" s="1"/>
  <c r="P27" i="191" s="1"/>
  <c r="P132" i="191" s="1"/>
  <c r="P93" i="189"/>
  <c r="P181" i="189" s="1"/>
  <c r="P52" i="191" s="1"/>
  <c r="P157" i="191" s="1"/>
  <c r="P94" i="189"/>
  <c r="P182" i="189" s="1"/>
  <c r="P53" i="191" s="1"/>
  <c r="P158" i="191" s="1"/>
  <c r="P93" i="186"/>
  <c r="P105" i="186" s="1"/>
  <c r="P101" i="189"/>
  <c r="P189" i="189" s="1"/>
  <c r="P60" i="191" s="1"/>
  <c r="P165" i="191" s="1"/>
  <c r="P100" i="186"/>
  <c r="P112" i="186" s="1"/>
  <c r="P108" i="189"/>
  <c r="P213" i="189" s="1"/>
  <c r="P85" i="191" s="1"/>
  <c r="P190" i="191" s="1"/>
  <c r="P118" i="186"/>
  <c r="P130" i="186" s="1"/>
  <c r="Q146" i="186"/>
  <c r="Q172" i="186" s="1"/>
  <c r="Q273" i="186" s="1"/>
  <c r="K302" i="185"/>
  <c r="K301" i="185"/>
  <c r="K288" i="185"/>
  <c r="K297" i="185"/>
  <c r="K287" i="185"/>
  <c r="K295" i="185"/>
  <c r="K296" i="185"/>
  <c r="K283" i="185"/>
  <c r="K284" i="185"/>
  <c r="K285" i="185"/>
  <c r="K294" i="185"/>
  <c r="K299" i="185"/>
  <c r="K290" i="185"/>
  <c r="K289" i="185"/>
  <c r="K286" i="185"/>
  <c r="K298" i="185"/>
  <c r="K300" i="185"/>
  <c r="K291" i="185"/>
  <c r="K276" i="185"/>
  <c r="K280" i="185"/>
  <c r="K278" i="185"/>
  <c r="K273" i="185"/>
  <c r="K272" i="185"/>
  <c r="K279" i="185"/>
  <c r="K275" i="185"/>
  <c r="K277" i="185"/>
  <c r="K274" i="185"/>
  <c r="Q149" i="186"/>
  <c r="Q175" i="186" s="1"/>
  <c r="Q276" i="186" s="1"/>
  <c r="O77" i="186"/>
  <c r="O89" i="186" s="1"/>
  <c r="O89" i="189"/>
  <c r="O160" i="189" s="1"/>
  <c r="O30" i="191" s="1"/>
  <c r="O135" i="191" s="1"/>
  <c r="O93" i="186"/>
  <c r="O105" i="186" s="1"/>
  <c r="O93" i="189"/>
  <c r="O181" i="189" s="1"/>
  <c r="O52" i="191" s="1"/>
  <c r="O157" i="191" s="1"/>
  <c r="O94" i="189"/>
  <c r="O182" i="189" s="1"/>
  <c r="O53" i="191" s="1"/>
  <c r="O158" i="191" s="1"/>
  <c r="O111" i="189"/>
  <c r="O216" i="189" s="1"/>
  <c r="O88" i="191" s="1"/>
  <c r="O193" i="191" s="1"/>
  <c r="O121" i="186"/>
  <c r="O133" i="186" s="1"/>
  <c r="P71" i="186"/>
  <c r="P83" i="186" s="1"/>
  <c r="P83" i="189"/>
  <c r="P154" i="189" s="1"/>
  <c r="P24" i="191" s="1"/>
  <c r="P129" i="191" s="1"/>
  <c r="P116" i="186"/>
  <c r="P128" i="186" s="1"/>
  <c r="P105" i="189"/>
  <c r="P210" i="189" s="1"/>
  <c r="P82" i="191" s="1"/>
  <c r="P187" i="191" s="1"/>
  <c r="P106" i="189"/>
  <c r="P211" i="189" s="1"/>
  <c r="P83" i="191" s="1"/>
  <c r="P188" i="191" s="1"/>
  <c r="P120" i="186"/>
  <c r="P132" i="186" s="1"/>
  <c r="P110" i="189"/>
  <c r="P215" i="189" s="1"/>
  <c r="P87" i="191" s="1"/>
  <c r="P192" i="191" s="1"/>
  <c r="Q148" i="186"/>
  <c r="Q174" i="186" s="1"/>
  <c r="Q275" i="186" s="1"/>
  <c r="Q144" i="186"/>
  <c r="Q170" i="186" s="1"/>
  <c r="Q271" i="186" s="1"/>
  <c r="O90" i="189"/>
  <c r="O161" i="189" s="1"/>
  <c r="O31" i="191" s="1"/>
  <c r="O136" i="191" s="1"/>
  <c r="O78" i="186"/>
  <c r="O90" i="186" s="1"/>
  <c r="O101" i="186"/>
  <c r="O113" i="186" s="1"/>
  <c r="O102" i="189"/>
  <c r="O190" i="189" s="1"/>
  <c r="O61" i="191" s="1"/>
  <c r="O166" i="191" s="1"/>
  <c r="O120" i="186"/>
  <c r="O132" i="186" s="1"/>
  <c r="O110" i="189"/>
  <c r="O215" i="189" s="1"/>
  <c r="O87" i="191" s="1"/>
  <c r="O192" i="191" s="1"/>
  <c r="P84" i="189"/>
  <c r="P155" i="189" s="1"/>
  <c r="P25" i="191" s="1"/>
  <c r="P130" i="191" s="1"/>
  <c r="P72" i="186"/>
  <c r="P84" i="186" s="1"/>
  <c r="P100" i="189"/>
  <c r="P188" i="189" s="1"/>
  <c r="P59" i="191" s="1"/>
  <c r="P164" i="191" s="1"/>
  <c r="P99" i="186"/>
  <c r="P111" i="186" s="1"/>
  <c r="P121" i="186"/>
  <c r="P133" i="186" s="1"/>
  <c r="P111" i="189"/>
  <c r="P216" i="189" s="1"/>
  <c r="P88" i="191" s="1"/>
  <c r="P193" i="191" s="1"/>
  <c r="O76" i="186"/>
  <c r="O88" i="186" s="1"/>
  <c r="O88" i="189"/>
  <c r="O159" i="189" s="1"/>
  <c r="O29" i="191" s="1"/>
  <c r="O134" i="191" s="1"/>
  <c r="O81" i="189"/>
  <c r="O152" i="189" s="1"/>
  <c r="O82" i="189"/>
  <c r="O153" i="189" s="1"/>
  <c r="O23" i="191" s="1"/>
  <c r="O128" i="191" s="1"/>
  <c r="O70" i="186"/>
  <c r="O82" i="186" s="1"/>
  <c r="O96" i="186"/>
  <c r="O108" i="186" s="1"/>
  <c r="O97" i="189"/>
  <c r="O185" i="189" s="1"/>
  <c r="O56" i="191" s="1"/>
  <c r="O161" i="191" s="1"/>
  <c r="O123" i="186"/>
  <c r="O135" i="186" s="1"/>
  <c r="O113" i="189"/>
  <c r="O218" i="189" s="1"/>
  <c r="O90" i="191" s="1"/>
  <c r="O195" i="191" s="1"/>
  <c r="P90" i="189"/>
  <c r="P161" i="189" s="1"/>
  <c r="P31" i="191" s="1"/>
  <c r="P136" i="191" s="1"/>
  <c r="P78" i="186"/>
  <c r="P90" i="186" s="1"/>
  <c r="P122" i="186"/>
  <c r="P134" i="186" s="1"/>
  <c r="P112" i="189"/>
  <c r="P217" i="189" s="1"/>
  <c r="P89" i="191" s="1"/>
  <c r="P194" i="191" s="1"/>
  <c r="P98" i="189"/>
  <c r="P186" i="189" s="1"/>
  <c r="P57" i="191" s="1"/>
  <c r="P162" i="191" s="1"/>
  <c r="P97" i="186"/>
  <c r="P109" i="186" s="1"/>
  <c r="J131" i="189"/>
  <c r="J131" i="193" s="1"/>
  <c r="J201" i="193" s="1"/>
  <c r="J231" i="193" s="1"/>
  <c r="J130" i="189"/>
  <c r="J130" i="193" s="1"/>
  <c r="J200" i="193" s="1"/>
  <c r="J230" i="193" s="1"/>
  <c r="J132" i="189"/>
  <c r="J132" i="193" s="1"/>
  <c r="J202" i="193" s="1"/>
  <c r="J232" i="193" s="1"/>
  <c r="J126" i="189"/>
  <c r="J126" i="193" s="1"/>
  <c r="J196" i="193" s="1"/>
  <c r="J226" i="193" s="1"/>
  <c r="J123" i="189"/>
  <c r="J125" i="189"/>
  <c r="J125" i="193" s="1"/>
  <c r="J195" i="193" s="1"/>
  <c r="J225" i="193" s="1"/>
  <c r="J124" i="189"/>
  <c r="J129" i="189"/>
  <c r="J129" i="193" s="1"/>
  <c r="J199" i="193" s="1"/>
  <c r="J229" i="193" s="1"/>
  <c r="J127" i="189"/>
  <c r="J127" i="193" s="1"/>
  <c r="J197" i="193" s="1"/>
  <c r="J227" i="193" s="1"/>
  <c r="J128" i="189"/>
  <c r="J128" i="193" s="1"/>
  <c r="J198" i="193" s="1"/>
  <c r="J228" i="193" s="1"/>
  <c r="M302" i="185"/>
  <c r="M299" i="185"/>
  <c r="M300" i="185"/>
  <c r="M291" i="185"/>
  <c r="M301" i="185"/>
  <c r="M287" i="185"/>
  <c r="M296" i="185"/>
  <c r="M289" i="185"/>
  <c r="M294" i="185"/>
  <c r="M283" i="185"/>
  <c r="M286" i="185"/>
  <c r="M298" i="185"/>
  <c r="M297" i="185"/>
  <c r="M288" i="185"/>
  <c r="M285" i="185"/>
  <c r="M284" i="185"/>
  <c r="M290" i="185"/>
  <c r="M295" i="185"/>
  <c r="M279" i="185"/>
  <c r="M274" i="185"/>
  <c r="M280" i="185"/>
  <c r="M272" i="185"/>
  <c r="M273" i="185"/>
  <c r="M277" i="185"/>
  <c r="M278" i="185"/>
  <c r="M276" i="185"/>
  <c r="M275" i="185"/>
  <c r="O75" i="186"/>
  <c r="O87" i="186" s="1"/>
  <c r="O147" i="186" s="1"/>
  <c r="O173" i="186" s="1"/>
  <c r="O274" i="186" s="1"/>
  <c r="O87" i="189"/>
  <c r="O158" i="189" s="1"/>
  <c r="O28" i="191" s="1"/>
  <c r="O133" i="191" s="1"/>
  <c r="O100" i="186"/>
  <c r="O112" i="186" s="1"/>
  <c r="O101" i="189"/>
  <c r="O189" i="189" s="1"/>
  <c r="O60" i="191" s="1"/>
  <c r="O165" i="191" s="1"/>
  <c r="O116" i="186"/>
  <c r="O128" i="186" s="1"/>
  <c r="O105" i="189"/>
  <c r="O210" i="189" s="1"/>
  <c r="O82" i="191" s="1"/>
  <c r="O187" i="191" s="1"/>
  <c r="O106" i="189"/>
  <c r="O211" i="189" s="1"/>
  <c r="O83" i="191" s="1"/>
  <c r="O188" i="191" s="1"/>
  <c r="O122" i="186"/>
  <c r="O134" i="186" s="1"/>
  <c r="O112" i="189"/>
  <c r="O217" i="189" s="1"/>
  <c r="O89" i="191" s="1"/>
  <c r="O194" i="191" s="1"/>
  <c r="P85" i="189"/>
  <c r="P156" i="189" s="1"/>
  <c r="P26" i="191" s="1"/>
  <c r="P131" i="191" s="1"/>
  <c r="P73" i="186"/>
  <c r="P85" i="186" s="1"/>
  <c r="P145" i="186" s="1"/>
  <c r="P171" i="186" s="1"/>
  <c r="P272" i="186" s="1"/>
  <c r="P96" i="189"/>
  <c r="P184" i="189" s="1"/>
  <c r="P55" i="191" s="1"/>
  <c r="P160" i="191" s="1"/>
  <c r="P95" i="186"/>
  <c r="P107" i="186" s="1"/>
  <c r="P123" i="186"/>
  <c r="P135" i="186" s="1"/>
  <c r="P113" i="189"/>
  <c r="P218" i="189" s="1"/>
  <c r="P90" i="191" s="1"/>
  <c r="P195" i="191" s="1"/>
  <c r="Q142" i="186"/>
  <c r="Q168" i="186" s="1"/>
  <c r="J298" i="185"/>
  <c r="J301" i="185"/>
  <c r="J284" i="185"/>
  <c r="J294" i="185"/>
  <c r="J291" i="185"/>
  <c r="J286" i="185"/>
  <c r="J290" i="185"/>
  <c r="J288" i="185"/>
  <c r="J295" i="185"/>
  <c r="J287" i="185"/>
  <c r="J300" i="185"/>
  <c r="J296" i="185"/>
  <c r="J289" i="185"/>
  <c r="J302" i="185"/>
  <c r="J297" i="185"/>
  <c r="J283" i="185"/>
  <c r="J285" i="185"/>
  <c r="J299" i="185"/>
  <c r="J275" i="185"/>
  <c r="J279" i="185"/>
  <c r="J276" i="185"/>
  <c r="J280" i="185"/>
  <c r="J272" i="185"/>
  <c r="J274" i="185"/>
  <c r="J277" i="185"/>
  <c r="J273" i="185"/>
  <c r="J278" i="185"/>
  <c r="O74" i="186"/>
  <c r="O86" i="186" s="1"/>
  <c r="O146" i="186" s="1"/>
  <c r="O172" i="186" s="1"/>
  <c r="O273" i="186" s="1"/>
  <c r="O86" i="189"/>
  <c r="O157" i="189" s="1"/>
  <c r="O27" i="191" s="1"/>
  <c r="O132" i="191" s="1"/>
  <c r="O99" i="186"/>
  <c r="O111" i="186" s="1"/>
  <c r="O100" i="189"/>
  <c r="O188" i="189" s="1"/>
  <c r="O59" i="191" s="1"/>
  <c r="O164" i="191" s="1"/>
  <c r="O96" i="189"/>
  <c r="O184" i="189" s="1"/>
  <c r="O55" i="191" s="1"/>
  <c r="O160" i="191" s="1"/>
  <c r="O95" i="186"/>
  <c r="O107" i="186" s="1"/>
  <c r="O124" i="186"/>
  <c r="O136" i="186" s="1"/>
  <c r="O114" i="189"/>
  <c r="O219" i="189" s="1"/>
  <c r="O91" i="191" s="1"/>
  <c r="O196" i="191" s="1"/>
  <c r="P77" i="186"/>
  <c r="P89" i="186" s="1"/>
  <c r="P89" i="189"/>
  <c r="P160" i="189" s="1"/>
  <c r="P30" i="191" s="1"/>
  <c r="P135" i="191" s="1"/>
  <c r="P102" i="189"/>
  <c r="P190" i="189" s="1"/>
  <c r="P61" i="191" s="1"/>
  <c r="P166" i="191" s="1"/>
  <c r="P101" i="186"/>
  <c r="P113" i="186" s="1"/>
  <c r="P94" i="186"/>
  <c r="P106" i="186" s="1"/>
  <c r="P95" i="189"/>
  <c r="P183" i="189" s="1"/>
  <c r="P54" i="191" s="1"/>
  <c r="P159" i="191" s="1"/>
  <c r="Q147" i="186"/>
  <c r="Q173" i="186" s="1"/>
  <c r="Q274" i="186" s="1"/>
  <c r="N285" i="185"/>
  <c r="N290" i="185"/>
  <c r="N286" i="185"/>
  <c r="N298" i="185"/>
  <c r="N295" i="185"/>
  <c r="N294" i="185"/>
  <c r="N284" i="185"/>
  <c r="N297" i="185"/>
  <c r="N296" i="185"/>
  <c r="N287" i="185"/>
  <c r="N300" i="185"/>
  <c r="N302" i="185"/>
  <c r="N291" i="185"/>
  <c r="N301" i="185"/>
  <c r="N283" i="185"/>
  <c r="N289" i="185"/>
  <c r="N299" i="185"/>
  <c r="N288" i="185"/>
  <c r="N279" i="185"/>
  <c r="N275" i="185"/>
  <c r="N273" i="185"/>
  <c r="N276" i="185"/>
  <c r="N280" i="185"/>
  <c r="N274" i="185"/>
  <c r="N277" i="185"/>
  <c r="N272" i="185"/>
  <c r="N278" i="185"/>
  <c r="O83" i="189"/>
  <c r="O154" i="189" s="1"/>
  <c r="O24" i="191" s="1"/>
  <c r="O129" i="191" s="1"/>
  <c r="O71" i="186"/>
  <c r="O83" i="186" s="1"/>
  <c r="O94" i="186"/>
  <c r="O106" i="186" s="1"/>
  <c r="O95" i="189"/>
  <c r="O183" i="189" s="1"/>
  <c r="O54" i="191" s="1"/>
  <c r="O159" i="191" s="1"/>
  <c r="O107" i="189"/>
  <c r="O212" i="189" s="1"/>
  <c r="O84" i="191" s="1"/>
  <c r="O189" i="191" s="1"/>
  <c r="O117" i="186"/>
  <c r="O129" i="186" s="1"/>
  <c r="P76" i="186"/>
  <c r="P88" i="186" s="1"/>
  <c r="P148" i="186" s="1"/>
  <c r="P174" i="186" s="1"/>
  <c r="P275" i="186" s="1"/>
  <c r="P88" i="189"/>
  <c r="P159" i="189" s="1"/>
  <c r="P29" i="191" s="1"/>
  <c r="P134" i="191" s="1"/>
  <c r="P81" i="189"/>
  <c r="P152" i="189" s="1"/>
  <c r="P82" i="189"/>
  <c r="P153" i="189" s="1"/>
  <c r="P23" i="191" s="1"/>
  <c r="P128" i="191" s="1"/>
  <c r="P70" i="186"/>
  <c r="P82" i="186" s="1"/>
  <c r="P142" i="186" s="1"/>
  <c r="P168" i="186" s="1"/>
  <c r="P269" i="186" s="1"/>
  <c r="P124" i="186"/>
  <c r="P136" i="186" s="1"/>
  <c r="P114" i="189"/>
  <c r="P219" i="189" s="1"/>
  <c r="P91" i="191" s="1"/>
  <c r="P196" i="191" s="1"/>
  <c r="P98" i="186"/>
  <c r="P110" i="186" s="1"/>
  <c r="P99" i="189"/>
  <c r="P187" i="189" s="1"/>
  <c r="P58" i="191" s="1"/>
  <c r="P163" i="191" s="1"/>
  <c r="L93" i="185"/>
  <c r="Q22" i="191"/>
  <c r="Q127" i="191" s="1"/>
  <c r="O143" i="186" l="1"/>
  <c r="O169" i="186" s="1"/>
  <c r="O270" i="186" s="1"/>
  <c r="P149" i="186"/>
  <c r="P175" i="186" s="1"/>
  <c r="P276" i="186" s="1"/>
  <c r="P146" i="186"/>
  <c r="P172" i="186" s="1"/>
  <c r="P273" i="186" s="1"/>
  <c r="M113" i="189"/>
  <c r="M218" i="189" s="1"/>
  <c r="M90" i="191" s="1"/>
  <c r="M195" i="191" s="1"/>
  <c r="M123" i="186"/>
  <c r="M135" i="186" s="1"/>
  <c r="N73" i="186"/>
  <c r="N85" i="186" s="1"/>
  <c r="N85" i="189"/>
  <c r="N156" i="189" s="1"/>
  <c r="N26" i="191" s="1"/>
  <c r="N131" i="191" s="1"/>
  <c r="N114" i="189"/>
  <c r="N219" i="189" s="1"/>
  <c r="N91" i="191" s="1"/>
  <c r="N196" i="191" s="1"/>
  <c r="N124" i="186"/>
  <c r="N136" i="186" s="1"/>
  <c r="N110" i="189"/>
  <c r="N215" i="189" s="1"/>
  <c r="N87" i="191" s="1"/>
  <c r="N192" i="191" s="1"/>
  <c r="N120" i="186"/>
  <c r="N132" i="186" s="1"/>
  <c r="J70" i="186"/>
  <c r="J82" i="189"/>
  <c r="J153" i="189" s="1"/>
  <c r="J23" i="191" s="1"/>
  <c r="J128" i="191" s="1"/>
  <c r="J81" i="189"/>
  <c r="J152" i="189" s="1"/>
  <c r="J109" i="189"/>
  <c r="J214" i="189" s="1"/>
  <c r="J86" i="191" s="1"/>
  <c r="J191" i="191" s="1"/>
  <c r="J119" i="186"/>
  <c r="J131" i="186" s="1"/>
  <c r="J100" i="186"/>
  <c r="J112" i="186" s="1"/>
  <c r="J101" i="189"/>
  <c r="J189" i="189" s="1"/>
  <c r="J60" i="191" s="1"/>
  <c r="J165" i="191" s="1"/>
  <c r="M73" i="186"/>
  <c r="M85" i="186" s="1"/>
  <c r="M85" i="189"/>
  <c r="M156" i="189" s="1"/>
  <c r="M26" i="191" s="1"/>
  <c r="M131" i="191" s="1"/>
  <c r="M77" i="186"/>
  <c r="M89" i="186" s="1"/>
  <c r="M89" i="189"/>
  <c r="M160" i="189" s="1"/>
  <c r="M30" i="191" s="1"/>
  <c r="M135" i="191" s="1"/>
  <c r="M96" i="186"/>
  <c r="M108" i="186" s="1"/>
  <c r="M97" i="189"/>
  <c r="M185" i="189" s="1"/>
  <c r="M56" i="191" s="1"/>
  <c r="M161" i="191" s="1"/>
  <c r="M112" i="189"/>
  <c r="M217" i="189" s="1"/>
  <c r="M89" i="191" s="1"/>
  <c r="M194" i="191" s="1"/>
  <c r="M122" i="186"/>
  <c r="M134" i="186" s="1"/>
  <c r="O142" i="186"/>
  <c r="O168" i="186" s="1"/>
  <c r="O269" i="186" s="1"/>
  <c r="O149" i="186"/>
  <c r="O175" i="186" s="1"/>
  <c r="O276" i="186" s="1"/>
  <c r="K76" i="186"/>
  <c r="K88" i="186" s="1"/>
  <c r="K88" i="189"/>
  <c r="K159" i="189" s="1"/>
  <c r="K29" i="191" s="1"/>
  <c r="K134" i="191" s="1"/>
  <c r="K101" i="189"/>
  <c r="K189" i="189" s="1"/>
  <c r="K60" i="191" s="1"/>
  <c r="K165" i="191" s="1"/>
  <c r="K100" i="186"/>
  <c r="K112" i="186" s="1"/>
  <c r="K97" i="186"/>
  <c r="K109" i="186" s="1"/>
  <c r="K98" i="189"/>
  <c r="K186" i="189" s="1"/>
  <c r="K57" i="191" s="1"/>
  <c r="K162" i="191" s="1"/>
  <c r="K96" i="186"/>
  <c r="K108" i="186" s="1"/>
  <c r="K97" i="189"/>
  <c r="K185" i="189" s="1"/>
  <c r="K56" i="191" s="1"/>
  <c r="K161" i="191" s="1"/>
  <c r="N88" i="189"/>
  <c r="N159" i="189" s="1"/>
  <c r="N29" i="191" s="1"/>
  <c r="N134" i="191" s="1"/>
  <c r="N76" i="186"/>
  <c r="N88" i="186" s="1"/>
  <c r="N77" i="186"/>
  <c r="N89" i="186" s="1"/>
  <c r="N89" i="189"/>
  <c r="N160" i="189" s="1"/>
  <c r="N30" i="191" s="1"/>
  <c r="N135" i="191" s="1"/>
  <c r="N122" i="186"/>
  <c r="N134" i="186" s="1"/>
  <c r="N112" i="189"/>
  <c r="N217" i="189" s="1"/>
  <c r="N89" i="191" s="1"/>
  <c r="N194" i="191" s="1"/>
  <c r="N97" i="189"/>
  <c r="N185" i="189" s="1"/>
  <c r="N56" i="191" s="1"/>
  <c r="N161" i="191" s="1"/>
  <c r="N96" i="186"/>
  <c r="N108" i="186" s="1"/>
  <c r="J78" i="186"/>
  <c r="J90" i="186" s="1"/>
  <c r="J90" i="189"/>
  <c r="J161" i="189" s="1"/>
  <c r="J31" i="191" s="1"/>
  <c r="J136" i="191" s="1"/>
  <c r="J114" i="189"/>
  <c r="J219" i="189" s="1"/>
  <c r="J91" i="191" s="1"/>
  <c r="J196" i="191" s="1"/>
  <c r="J124" i="186"/>
  <c r="J136" i="186" s="1"/>
  <c r="J97" i="189"/>
  <c r="J185" i="189" s="1"/>
  <c r="J56" i="191" s="1"/>
  <c r="J161" i="191" s="1"/>
  <c r="J96" i="186"/>
  <c r="J108" i="186" s="1"/>
  <c r="M86" i="189"/>
  <c r="M157" i="189" s="1"/>
  <c r="M27" i="191" s="1"/>
  <c r="M132" i="191" s="1"/>
  <c r="M74" i="186"/>
  <c r="M86" i="186" s="1"/>
  <c r="M107" i="189"/>
  <c r="M212" i="189" s="1"/>
  <c r="M84" i="191" s="1"/>
  <c r="M189" i="191" s="1"/>
  <c r="M117" i="186"/>
  <c r="M129" i="186" s="1"/>
  <c r="M94" i="189"/>
  <c r="M182" i="189" s="1"/>
  <c r="M53" i="191" s="1"/>
  <c r="M158" i="191" s="1"/>
  <c r="M93" i="189"/>
  <c r="M181" i="189" s="1"/>
  <c r="M52" i="191" s="1"/>
  <c r="M157" i="191" s="1"/>
  <c r="M93" i="186"/>
  <c r="M105" i="186" s="1"/>
  <c r="M121" i="186"/>
  <c r="M133" i="186" s="1"/>
  <c r="M111" i="189"/>
  <c r="M216" i="189" s="1"/>
  <c r="M88" i="191" s="1"/>
  <c r="M193" i="191" s="1"/>
  <c r="P150" i="186"/>
  <c r="P144" i="186"/>
  <c r="P170" i="186" s="1"/>
  <c r="P271" i="186" s="1"/>
  <c r="P143" i="186"/>
  <c r="P169" i="186" s="1"/>
  <c r="P270" i="186" s="1"/>
  <c r="K90" i="189"/>
  <c r="K161" i="189" s="1"/>
  <c r="K31" i="191" s="1"/>
  <c r="K136" i="191" s="1"/>
  <c r="K78" i="186"/>
  <c r="K90" i="186" s="1"/>
  <c r="K121" i="186"/>
  <c r="K133" i="186" s="1"/>
  <c r="K111" i="189"/>
  <c r="K216" i="189" s="1"/>
  <c r="K88" i="191" s="1"/>
  <c r="K193" i="191" s="1"/>
  <c r="K119" i="186"/>
  <c r="K131" i="186" s="1"/>
  <c r="K109" i="189"/>
  <c r="K214" i="189" s="1"/>
  <c r="K86" i="191" s="1"/>
  <c r="K191" i="191" s="1"/>
  <c r="N113" i="189"/>
  <c r="N218" i="189" s="1"/>
  <c r="N90" i="191" s="1"/>
  <c r="N195" i="191" s="1"/>
  <c r="N123" i="186"/>
  <c r="N135" i="186" s="1"/>
  <c r="J107" i="189"/>
  <c r="J212" i="189" s="1"/>
  <c r="J84" i="191" s="1"/>
  <c r="J189" i="191" s="1"/>
  <c r="J117" i="186"/>
  <c r="J129" i="186" s="1"/>
  <c r="K82" i="189"/>
  <c r="K153" i="189" s="1"/>
  <c r="K23" i="191" s="1"/>
  <c r="K128" i="191" s="1"/>
  <c r="K81" i="189"/>
  <c r="K152" i="189" s="1"/>
  <c r="K70" i="186"/>
  <c r="K82" i="186" s="1"/>
  <c r="N70" i="186"/>
  <c r="N82" i="186" s="1"/>
  <c r="N81" i="189"/>
  <c r="N152" i="189" s="1"/>
  <c r="N82" i="189"/>
  <c r="N153" i="189" s="1"/>
  <c r="N23" i="191" s="1"/>
  <c r="N128" i="191" s="1"/>
  <c r="N98" i="186"/>
  <c r="N110" i="186" s="1"/>
  <c r="N99" i="189"/>
  <c r="N187" i="189" s="1"/>
  <c r="N58" i="191" s="1"/>
  <c r="N163" i="191" s="1"/>
  <c r="N98" i="189"/>
  <c r="N186" i="189" s="1"/>
  <c r="N57" i="191" s="1"/>
  <c r="N162" i="191" s="1"/>
  <c r="N97" i="186"/>
  <c r="N109" i="186" s="1"/>
  <c r="N101" i="189"/>
  <c r="N189" i="189" s="1"/>
  <c r="N60" i="191" s="1"/>
  <c r="N165" i="191" s="1"/>
  <c r="N100" i="186"/>
  <c r="N112" i="186" s="1"/>
  <c r="J74" i="186"/>
  <c r="J86" i="186" s="1"/>
  <c r="J86" i="189"/>
  <c r="J157" i="189" s="1"/>
  <c r="J27" i="191" s="1"/>
  <c r="J132" i="191" s="1"/>
  <c r="J100" i="189"/>
  <c r="J188" i="189" s="1"/>
  <c r="J59" i="191" s="1"/>
  <c r="J164" i="191" s="1"/>
  <c r="J99" i="186"/>
  <c r="J111" i="186" s="1"/>
  <c r="J102" i="189"/>
  <c r="J190" i="189" s="1"/>
  <c r="J61" i="191" s="1"/>
  <c r="J166" i="191" s="1"/>
  <c r="J101" i="186"/>
  <c r="J113" i="186" s="1"/>
  <c r="M88" i="189"/>
  <c r="M159" i="189" s="1"/>
  <c r="M29" i="191" s="1"/>
  <c r="M134" i="191" s="1"/>
  <c r="M76" i="186"/>
  <c r="M88" i="186" s="1"/>
  <c r="M100" i="186"/>
  <c r="M112" i="186" s="1"/>
  <c r="M101" i="189"/>
  <c r="M189" i="189" s="1"/>
  <c r="M60" i="191" s="1"/>
  <c r="M165" i="191" s="1"/>
  <c r="M106" i="189"/>
  <c r="M211" i="189" s="1"/>
  <c r="M83" i="191" s="1"/>
  <c r="M188" i="191" s="1"/>
  <c r="M105" i="189"/>
  <c r="M210" i="189" s="1"/>
  <c r="M82" i="191" s="1"/>
  <c r="M187" i="191" s="1"/>
  <c r="M116" i="186"/>
  <c r="M128" i="186" s="1"/>
  <c r="M114" i="189"/>
  <c r="M219" i="189" s="1"/>
  <c r="M91" i="191" s="1"/>
  <c r="M196" i="191" s="1"/>
  <c r="M124" i="186"/>
  <c r="M136" i="186" s="1"/>
  <c r="O22" i="191"/>
  <c r="O127" i="191" s="1"/>
  <c r="K72" i="186"/>
  <c r="K84" i="186" s="1"/>
  <c r="K84" i="189"/>
  <c r="K155" i="189" s="1"/>
  <c r="K25" i="191" s="1"/>
  <c r="K130" i="191" s="1"/>
  <c r="K86" i="189"/>
  <c r="K157" i="189" s="1"/>
  <c r="K27" i="191" s="1"/>
  <c r="K132" i="191" s="1"/>
  <c r="K74" i="186"/>
  <c r="K86" i="186" s="1"/>
  <c r="K106" i="189"/>
  <c r="K211" i="189" s="1"/>
  <c r="K83" i="191" s="1"/>
  <c r="K188" i="191" s="1"/>
  <c r="K116" i="186"/>
  <c r="K128" i="186" s="1"/>
  <c r="K105" i="189"/>
  <c r="K210" i="189" s="1"/>
  <c r="K82" i="191" s="1"/>
  <c r="K187" i="191" s="1"/>
  <c r="K98" i="186"/>
  <c r="K110" i="186" s="1"/>
  <c r="K99" i="189"/>
  <c r="K187" i="189" s="1"/>
  <c r="K58" i="191" s="1"/>
  <c r="K163" i="191" s="1"/>
  <c r="J87" i="189"/>
  <c r="J158" i="189" s="1"/>
  <c r="J28" i="191" s="1"/>
  <c r="J133" i="191" s="1"/>
  <c r="J75" i="186"/>
  <c r="J87" i="186" s="1"/>
  <c r="J120" i="186"/>
  <c r="J132" i="186" s="1"/>
  <c r="J110" i="189"/>
  <c r="J215" i="189" s="1"/>
  <c r="J87" i="191" s="1"/>
  <c r="J192" i="191" s="1"/>
  <c r="M78" i="186"/>
  <c r="M90" i="186" s="1"/>
  <c r="M90" i="189"/>
  <c r="M161" i="189" s="1"/>
  <c r="M31" i="191" s="1"/>
  <c r="M136" i="191" s="1"/>
  <c r="N87" i="189"/>
  <c r="N158" i="189" s="1"/>
  <c r="N28" i="191" s="1"/>
  <c r="N133" i="191" s="1"/>
  <c r="N75" i="186"/>
  <c r="N87" i="186" s="1"/>
  <c r="N111" i="189"/>
  <c r="N216" i="189" s="1"/>
  <c r="N88" i="191" s="1"/>
  <c r="N193" i="191" s="1"/>
  <c r="N121" i="186"/>
  <c r="N133" i="186" s="1"/>
  <c r="N118" i="186"/>
  <c r="N130" i="186" s="1"/>
  <c r="N108" i="189"/>
  <c r="N213" i="189" s="1"/>
  <c r="N85" i="191" s="1"/>
  <c r="N190" i="191" s="1"/>
  <c r="N96" i="189"/>
  <c r="N184" i="189" s="1"/>
  <c r="N55" i="191" s="1"/>
  <c r="N160" i="191" s="1"/>
  <c r="N95" i="186"/>
  <c r="N107" i="186" s="1"/>
  <c r="J89" i="189"/>
  <c r="J160" i="189" s="1"/>
  <c r="J30" i="191" s="1"/>
  <c r="J135" i="191" s="1"/>
  <c r="J77" i="186"/>
  <c r="J89" i="186" s="1"/>
  <c r="J118" i="186"/>
  <c r="J130" i="186" s="1"/>
  <c r="J108" i="189"/>
  <c r="J213" i="189" s="1"/>
  <c r="J85" i="191" s="1"/>
  <c r="J190" i="191" s="1"/>
  <c r="J105" i="189"/>
  <c r="J210" i="189" s="1"/>
  <c r="J82" i="191" s="1"/>
  <c r="J187" i="191" s="1"/>
  <c r="J106" i="189"/>
  <c r="J211" i="189" s="1"/>
  <c r="J83" i="191" s="1"/>
  <c r="J188" i="191" s="1"/>
  <c r="J116" i="186"/>
  <c r="J128" i="186" s="1"/>
  <c r="M75" i="186"/>
  <c r="M87" i="186" s="1"/>
  <c r="M87" i="189"/>
  <c r="M158" i="189" s="1"/>
  <c r="M28" i="191" s="1"/>
  <c r="M133" i="191" s="1"/>
  <c r="M95" i="189"/>
  <c r="M183" i="189" s="1"/>
  <c r="M54" i="191" s="1"/>
  <c r="M159" i="191" s="1"/>
  <c r="M94" i="186"/>
  <c r="M106" i="186" s="1"/>
  <c r="M99" i="186"/>
  <c r="M111" i="186" s="1"/>
  <c r="M100" i="189"/>
  <c r="M188" i="189" s="1"/>
  <c r="M59" i="191" s="1"/>
  <c r="M164" i="191" s="1"/>
  <c r="K75" i="186"/>
  <c r="K87" i="186" s="1"/>
  <c r="K87" i="189"/>
  <c r="K158" i="189" s="1"/>
  <c r="K28" i="191" s="1"/>
  <c r="K133" i="191" s="1"/>
  <c r="K101" i="186"/>
  <c r="K113" i="186" s="1"/>
  <c r="K102" i="189"/>
  <c r="K190" i="189" s="1"/>
  <c r="K61" i="191" s="1"/>
  <c r="K166" i="191" s="1"/>
  <c r="K96" i="189"/>
  <c r="K184" i="189" s="1"/>
  <c r="K55" i="191" s="1"/>
  <c r="K160" i="191" s="1"/>
  <c r="K95" i="186"/>
  <c r="K107" i="186" s="1"/>
  <c r="K113" i="189"/>
  <c r="K218" i="189" s="1"/>
  <c r="K90" i="191" s="1"/>
  <c r="K195" i="191" s="1"/>
  <c r="K123" i="186"/>
  <c r="K135" i="186" s="1"/>
  <c r="N74" i="186"/>
  <c r="N86" i="186" s="1"/>
  <c r="N146" i="186" s="1"/>
  <c r="N172" i="186" s="1"/>
  <c r="N273" i="186" s="1"/>
  <c r="N86" i="189"/>
  <c r="N157" i="189" s="1"/>
  <c r="N27" i="191" s="1"/>
  <c r="N132" i="191" s="1"/>
  <c r="N84" i="189"/>
  <c r="N155" i="189" s="1"/>
  <c r="N25" i="191" s="1"/>
  <c r="N130" i="191" s="1"/>
  <c r="N72" i="186"/>
  <c r="N84" i="186" s="1"/>
  <c r="N100" i="189"/>
  <c r="N188" i="189" s="1"/>
  <c r="N59" i="191" s="1"/>
  <c r="N164" i="191" s="1"/>
  <c r="N99" i="186"/>
  <c r="N111" i="186" s="1"/>
  <c r="N109" i="189"/>
  <c r="N214" i="189" s="1"/>
  <c r="N86" i="191" s="1"/>
  <c r="N191" i="191" s="1"/>
  <c r="N119" i="186"/>
  <c r="N131" i="186" s="1"/>
  <c r="J76" i="186"/>
  <c r="J88" i="186" s="1"/>
  <c r="J88" i="189"/>
  <c r="J159" i="189" s="1"/>
  <c r="J29" i="191" s="1"/>
  <c r="J134" i="191" s="1"/>
  <c r="J73" i="186"/>
  <c r="J85" i="186" s="1"/>
  <c r="J85" i="189"/>
  <c r="J156" i="189" s="1"/>
  <c r="J26" i="191" s="1"/>
  <c r="J131" i="191" s="1"/>
  <c r="J112" i="189"/>
  <c r="J217" i="189" s="1"/>
  <c r="J89" i="191" s="1"/>
  <c r="J194" i="191" s="1"/>
  <c r="J122" i="186"/>
  <c r="J134" i="186" s="1"/>
  <c r="J94" i="186"/>
  <c r="J106" i="186" s="1"/>
  <c r="J95" i="189"/>
  <c r="J183" i="189" s="1"/>
  <c r="J54" i="191" s="1"/>
  <c r="J159" i="191" s="1"/>
  <c r="M83" i="189"/>
  <c r="M154" i="189" s="1"/>
  <c r="M24" i="191" s="1"/>
  <c r="M129" i="191" s="1"/>
  <c r="M71" i="186"/>
  <c r="M83" i="186" s="1"/>
  <c r="M96" i="189"/>
  <c r="M184" i="189" s="1"/>
  <c r="M55" i="191" s="1"/>
  <c r="M160" i="191" s="1"/>
  <c r="M95" i="186"/>
  <c r="M107" i="186" s="1"/>
  <c r="M118" i="186"/>
  <c r="M130" i="186" s="1"/>
  <c r="M108" i="189"/>
  <c r="M213" i="189" s="1"/>
  <c r="M85" i="191" s="1"/>
  <c r="M190" i="191" s="1"/>
  <c r="O148" i="186"/>
  <c r="O174" i="186" s="1"/>
  <c r="O275" i="186" s="1"/>
  <c r="K85" i="189"/>
  <c r="K156" i="189" s="1"/>
  <c r="K26" i="191" s="1"/>
  <c r="K131" i="191" s="1"/>
  <c r="K73" i="186"/>
  <c r="K85" i="186" s="1"/>
  <c r="K122" i="186"/>
  <c r="K134" i="186" s="1"/>
  <c r="K112" i="189"/>
  <c r="K217" i="189" s="1"/>
  <c r="K89" i="191" s="1"/>
  <c r="K194" i="191" s="1"/>
  <c r="K95" i="189"/>
  <c r="K183" i="189" s="1"/>
  <c r="K54" i="191" s="1"/>
  <c r="K159" i="191" s="1"/>
  <c r="K94" i="186"/>
  <c r="K106" i="186" s="1"/>
  <c r="K124" i="186"/>
  <c r="K136" i="186" s="1"/>
  <c r="K114" i="189"/>
  <c r="K219" i="189" s="1"/>
  <c r="K91" i="191" s="1"/>
  <c r="K196" i="191" s="1"/>
  <c r="O145" i="186"/>
  <c r="O171" i="186" s="1"/>
  <c r="O272" i="186" s="1"/>
  <c r="M119" i="186"/>
  <c r="M131" i="186" s="1"/>
  <c r="M109" i="189"/>
  <c r="M214" i="189" s="1"/>
  <c r="M86" i="191" s="1"/>
  <c r="M191" i="191" s="1"/>
  <c r="N78" i="186"/>
  <c r="N90" i="186" s="1"/>
  <c r="N90" i="189"/>
  <c r="N161" i="189" s="1"/>
  <c r="N31" i="191" s="1"/>
  <c r="N136" i="191" s="1"/>
  <c r="N94" i="189"/>
  <c r="N182" i="189" s="1"/>
  <c r="N53" i="191" s="1"/>
  <c r="N158" i="191" s="1"/>
  <c r="N93" i="186"/>
  <c r="N105" i="186" s="1"/>
  <c r="N93" i="189"/>
  <c r="N181" i="189" s="1"/>
  <c r="N52" i="191" s="1"/>
  <c r="N157" i="191" s="1"/>
  <c r="N94" i="186"/>
  <c r="N106" i="186" s="1"/>
  <c r="N95" i="189"/>
  <c r="N183" i="189" s="1"/>
  <c r="N54" i="191" s="1"/>
  <c r="N159" i="191" s="1"/>
  <c r="J83" i="189"/>
  <c r="J154" i="189" s="1"/>
  <c r="J24" i="191" s="1"/>
  <c r="J129" i="191" s="1"/>
  <c r="J71" i="186"/>
  <c r="J83" i="186" s="1"/>
  <c r="J121" i="186"/>
  <c r="J133" i="186" s="1"/>
  <c r="J111" i="189"/>
  <c r="J216" i="189" s="1"/>
  <c r="J88" i="191" s="1"/>
  <c r="J193" i="191" s="1"/>
  <c r="J98" i="189"/>
  <c r="J186" i="189" s="1"/>
  <c r="J57" i="191" s="1"/>
  <c r="J162" i="191" s="1"/>
  <c r="J97" i="186"/>
  <c r="J109" i="186" s="1"/>
  <c r="J123" i="186"/>
  <c r="J135" i="186" s="1"/>
  <c r="J113" i="189"/>
  <c r="J218" i="189" s="1"/>
  <c r="J90" i="191" s="1"/>
  <c r="J195" i="191" s="1"/>
  <c r="M70" i="186"/>
  <c r="M82" i="186" s="1"/>
  <c r="M142" i="186" s="1"/>
  <c r="M168" i="186" s="1"/>
  <c r="M82" i="189"/>
  <c r="M153" i="189" s="1"/>
  <c r="M23" i="191" s="1"/>
  <c r="M128" i="191" s="1"/>
  <c r="M81" i="189"/>
  <c r="M152" i="189" s="1"/>
  <c r="M99" i="189"/>
  <c r="M187" i="189" s="1"/>
  <c r="M58" i="191" s="1"/>
  <c r="M163" i="191" s="1"/>
  <c r="M98" i="186"/>
  <c r="M110" i="186" s="1"/>
  <c r="M98" i="189"/>
  <c r="M186" i="189" s="1"/>
  <c r="M57" i="191" s="1"/>
  <c r="M162" i="191" s="1"/>
  <c r="M97" i="186"/>
  <c r="M109" i="186" s="1"/>
  <c r="K89" i="189"/>
  <c r="K160" i="189" s="1"/>
  <c r="K30" i="191" s="1"/>
  <c r="K135" i="191" s="1"/>
  <c r="K77" i="186"/>
  <c r="K89" i="186" s="1"/>
  <c r="K110" i="189"/>
  <c r="K215" i="189" s="1"/>
  <c r="K87" i="191" s="1"/>
  <c r="K192" i="191" s="1"/>
  <c r="K120" i="186"/>
  <c r="K132" i="186" s="1"/>
  <c r="K93" i="186"/>
  <c r="K105" i="186" s="1"/>
  <c r="K94" i="189"/>
  <c r="K182" i="189" s="1"/>
  <c r="K53" i="191" s="1"/>
  <c r="K158" i="191" s="1"/>
  <c r="K93" i="189"/>
  <c r="K181" i="189" s="1"/>
  <c r="K52" i="191" s="1"/>
  <c r="K157" i="191" s="1"/>
  <c r="O144" i="186"/>
  <c r="O170" i="186" s="1"/>
  <c r="O271" i="186" s="1"/>
  <c r="P147" i="186"/>
  <c r="P173" i="186" s="1"/>
  <c r="P274" i="186" s="1"/>
  <c r="N106" i="189"/>
  <c r="N211" i="189" s="1"/>
  <c r="N83" i="191" s="1"/>
  <c r="N188" i="191" s="1"/>
  <c r="N105" i="189"/>
  <c r="N210" i="189" s="1"/>
  <c r="N82" i="191" s="1"/>
  <c r="N187" i="191" s="1"/>
  <c r="N116" i="186"/>
  <c r="N128" i="186" s="1"/>
  <c r="J95" i="186"/>
  <c r="J107" i="186" s="1"/>
  <c r="J96" i="189"/>
  <c r="J184" i="189" s="1"/>
  <c r="J55" i="191" s="1"/>
  <c r="J160" i="191" s="1"/>
  <c r="K118" i="186"/>
  <c r="K130" i="186" s="1"/>
  <c r="K108" i="189"/>
  <c r="K213" i="189" s="1"/>
  <c r="K85" i="191" s="1"/>
  <c r="K190" i="191" s="1"/>
  <c r="L294" i="185"/>
  <c r="L283" i="185"/>
  <c r="L285" i="185"/>
  <c r="L301" i="185"/>
  <c r="L288" i="185"/>
  <c r="L298" i="185"/>
  <c r="L289" i="185"/>
  <c r="L302" i="185"/>
  <c r="L290" i="185"/>
  <c r="L286" i="185"/>
  <c r="L296" i="185"/>
  <c r="L299" i="185"/>
  <c r="L291" i="185"/>
  <c r="L287" i="185"/>
  <c r="L295" i="185"/>
  <c r="L300" i="185"/>
  <c r="L297" i="185"/>
  <c r="L284" i="185"/>
  <c r="L276" i="185"/>
  <c r="L275" i="185"/>
  <c r="L280" i="185"/>
  <c r="L272" i="185"/>
  <c r="L279" i="185"/>
  <c r="L278" i="185"/>
  <c r="L274" i="185"/>
  <c r="L277" i="185"/>
  <c r="L273" i="185"/>
  <c r="P22" i="191"/>
  <c r="P127" i="191" s="1"/>
  <c r="N71" i="186"/>
  <c r="N83" i="186" s="1"/>
  <c r="N83" i="189"/>
  <c r="N154" i="189" s="1"/>
  <c r="N24" i="191" s="1"/>
  <c r="N129" i="191" s="1"/>
  <c r="N102" i="189"/>
  <c r="N190" i="189" s="1"/>
  <c r="N61" i="191" s="1"/>
  <c r="N166" i="191" s="1"/>
  <c r="N101" i="186"/>
  <c r="N113" i="186" s="1"/>
  <c r="N107" i="189"/>
  <c r="N212" i="189" s="1"/>
  <c r="N84" i="191" s="1"/>
  <c r="N189" i="191" s="1"/>
  <c r="N117" i="186"/>
  <c r="N129" i="186" s="1"/>
  <c r="J84" i="189"/>
  <c r="J155" i="189" s="1"/>
  <c r="J25" i="191" s="1"/>
  <c r="J130" i="191" s="1"/>
  <c r="J72" i="186"/>
  <c r="J84" i="186" s="1"/>
  <c r="J93" i="186"/>
  <c r="J105" i="186" s="1"/>
  <c r="J94" i="189"/>
  <c r="J182" i="189" s="1"/>
  <c r="J53" i="191" s="1"/>
  <c r="J158" i="191" s="1"/>
  <c r="J93" i="189"/>
  <c r="J181" i="189" s="1"/>
  <c r="J52" i="191" s="1"/>
  <c r="J157" i="191" s="1"/>
  <c r="J99" i="189"/>
  <c r="J187" i="189" s="1"/>
  <c r="J58" i="191" s="1"/>
  <c r="J163" i="191" s="1"/>
  <c r="J98" i="186"/>
  <c r="J110" i="186" s="1"/>
  <c r="Q269" i="186"/>
  <c r="Q177" i="186"/>
  <c r="M72" i="186"/>
  <c r="M84" i="186" s="1"/>
  <c r="M144" i="186" s="1"/>
  <c r="M170" i="186" s="1"/>
  <c r="M271" i="186" s="1"/>
  <c r="M84" i="189"/>
  <c r="M155" i="189" s="1"/>
  <c r="M25" i="191" s="1"/>
  <c r="M130" i="191" s="1"/>
  <c r="M110" i="189"/>
  <c r="M215" i="189" s="1"/>
  <c r="M87" i="191" s="1"/>
  <c r="M192" i="191" s="1"/>
  <c r="M120" i="186"/>
  <c r="M132" i="186" s="1"/>
  <c r="M101" i="186"/>
  <c r="M113" i="186" s="1"/>
  <c r="M102" i="189"/>
  <c r="M190" i="189" s="1"/>
  <c r="M61" i="191" s="1"/>
  <c r="M166" i="191" s="1"/>
  <c r="O150" i="186"/>
  <c r="K83" i="189"/>
  <c r="K154" i="189" s="1"/>
  <c r="K24" i="191" s="1"/>
  <c r="K129" i="191" s="1"/>
  <c r="K71" i="186"/>
  <c r="K83" i="186" s="1"/>
  <c r="K99" i="186"/>
  <c r="K111" i="186" s="1"/>
  <c r="K100" i="189"/>
  <c r="K188" i="189" s="1"/>
  <c r="K59" i="191" s="1"/>
  <c r="K164" i="191" s="1"/>
  <c r="K117" i="186"/>
  <c r="K129" i="186" s="1"/>
  <c r="K107" i="189"/>
  <c r="K212" i="189" s="1"/>
  <c r="K84" i="191" s="1"/>
  <c r="K189" i="191" s="1"/>
  <c r="L124" i="189"/>
  <c r="L132" i="189"/>
  <c r="L132" i="193" s="1"/>
  <c r="L202" i="193" s="1"/>
  <c r="L232" i="193" s="1"/>
  <c r="L125" i="189"/>
  <c r="L125" i="193" s="1"/>
  <c r="L195" i="193" s="1"/>
  <c r="L225" i="193" s="1"/>
  <c r="L128" i="189"/>
  <c r="L128" i="193" s="1"/>
  <c r="L198" i="193" s="1"/>
  <c r="L228" i="193" s="1"/>
  <c r="L129" i="189"/>
  <c r="L129" i="193" s="1"/>
  <c r="L199" i="193" s="1"/>
  <c r="L229" i="193" s="1"/>
  <c r="L127" i="189"/>
  <c r="L127" i="193" s="1"/>
  <c r="L197" i="193" s="1"/>
  <c r="L227" i="193" s="1"/>
  <c r="L131" i="189"/>
  <c r="L131" i="193" s="1"/>
  <c r="L201" i="193" s="1"/>
  <c r="L231" i="193" s="1"/>
  <c r="L126" i="189"/>
  <c r="L126" i="193" s="1"/>
  <c r="L196" i="193" s="1"/>
  <c r="L226" i="193" s="1"/>
  <c r="L123" i="189"/>
  <c r="L130" i="189"/>
  <c r="L130" i="193" s="1"/>
  <c r="L200" i="193" s="1"/>
  <c r="L230" i="193" s="1"/>
  <c r="N144" i="186" l="1"/>
  <c r="N170" i="186" s="1"/>
  <c r="N271" i="186" s="1"/>
  <c r="J145" i="186"/>
  <c r="K149" i="186"/>
  <c r="K175" i="186" s="1"/>
  <c r="K276" i="186" s="1"/>
  <c r="J144" i="186"/>
  <c r="J170" i="186" s="1"/>
  <c r="J271" i="186" s="1"/>
  <c r="K147" i="186"/>
  <c r="K173" i="186" s="1"/>
  <c r="K274" i="186" s="1"/>
  <c r="K143" i="186"/>
  <c r="K169" i="186" s="1"/>
  <c r="K270" i="186" s="1"/>
  <c r="N143" i="186"/>
  <c r="N169" i="186" s="1"/>
  <c r="N270" i="186" s="1"/>
  <c r="J143" i="186"/>
  <c r="J169" i="186" s="1"/>
  <c r="J270" i="186" s="1"/>
  <c r="M145" i="186"/>
  <c r="M171" i="186" s="1"/>
  <c r="M272" i="186" s="1"/>
  <c r="L78" i="186"/>
  <c r="L90" i="186" s="1"/>
  <c r="L90" i="189"/>
  <c r="L161" i="189" s="1"/>
  <c r="L31" i="191" s="1"/>
  <c r="L136" i="191" s="1"/>
  <c r="L102" i="189"/>
  <c r="L190" i="189" s="1"/>
  <c r="L61" i="191" s="1"/>
  <c r="L166" i="191" s="1"/>
  <c r="L101" i="186"/>
  <c r="L113" i="186" s="1"/>
  <c r="L99" i="189"/>
  <c r="L187" i="189" s="1"/>
  <c r="L58" i="191" s="1"/>
  <c r="L163" i="191" s="1"/>
  <c r="L98" i="186"/>
  <c r="L110" i="186" s="1"/>
  <c r="K146" i="186"/>
  <c r="K172" i="186" s="1"/>
  <c r="K273" i="186" s="1"/>
  <c r="O176" i="186"/>
  <c r="O177" i="186" s="1"/>
  <c r="O208" i="186"/>
  <c r="L85" i="189"/>
  <c r="L156" i="189" s="1"/>
  <c r="L26" i="191" s="1"/>
  <c r="L131" i="191" s="1"/>
  <c r="L73" i="186"/>
  <c r="L85" i="186" s="1"/>
  <c r="L121" i="186"/>
  <c r="L133" i="186" s="1"/>
  <c r="L111" i="189"/>
  <c r="L216" i="189" s="1"/>
  <c r="L88" i="191" s="1"/>
  <c r="L193" i="191" s="1"/>
  <c r="L113" i="189"/>
  <c r="L218" i="189" s="1"/>
  <c r="L90" i="191" s="1"/>
  <c r="L195" i="191" s="1"/>
  <c r="L123" i="186"/>
  <c r="L135" i="186" s="1"/>
  <c r="J147" i="186"/>
  <c r="K150" i="186"/>
  <c r="L83" i="189"/>
  <c r="L154" i="189" s="1"/>
  <c r="L24" i="191" s="1"/>
  <c r="L129" i="191" s="1"/>
  <c r="L71" i="186"/>
  <c r="L83" i="186" s="1"/>
  <c r="L86" i="189"/>
  <c r="L157" i="189" s="1"/>
  <c r="L27" i="191" s="1"/>
  <c r="L132" i="191" s="1"/>
  <c r="L74" i="186"/>
  <c r="L86" i="186" s="1"/>
  <c r="L118" i="186"/>
  <c r="L130" i="186" s="1"/>
  <c r="L108" i="189"/>
  <c r="L213" i="189" s="1"/>
  <c r="L85" i="191" s="1"/>
  <c r="L190" i="191" s="1"/>
  <c r="L96" i="189"/>
  <c r="L184" i="189" s="1"/>
  <c r="L55" i="191" s="1"/>
  <c r="L160" i="191" s="1"/>
  <c r="L95" i="186"/>
  <c r="L107" i="186" s="1"/>
  <c r="M22" i="191"/>
  <c r="M127" i="191" s="1"/>
  <c r="L97" i="186"/>
  <c r="L109" i="186" s="1"/>
  <c r="L98" i="189"/>
  <c r="L186" i="189" s="1"/>
  <c r="L57" i="191" s="1"/>
  <c r="L162" i="191" s="1"/>
  <c r="L75" i="186"/>
  <c r="L87" i="186" s="1"/>
  <c r="L87" i="189"/>
  <c r="L158" i="189" s="1"/>
  <c r="L28" i="191" s="1"/>
  <c r="L133" i="191" s="1"/>
  <c r="L95" i="189"/>
  <c r="L183" i="189" s="1"/>
  <c r="L54" i="191" s="1"/>
  <c r="L159" i="191" s="1"/>
  <c r="L94" i="186"/>
  <c r="L106" i="186" s="1"/>
  <c r="L96" i="186"/>
  <c r="L108" i="186" s="1"/>
  <c r="L97" i="189"/>
  <c r="L185" i="189" s="1"/>
  <c r="L56" i="191" s="1"/>
  <c r="L161" i="191" s="1"/>
  <c r="L94" i="189"/>
  <c r="L182" i="189" s="1"/>
  <c r="L53" i="191" s="1"/>
  <c r="L158" i="191" s="1"/>
  <c r="L93" i="189"/>
  <c r="L181" i="189" s="1"/>
  <c r="L52" i="191" s="1"/>
  <c r="L157" i="191" s="1"/>
  <c r="L93" i="186"/>
  <c r="L105" i="186" s="1"/>
  <c r="N150" i="186"/>
  <c r="J149" i="186"/>
  <c r="N147" i="186"/>
  <c r="N173" i="186" s="1"/>
  <c r="N274" i="186" s="1"/>
  <c r="K144" i="186"/>
  <c r="K170" i="186" s="1"/>
  <c r="K271" i="186" s="1"/>
  <c r="N149" i="186"/>
  <c r="N175" i="186" s="1"/>
  <c r="N276" i="186" s="1"/>
  <c r="L82" i="189"/>
  <c r="L153" i="189" s="1"/>
  <c r="L23" i="191" s="1"/>
  <c r="L128" i="191" s="1"/>
  <c r="L70" i="186"/>
  <c r="L82" i="186" s="1"/>
  <c r="L81" i="189"/>
  <c r="L152" i="189" s="1"/>
  <c r="L120" i="186"/>
  <c r="L132" i="186" s="1"/>
  <c r="L110" i="189"/>
  <c r="L215" i="189" s="1"/>
  <c r="L87" i="191" s="1"/>
  <c r="L192" i="191" s="1"/>
  <c r="L72" i="186"/>
  <c r="L84" i="186" s="1"/>
  <c r="L84" i="189"/>
  <c r="L155" i="189" s="1"/>
  <c r="L25" i="191" s="1"/>
  <c r="L130" i="191" s="1"/>
  <c r="L119" i="186"/>
  <c r="L131" i="186" s="1"/>
  <c r="L109" i="189"/>
  <c r="L214" i="189" s="1"/>
  <c r="L86" i="191" s="1"/>
  <c r="L191" i="191" s="1"/>
  <c r="L100" i="186"/>
  <c r="L112" i="186" s="1"/>
  <c r="L101" i="189"/>
  <c r="L189" i="189" s="1"/>
  <c r="L60" i="191" s="1"/>
  <c r="L165" i="191" s="1"/>
  <c r="L105" i="189"/>
  <c r="L210" i="189" s="1"/>
  <c r="L82" i="191" s="1"/>
  <c r="L187" i="191" s="1"/>
  <c r="L116" i="186"/>
  <c r="L128" i="186" s="1"/>
  <c r="L106" i="189"/>
  <c r="L211" i="189" s="1"/>
  <c r="L83" i="191" s="1"/>
  <c r="L188" i="191" s="1"/>
  <c r="M269" i="186"/>
  <c r="J171" i="186"/>
  <c r="J272" i="186" s="1"/>
  <c r="J146" i="186"/>
  <c r="N22" i="191"/>
  <c r="N127" i="191" s="1"/>
  <c r="N148" i="186"/>
  <c r="N174" i="186" s="1"/>
  <c r="N275" i="186" s="1"/>
  <c r="J22" i="191"/>
  <c r="N145" i="186"/>
  <c r="N171" i="186" s="1"/>
  <c r="N272" i="186" s="1"/>
  <c r="L76" i="186"/>
  <c r="L88" i="186" s="1"/>
  <c r="L88" i="189"/>
  <c r="L159" i="189" s="1"/>
  <c r="L29" i="191" s="1"/>
  <c r="L134" i="191" s="1"/>
  <c r="L112" i="189"/>
  <c r="L217" i="189" s="1"/>
  <c r="L89" i="191" s="1"/>
  <c r="L194" i="191" s="1"/>
  <c r="L122" i="186"/>
  <c r="L134" i="186" s="1"/>
  <c r="L114" i="189"/>
  <c r="L219" i="189" s="1"/>
  <c r="L91" i="191" s="1"/>
  <c r="L196" i="191" s="1"/>
  <c r="L124" i="186"/>
  <c r="L136" i="186" s="1"/>
  <c r="M143" i="186"/>
  <c r="M169" i="186" s="1"/>
  <c r="M270" i="186" s="1"/>
  <c r="M147" i="186"/>
  <c r="M173" i="186" s="1"/>
  <c r="M274" i="186" s="1"/>
  <c r="M148" i="186"/>
  <c r="M174" i="186" s="1"/>
  <c r="M275" i="186" s="1"/>
  <c r="N142" i="186"/>
  <c r="N168" i="186" s="1"/>
  <c r="N269" i="186" s="1"/>
  <c r="P208" i="186"/>
  <c r="P176" i="186"/>
  <c r="P177" i="186" s="1"/>
  <c r="M146" i="186"/>
  <c r="M172" i="186" s="1"/>
  <c r="M273" i="186" s="1"/>
  <c r="J150" i="186"/>
  <c r="K148" i="186"/>
  <c r="K174" i="186" s="1"/>
  <c r="K275" i="186" s="1"/>
  <c r="M149" i="186"/>
  <c r="M175" i="186" s="1"/>
  <c r="M276" i="186" s="1"/>
  <c r="K22" i="191"/>
  <c r="K127" i="191" s="1"/>
  <c r="L89" i="189"/>
  <c r="L160" i="189" s="1"/>
  <c r="L30" i="191" s="1"/>
  <c r="L135" i="191" s="1"/>
  <c r="L77" i="186"/>
  <c r="L89" i="186" s="1"/>
  <c r="L117" i="186"/>
  <c r="L129" i="186" s="1"/>
  <c r="L107" i="189"/>
  <c r="L212" i="189" s="1"/>
  <c r="L84" i="191" s="1"/>
  <c r="L189" i="191" s="1"/>
  <c r="L100" i="189"/>
  <c r="L188" i="189" s="1"/>
  <c r="L59" i="191" s="1"/>
  <c r="L164" i="191" s="1"/>
  <c r="L99" i="186"/>
  <c r="L111" i="186" s="1"/>
  <c r="K145" i="186"/>
  <c r="K171" i="186" s="1"/>
  <c r="K272" i="186" s="1"/>
  <c r="J148" i="186"/>
  <c r="M150" i="186"/>
  <c r="K142" i="186"/>
  <c r="J82" i="186"/>
  <c r="J142" i="186" s="1"/>
  <c r="J168" i="186" s="1"/>
  <c r="H306" i="185" a="1"/>
  <c r="H306" i="185" s="1"/>
  <c r="L147" i="186" l="1"/>
  <c r="L173" i="186" s="1"/>
  <c r="L274" i="186" s="1"/>
  <c r="L144" i="186"/>
  <c r="L170" i="186" s="1"/>
  <c r="L271" i="186" s="1"/>
  <c r="L142" i="186"/>
  <c r="L168" i="186" s="1"/>
  <c r="L269" i="186" s="1"/>
  <c r="L149" i="186"/>
  <c r="L175" i="186" s="1"/>
  <c r="L276" i="186" s="1"/>
  <c r="L148" i="186"/>
  <c r="L174" i="186" s="1"/>
  <c r="L275" i="186" s="1"/>
  <c r="J172" i="186"/>
  <c r="J273" i="186" s="1"/>
  <c r="L22" i="191"/>
  <c r="L127" i="191" s="1"/>
  <c r="L145" i="186"/>
  <c r="L171" i="186" s="1"/>
  <c r="L272" i="186" s="1"/>
  <c r="H272" i="186" s="1"/>
  <c r="J269" i="186"/>
  <c r="K176" i="186"/>
  <c r="K208" i="186"/>
  <c r="H154" i="186"/>
  <c r="K168" i="186"/>
  <c r="J208" i="186"/>
  <c r="J176" i="186"/>
  <c r="M176" i="186"/>
  <c r="M177" i="186" s="1"/>
  <c r="M208" i="186"/>
  <c r="J173" i="186"/>
  <c r="J274" i="186" s="1"/>
  <c r="H274" i="186" s="1"/>
  <c r="H159" i="186"/>
  <c r="L150" i="186"/>
  <c r="H162" i="186" s="1"/>
  <c r="J174" i="186"/>
  <c r="J275" i="186" s="1"/>
  <c r="J127" i="191"/>
  <c r="L146" i="186"/>
  <c r="L172" i="186" s="1"/>
  <c r="L273" i="186" s="1"/>
  <c r="H156" i="186"/>
  <c r="H271" i="186"/>
  <c r="J175" i="186"/>
  <c r="J276" i="186" s="1"/>
  <c r="H161" i="186"/>
  <c r="L143" i="186"/>
  <c r="A4" i="185"/>
  <c r="J47" i="55"/>
  <c r="N208" i="186"/>
  <c r="N176" i="186"/>
  <c r="N177" i="186" s="1"/>
  <c r="H276" i="186" l="1"/>
  <c r="H160" i="186"/>
  <c r="H275" i="186"/>
  <c r="K269" i="186"/>
  <c r="H269" i="186" s="1"/>
  <c r="K177" i="186"/>
  <c r="J177" i="186"/>
  <c r="H210" i="186"/>
  <c r="H234" i="186" s="1"/>
  <c r="L169" i="186"/>
  <c r="L270" i="186" s="1"/>
  <c r="H270" i="186" s="1"/>
  <c r="H155" i="186"/>
  <c r="H158" i="186"/>
  <c r="H157" i="186"/>
  <c r="H273" i="186"/>
  <c r="L208" i="186"/>
  <c r="L176" i="186"/>
  <c r="L177" i="186" l="1"/>
  <c r="S260" i="186"/>
  <c r="R260" i="186"/>
  <c r="J247" i="186"/>
  <c r="Q247" i="186"/>
  <c r="V260" i="186"/>
  <c r="L247" i="186"/>
  <c r="W247" i="186"/>
  <c r="U260" i="186"/>
  <c r="T247" i="186"/>
  <c r="Y247" i="186"/>
  <c r="U247" i="186"/>
  <c r="O247" i="186"/>
  <c r="O277" i="186" s="1"/>
  <c r="K247" i="186"/>
  <c r="K277" i="186" s="1"/>
  <c r="S247" i="186"/>
  <c r="S277" i="186" s="1"/>
  <c r="H32" i="192"/>
  <c r="T260" i="186"/>
  <c r="V247" i="186"/>
  <c r="M247" i="186"/>
  <c r="M277" i="186" s="1"/>
  <c r="Y260" i="186"/>
  <c r="X247" i="186"/>
  <c r="X277" i="186" s="1"/>
  <c r="P247" i="186"/>
  <c r="P277" i="186" s="1"/>
  <c r="N247" i="186"/>
  <c r="N277" i="186" s="1"/>
  <c r="R247" i="186"/>
  <c r="R277" i="186" s="1"/>
  <c r="W260" i="186"/>
  <c r="X260" i="186"/>
  <c r="Q260" i="186"/>
  <c r="L260" i="186"/>
  <c r="J260" i="186"/>
  <c r="W277" i="186" l="1"/>
  <c r="L277" i="186"/>
  <c r="U277" i="186"/>
  <c r="Q277" i="186"/>
  <c r="M141" i="192"/>
  <c r="P171" i="192"/>
  <c r="P231" i="192" s="1"/>
  <c r="J141" i="192"/>
  <c r="L171" i="192"/>
  <c r="L231" i="192" s="1"/>
  <c r="O171" i="192"/>
  <c r="O231" i="192" s="1"/>
  <c r="M171" i="192"/>
  <c r="M231" i="192" s="1"/>
  <c r="Q171" i="192"/>
  <c r="Q231" i="192" s="1"/>
  <c r="Q141" i="192"/>
  <c r="J171" i="192"/>
  <c r="J231" i="192" s="1"/>
  <c r="K141" i="192"/>
  <c r="K171" i="192"/>
  <c r="K231" i="192" s="1"/>
  <c r="N171" i="192"/>
  <c r="N231" i="192" s="1"/>
  <c r="L141" i="192"/>
  <c r="P141" i="192"/>
  <c r="N141" i="192"/>
  <c r="O141" i="192"/>
  <c r="J277" i="186"/>
  <c r="Y277" i="186"/>
  <c r="V277" i="186"/>
  <c r="T277" i="186"/>
  <c r="O271" i="192" l="1"/>
  <c r="O34" i="194" s="1"/>
  <c r="O79" i="194" s="1"/>
  <c r="O201" i="192"/>
  <c r="Q271" i="192"/>
  <c r="Q34" i="194" s="1"/>
  <c r="Q79" i="194" s="1"/>
  <c r="Q201" i="192"/>
  <c r="P201" i="192"/>
  <c r="P271" i="192"/>
  <c r="P34" i="194" s="1"/>
  <c r="P79" i="194" s="1"/>
  <c r="L201" i="192"/>
  <c r="L271" i="192"/>
  <c r="L34" i="194" s="1"/>
  <c r="L79" i="194" s="1"/>
  <c r="J271" i="192"/>
  <c r="J34" i="194" s="1"/>
  <c r="J201" i="192"/>
  <c r="K201" i="192"/>
  <c r="K271" i="192"/>
  <c r="K34" i="194" s="1"/>
  <c r="K79" i="194" s="1"/>
  <c r="N201" i="192"/>
  <c r="N271" i="192"/>
  <c r="N34" i="194" s="1"/>
  <c r="N79" i="194" s="1"/>
  <c r="H277" i="186"/>
  <c r="M271" i="192"/>
  <c r="M34" i="194" s="1"/>
  <c r="M79" i="194" s="1"/>
  <c r="M201" i="192"/>
  <c r="K64" i="188" l="1" a="1"/>
  <c r="H281" i="186" a="1"/>
  <c r="H281" i="186" s="1"/>
  <c r="J79" i="194"/>
  <c r="N109" i="194"/>
  <c r="N141" i="194" s="1"/>
  <c r="U109" i="194"/>
  <c r="U141" i="194" s="1"/>
  <c r="X109" i="194"/>
  <c r="X141" i="194" s="1"/>
  <c r="K109" i="194"/>
  <c r="K141" i="194" s="1"/>
  <c r="P109" i="194"/>
  <c r="P141" i="194" s="1"/>
  <c r="M109" i="194"/>
  <c r="M141" i="194" s="1"/>
  <c r="R109" i="194"/>
  <c r="R141" i="194" s="1"/>
  <c r="V109" i="194"/>
  <c r="V141" i="194" s="1"/>
  <c r="Y109" i="194"/>
  <c r="Y141" i="194" s="1"/>
  <c r="S109" i="194"/>
  <c r="S141" i="194" s="1"/>
  <c r="O109" i="194"/>
  <c r="O141" i="194" s="1"/>
  <c r="Q109" i="194"/>
  <c r="Q141" i="194" s="1"/>
  <c r="W109" i="194"/>
  <c r="W141" i="194" s="1"/>
  <c r="T109" i="194"/>
  <c r="T141" i="194" s="1"/>
  <c r="J109" i="194" l="1"/>
  <c r="J141" i="194" s="1"/>
  <c r="L109" i="194"/>
  <c r="L141" i="194" s="1"/>
  <c r="J48" i="55"/>
  <c r="A4" i="186"/>
  <c r="M64" i="188"/>
  <c r="M67" i="188" s="1"/>
  <c r="P64" i="188"/>
  <c r="P67" i="188" s="1"/>
  <c r="Q64" i="188"/>
  <c r="Q67" i="188" s="1"/>
  <c r="Q73" i="188" s="1"/>
  <c r="Q76" i="188" s="1"/>
  <c r="O64" i="188"/>
  <c r="O67" i="188" s="1"/>
  <c r="O73" i="188" s="1"/>
  <c r="O76" i="188" s="1"/>
  <c r="L64" i="188"/>
  <c r="L67" i="188" s="1"/>
  <c r="S64" i="188"/>
  <c r="S67" i="188" s="1"/>
  <c r="S73" i="188" s="1"/>
  <c r="S76" i="188" s="1"/>
  <c r="K64" i="188"/>
  <c r="R64" i="188"/>
  <c r="R67" i="188" s="1"/>
  <c r="R73" i="188" s="1"/>
  <c r="R76" i="188" s="1"/>
  <c r="N64" i="188"/>
  <c r="N67" i="188" s="1"/>
  <c r="N73" i="188" s="1"/>
  <c r="N76" i="188" s="1"/>
  <c r="N108" i="188" l="1"/>
  <c r="M100" i="188"/>
  <c r="M115" i="188" s="1"/>
  <c r="M73" i="188"/>
  <c r="M76" i="188" s="1"/>
  <c r="R108" i="188"/>
  <c r="K67" i="188"/>
  <c r="J65" i="188"/>
  <c r="J67" i="188" s="1"/>
  <c r="J100" i="188" s="1"/>
  <c r="J115" i="188" s="1"/>
  <c r="P100" i="188"/>
  <c r="P115" i="188" s="1"/>
  <c r="P73" i="188"/>
  <c r="P76" i="188" s="1"/>
  <c r="O78" i="188" s="1"/>
  <c r="O97" i="188" s="1"/>
  <c r="O100" i="188" s="1"/>
  <c r="O115" i="188" s="1"/>
  <c r="S108" i="188"/>
  <c r="L73" i="188"/>
  <c r="L76" i="188" s="1"/>
  <c r="L100" i="188"/>
  <c r="L115" i="188" s="1"/>
  <c r="O108" i="188"/>
  <c r="Q108" i="188"/>
  <c r="L78" i="188" l="1"/>
  <c r="L97" i="188" s="1"/>
  <c r="H123" i="188"/>
  <c r="H21" i="190" s="1"/>
  <c r="L108" i="188"/>
  <c r="K78" i="188"/>
  <c r="K97" i="188" s="1"/>
  <c r="K100" i="188" s="1"/>
  <c r="K115" i="188" s="1"/>
  <c r="T78" i="188"/>
  <c r="T97" i="188" s="1"/>
  <c r="U78" i="188"/>
  <c r="U97" i="188" s="1"/>
  <c r="R78" i="188"/>
  <c r="R97" i="188" s="1"/>
  <c r="R100" i="188" s="1"/>
  <c r="R115" i="188" s="1"/>
  <c r="S78" i="188"/>
  <c r="S97" i="188" s="1"/>
  <c r="S100" i="188" s="1"/>
  <c r="S115" i="188" s="1"/>
  <c r="M108" i="188"/>
  <c r="M78" i="188"/>
  <c r="M97" i="188" s="1"/>
  <c r="Q78" i="188"/>
  <c r="Q97" i="188" s="1"/>
  <c r="Q100" i="188" s="1"/>
  <c r="Q115" i="188" s="1"/>
  <c r="P108" i="188"/>
  <c r="P78" i="188"/>
  <c r="P97" i="188" s="1"/>
  <c r="N78" i="188"/>
  <c r="N97" i="188" s="1"/>
  <c r="N100" i="188" s="1"/>
  <c r="N115" i="188" s="1"/>
  <c r="H127" i="188" a="1"/>
  <c r="H127" i="188" s="1"/>
  <c r="H131" i="188" s="1"/>
  <c r="H63" i="193" l="1" a="1"/>
  <c r="H66" i="193" s="1"/>
  <c r="H30" i="189" a="1"/>
  <c r="H65" i="192" a="1"/>
  <c r="H35" i="190"/>
  <c r="J50" i="55"/>
  <c r="A4" i="188"/>
  <c r="H69" i="193" l="1"/>
  <c r="H64" i="193"/>
  <c r="X173" i="193" s="1"/>
  <c r="X208" i="193" s="1"/>
  <c r="X238" i="193" s="1"/>
  <c r="H65" i="193"/>
  <c r="S174" i="193" s="1"/>
  <c r="S209" i="193" s="1"/>
  <c r="S239" i="193" s="1"/>
  <c r="H71" i="193"/>
  <c r="H70" i="193"/>
  <c r="H63" i="193"/>
  <c r="H72" i="193"/>
  <c r="H68" i="193"/>
  <c r="Y177" i="193" s="1"/>
  <c r="Y212" i="193" s="1"/>
  <c r="Y242" i="193" s="1"/>
  <c r="H67" i="193"/>
  <c r="T173" i="193"/>
  <c r="T208" i="193" s="1"/>
  <c r="T238" i="193" s="1"/>
  <c r="U173" i="193"/>
  <c r="U208" i="193" s="1"/>
  <c r="U238" i="193" s="1"/>
  <c r="S173" i="193"/>
  <c r="S208" i="193" s="1"/>
  <c r="S238" i="193" s="1"/>
  <c r="R173" i="193"/>
  <c r="R208" i="193" s="1"/>
  <c r="R238" i="193" s="1"/>
  <c r="V173" i="193"/>
  <c r="V208" i="193" s="1"/>
  <c r="V238" i="193" s="1"/>
  <c r="W173" i="193"/>
  <c r="W208" i="193" s="1"/>
  <c r="W238" i="193" s="1"/>
  <c r="Y173" i="193"/>
  <c r="Y208" i="193" s="1"/>
  <c r="Y238" i="193" s="1"/>
  <c r="W174" i="193"/>
  <c r="W209" i="193" s="1"/>
  <c r="W239" i="193" s="1"/>
  <c r="V174" i="193"/>
  <c r="V209" i="193" s="1"/>
  <c r="V239" i="193" s="1"/>
  <c r="X174" i="193"/>
  <c r="X209" i="193" s="1"/>
  <c r="X239" i="193" s="1"/>
  <c r="U174" i="193"/>
  <c r="U209" i="193" s="1"/>
  <c r="U239" i="193" s="1"/>
  <c r="R174" i="193"/>
  <c r="R209" i="193" s="1"/>
  <c r="R239" i="193" s="1"/>
  <c r="Q43" i="190"/>
  <c r="R43" i="190"/>
  <c r="R56" i="194" s="1"/>
  <c r="R157" i="194" s="1"/>
  <c r="J42" i="190"/>
  <c r="V42" i="190"/>
  <c r="V55" i="194" s="1"/>
  <c r="V156" i="194" s="1"/>
  <c r="S43" i="190"/>
  <c r="S56" i="194" s="1"/>
  <c r="S157" i="194" s="1"/>
  <c r="Y43" i="190"/>
  <c r="Y56" i="194" s="1"/>
  <c r="Y157" i="194" s="1"/>
  <c r="Q42" i="190"/>
  <c r="Q44" i="190"/>
  <c r="K42" i="190"/>
  <c r="K55" i="194" s="1"/>
  <c r="K156" i="194" s="1"/>
  <c r="V43" i="190"/>
  <c r="V56" i="194" s="1"/>
  <c r="V157" i="194" s="1"/>
  <c r="O43" i="190"/>
  <c r="O56" i="194" s="1"/>
  <c r="O157" i="194" s="1"/>
  <c r="M42" i="190"/>
  <c r="M55" i="194" s="1"/>
  <c r="M156" i="194" s="1"/>
  <c r="U42" i="190"/>
  <c r="U55" i="194" s="1"/>
  <c r="U156" i="194" s="1"/>
  <c r="X42" i="190"/>
  <c r="X55" i="194" s="1"/>
  <c r="X156" i="194" s="1"/>
  <c r="W43" i="190"/>
  <c r="W56" i="194" s="1"/>
  <c r="W157" i="194" s="1"/>
  <c r="S42" i="190"/>
  <c r="S55" i="194" s="1"/>
  <c r="S156" i="194" s="1"/>
  <c r="L42" i="190"/>
  <c r="L55" i="194" s="1"/>
  <c r="L156" i="194" s="1"/>
  <c r="P42" i="190"/>
  <c r="P55" i="194" s="1"/>
  <c r="P156" i="194" s="1"/>
  <c r="Y42" i="190"/>
  <c r="Y55" i="194" s="1"/>
  <c r="Y156" i="194" s="1"/>
  <c r="U43" i="190"/>
  <c r="U56" i="194" s="1"/>
  <c r="U157" i="194" s="1"/>
  <c r="X43" i="190"/>
  <c r="X56" i="194" s="1"/>
  <c r="X157" i="194" s="1"/>
  <c r="M43" i="190"/>
  <c r="M56" i="194" s="1"/>
  <c r="M157" i="194" s="1"/>
  <c r="K43" i="190"/>
  <c r="K56" i="194" s="1"/>
  <c r="K157" i="194" s="1"/>
  <c r="W42" i="190"/>
  <c r="W55" i="194" s="1"/>
  <c r="W156" i="194" s="1"/>
  <c r="N43" i="190"/>
  <c r="N56" i="194" s="1"/>
  <c r="N157" i="194" s="1"/>
  <c r="T43" i="190"/>
  <c r="T56" i="194" s="1"/>
  <c r="T157" i="194" s="1"/>
  <c r="N42" i="190"/>
  <c r="N55" i="194" s="1"/>
  <c r="N156" i="194" s="1"/>
  <c r="O42" i="190"/>
  <c r="O55" i="194" s="1"/>
  <c r="O156" i="194" s="1"/>
  <c r="J43" i="190"/>
  <c r="J56" i="194" s="1"/>
  <c r="J157" i="194" s="1"/>
  <c r="P43" i="190"/>
  <c r="P56" i="194" s="1"/>
  <c r="P157" i="194" s="1"/>
  <c r="R42" i="190"/>
  <c r="R55" i="194" s="1"/>
  <c r="R156" i="194" s="1"/>
  <c r="T42" i="190"/>
  <c r="T55" i="194" s="1"/>
  <c r="T156" i="194" s="1"/>
  <c r="L43" i="190"/>
  <c r="L56" i="194" s="1"/>
  <c r="L157" i="194" s="1"/>
  <c r="V179" i="193"/>
  <c r="V214" i="193" s="1"/>
  <c r="V244" i="193" s="1"/>
  <c r="X179" i="193"/>
  <c r="X214" i="193" s="1"/>
  <c r="X244" i="193" s="1"/>
  <c r="Y179" i="193"/>
  <c r="Y214" i="193" s="1"/>
  <c r="Y244" i="193" s="1"/>
  <c r="U179" i="193"/>
  <c r="U214" i="193" s="1"/>
  <c r="U244" i="193" s="1"/>
  <c r="R179" i="193"/>
  <c r="R214" i="193" s="1"/>
  <c r="R244" i="193" s="1"/>
  <c r="S179" i="193"/>
  <c r="S214" i="193" s="1"/>
  <c r="S244" i="193" s="1"/>
  <c r="W179" i="193"/>
  <c r="W214" i="193" s="1"/>
  <c r="W244" i="193" s="1"/>
  <c r="T179" i="193"/>
  <c r="T214" i="193" s="1"/>
  <c r="T244" i="193" s="1"/>
  <c r="H69" i="192"/>
  <c r="H73" i="192"/>
  <c r="H68" i="192"/>
  <c r="H66" i="192"/>
  <c r="H74" i="192"/>
  <c r="H72" i="192"/>
  <c r="H65" i="192"/>
  <c r="H70" i="192"/>
  <c r="H71" i="192"/>
  <c r="H67" i="192"/>
  <c r="V172" i="193"/>
  <c r="V207" i="193" s="1"/>
  <c r="V237" i="193" s="1"/>
  <c r="Y172" i="193"/>
  <c r="Y207" i="193" s="1"/>
  <c r="Y237" i="193" s="1"/>
  <c r="S172" i="193"/>
  <c r="S207" i="193" s="1"/>
  <c r="S237" i="193" s="1"/>
  <c r="U172" i="193"/>
  <c r="U207" i="193" s="1"/>
  <c r="U237" i="193" s="1"/>
  <c r="R172" i="193"/>
  <c r="R207" i="193" s="1"/>
  <c r="R237" i="193" s="1"/>
  <c r="T172" i="193"/>
  <c r="T207" i="193" s="1"/>
  <c r="T237" i="193" s="1"/>
  <c r="X172" i="193"/>
  <c r="X207" i="193" s="1"/>
  <c r="X237" i="193" s="1"/>
  <c r="W172" i="193"/>
  <c r="W207" i="193" s="1"/>
  <c r="W237" i="193" s="1"/>
  <c r="H34" i="189"/>
  <c r="H37" i="189"/>
  <c r="H38" i="189"/>
  <c r="H31" i="189"/>
  <c r="H32" i="189"/>
  <c r="H30" i="189"/>
  <c r="H36" i="189"/>
  <c r="H39" i="189"/>
  <c r="H35" i="189"/>
  <c r="H33" i="189"/>
  <c r="X180" i="193"/>
  <c r="X215" i="193" s="1"/>
  <c r="X245" i="193" s="1"/>
  <c r="R180" i="193"/>
  <c r="R215" i="193" s="1"/>
  <c r="R245" i="193" s="1"/>
  <c r="S180" i="193"/>
  <c r="S215" i="193" s="1"/>
  <c r="S245" i="193" s="1"/>
  <c r="V180" i="193"/>
  <c r="V215" i="193" s="1"/>
  <c r="V245" i="193" s="1"/>
  <c r="U180" i="193"/>
  <c r="U215" i="193" s="1"/>
  <c r="U245" i="193" s="1"/>
  <c r="Y180" i="193"/>
  <c r="Y215" i="193" s="1"/>
  <c r="Y245" i="193" s="1"/>
  <c r="T180" i="193"/>
  <c r="T215" i="193" s="1"/>
  <c r="T245" i="193" s="1"/>
  <c r="W180" i="193"/>
  <c r="W215" i="193" s="1"/>
  <c r="W245" i="193" s="1"/>
  <c r="V181" i="193"/>
  <c r="V216" i="193" s="1"/>
  <c r="V246" i="193" s="1"/>
  <c r="S181" i="193"/>
  <c r="S216" i="193" s="1"/>
  <c r="S246" i="193" s="1"/>
  <c r="T181" i="193"/>
  <c r="T216" i="193" s="1"/>
  <c r="T246" i="193" s="1"/>
  <c r="U181" i="193"/>
  <c r="U216" i="193" s="1"/>
  <c r="U246" i="193" s="1"/>
  <c r="R181" i="193"/>
  <c r="R216" i="193" s="1"/>
  <c r="R246" i="193" s="1"/>
  <c r="W181" i="193"/>
  <c r="W216" i="193" s="1"/>
  <c r="W246" i="193" s="1"/>
  <c r="X181" i="193"/>
  <c r="X216" i="193" s="1"/>
  <c r="X246" i="193" s="1"/>
  <c r="Y181" i="193"/>
  <c r="Y216" i="193" s="1"/>
  <c r="Y246" i="193" s="1"/>
  <c r="R178" i="193"/>
  <c r="R213" i="193" s="1"/>
  <c r="R243" i="193" s="1"/>
  <c r="Y178" i="193"/>
  <c r="Y213" i="193" s="1"/>
  <c r="Y243" i="193" s="1"/>
  <c r="W178" i="193"/>
  <c r="W213" i="193" s="1"/>
  <c r="W243" i="193" s="1"/>
  <c r="U178" i="193"/>
  <c r="U213" i="193" s="1"/>
  <c r="U243" i="193" s="1"/>
  <c r="S178" i="193"/>
  <c r="S213" i="193" s="1"/>
  <c r="S243" i="193" s="1"/>
  <c r="V178" i="193"/>
  <c r="V213" i="193" s="1"/>
  <c r="V243" i="193" s="1"/>
  <c r="T178" i="193"/>
  <c r="T213" i="193" s="1"/>
  <c r="T243" i="193" s="1"/>
  <c r="X178" i="193"/>
  <c r="X213" i="193" s="1"/>
  <c r="X243" i="193" s="1"/>
  <c r="U176" i="193"/>
  <c r="U211" i="193" s="1"/>
  <c r="U241" i="193" s="1"/>
  <c r="W176" i="193"/>
  <c r="W211" i="193" s="1"/>
  <c r="W241" i="193" s="1"/>
  <c r="V176" i="193"/>
  <c r="V211" i="193" s="1"/>
  <c r="V241" i="193" s="1"/>
  <c r="X176" i="193"/>
  <c r="X211" i="193" s="1"/>
  <c r="X241" i="193" s="1"/>
  <c r="R176" i="193"/>
  <c r="R211" i="193" s="1"/>
  <c r="R241" i="193" s="1"/>
  <c r="S176" i="193"/>
  <c r="S211" i="193" s="1"/>
  <c r="S241" i="193" s="1"/>
  <c r="T176" i="193"/>
  <c r="T211" i="193" s="1"/>
  <c r="T241" i="193" s="1"/>
  <c r="Y176" i="193"/>
  <c r="Y211" i="193" s="1"/>
  <c r="Y241" i="193" s="1"/>
  <c r="Y175" i="193"/>
  <c r="Y210" i="193" s="1"/>
  <c r="Y240" i="193" s="1"/>
  <c r="X175" i="193"/>
  <c r="X210" i="193" s="1"/>
  <c r="X240" i="193" s="1"/>
  <c r="W175" i="193"/>
  <c r="W210" i="193" s="1"/>
  <c r="W240" i="193" s="1"/>
  <c r="U175" i="193"/>
  <c r="U210" i="193" s="1"/>
  <c r="U240" i="193" s="1"/>
  <c r="V175" i="193"/>
  <c r="V210" i="193" s="1"/>
  <c r="V240" i="193" s="1"/>
  <c r="R175" i="193"/>
  <c r="R210" i="193" s="1"/>
  <c r="R240" i="193" s="1"/>
  <c r="T175" i="193"/>
  <c r="T210" i="193" s="1"/>
  <c r="T240" i="193" s="1"/>
  <c r="S175" i="193"/>
  <c r="S210" i="193" s="1"/>
  <c r="S240" i="193" s="1"/>
  <c r="W177" i="193" l="1"/>
  <c r="W212" i="193" s="1"/>
  <c r="W242" i="193" s="1"/>
  <c r="Y174" i="193"/>
  <c r="Y209" i="193" s="1"/>
  <c r="Y239" i="193" s="1"/>
  <c r="T174" i="193"/>
  <c r="T209" i="193" s="1"/>
  <c r="T239" i="193" s="1"/>
  <c r="V177" i="193"/>
  <c r="V212" i="193" s="1"/>
  <c r="V242" i="193" s="1"/>
  <c r="U177" i="193"/>
  <c r="U212" i="193" s="1"/>
  <c r="U242" i="193" s="1"/>
  <c r="X177" i="193"/>
  <c r="X212" i="193" s="1"/>
  <c r="X242" i="193" s="1"/>
  <c r="T177" i="193"/>
  <c r="T212" i="193" s="1"/>
  <c r="T242" i="193" s="1"/>
  <c r="R177" i="193"/>
  <c r="R212" i="193" s="1"/>
  <c r="R242" i="193" s="1"/>
  <c r="R250" i="193" s="1"/>
  <c r="R26" i="196" s="1"/>
  <c r="AH46" i="196" s="1"/>
  <c r="S177" i="193"/>
  <c r="S212" i="193" s="1"/>
  <c r="S242" i="193" s="1"/>
  <c r="J201" i="189"/>
  <c r="J74" i="191" s="1"/>
  <c r="J179" i="191" s="1"/>
  <c r="S230" i="189"/>
  <c r="S104" i="191" s="1"/>
  <c r="S209" i="191" s="1"/>
  <c r="Q172" i="189"/>
  <c r="Q44" i="191" s="1"/>
  <c r="Q149" i="191" s="1"/>
  <c r="S172" i="189"/>
  <c r="S44" i="191" s="1"/>
  <c r="S149" i="191" s="1"/>
  <c r="Q143" i="189"/>
  <c r="Q145" i="193" s="1"/>
  <c r="Q215" i="193" s="1"/>
  <c r="Q245" i="193" s="1"/>
  <c r="W143" i="189"/>
  <c r="T172" i="189"/>
  <c r="T44" i="191" s="1"/>
  <c r="T149" i="191" s="1"/>
  <c r="M201" i="189"/>
  <c r="M74" i="191" s="1"/>
  <c r="M179" i="191" s="1"/>
  <c r="R201" i="189"/>
  <c r="R74" i="191" s="1"/>
  <c r="R179" i="191" s="1"/>
  <c r="U230" i="189"/>
  <c r="U104" i="191" s="1"/>
  <c r="U209" i="191" s="1"/>
  <c r="N143" i="189"/>
  <c r="N145" i="193" s="1"/>
  <c r="N215" i="193" s="1"/>
  <c r="N245" i="193" s="1"/>
  <c r="N230" i="189"/>
  <c r="N104" i="191" s="1"/>
  <c r="N209" i="191" s="1"/>
  <c r="J230" i="189"/>
  <c r="J104" i="191" s="1"/>
  <c r="J209" i="191" s="1"/>
  <c r="T230" i="189"/>
  <c r="T104" i="191" s="1"/>
  <c r="T209" i="191" s="1"/>
  <c r="O143" i="189"/>
  <c r="O145" i="193" s="1"/>
  <c r="O215" i="193" s="1"/>
  <c r="O245" i="193" s="1"/>
  <c r="V201" i="189"/>
  <c r="V74" i="191" s="1"/>
  <c r="V179" i="191" s="1"/>
  <c r="L172" i="189"/>
  <c r="L44" i="191" s="1"/>
  <c r="L149" i="191" s="1"/>
  <c r="W230" i="189"/>
  <c r="W104" i="191" s="1"/>
  <c r="W209" i="191" s="1"/>
  <c r="R143" i="189"/>
  <c r="K201" i="189"/>
  <c r="K74" i="191" s="1"/>
  <c r="K179" i="191" s="1"/>
  <c r="Y143" i="189"/>
  <c r="R172" i="189"/>
  <c r="R44" i="191" s="1"/>
  <c r="R149" i="191" s="1"/>
  <c r="J172" i="189"/>
  <c r="J44" i="191" s="1"/>
  <c r="J149" i="191" s="1"/>
  <c r="Y201" i="189"/>
  <c r="Y74" i="191" s="1"/>
  <c r="Y179" i="191" s="1"/>
  <c r="K143" i="189"/>
  <c r="K145" i="193" s="1"/>
  <c r="K215" i="193" s="1"/>
  <c r="K245" i="193" s="1"/>
  <c r="K172" i="189"/>
  <c r="K44" i="191" s="1"/>
  <c r="K149" i="191" s="1"/>
  <c r="T201" i="189"/>
  <c r="T74" i="191" s="1"/>
  <c r="T179" i="191" s="1"/>
  <c r="T143" i="189"/>
  <c r="O201" i="189"/>
  <c r="O74" i="191" s="1"/>
  <c r="O179" i="191" s="1"/>
  <c r="S143" i="189"/>
  <c r="P172" i="189"/>
  <c r="P44" i="191" s="1"/>
  <c r="P149" i="191" s="1"/>
  <c r="X230" i="189"/>
  <c r="X104" i="191" s="1"/>
  <c r="X209" i="191" s="1"/>
  <c r="X143" i="189"/>
  <c r="M172" i="189"/>
  <c r="M44" i="191" s="1"/>
  <c r="M149" i="191" s="1"/>
  <c r="P201" i="189"/>
  <c r="P74" i="191" s="1"/>
  <c r="P179" i="191" s="1"/>
  <c r="U201" i="189"/>
  <c r="U74" i="191" s="1"/>
  <c r="U179" i="191" s="1"/>
  <c r="V143" i="189"/>
  <c r="V172" i="189"/>
  <c r="V44" i="191" s="1"/>
  <c r="V149" i="191" s="1"/>
  <c r="W201" i="189"/>
  <c r="W74" i="191" s="1"/>
  <c r="W179" i="191" s="1"/>
  <c r="P143" i="189"/>
  <c r="P145" i="193" s="1"/>
  <c r="P215" i="193" s="1"/>
  <c r="P245" i="193" s="1"/>
  <c r="R230" i="189"/>
  <c r="R104" i="191" s="1"/>
  <c r="R209" i="191" s="1"/>
  <c r="M230" i="189"/>
  <c r="M104" i="191" s="1"/>
  <c r="M209" i="191" s="1"/>
  <c r="J143" i="189"/>
  <c r="J145" i="193" s="1"/>
  <c r="J215" i="193" s="1"/>
  <c r="J245" i="193" s="1"/>
  <c r="K230" i="189"/>
  <c r="K104" i="191" s="1"/>
  <c r="K209" i="191" s="1"/>
  <c r="W172" i="189"/>
  <c r="W44" i="191" s="1"/>
  <c r="W149" i="191" s="1"/>
  <c r="Y230" i="189"/>
  <c r="Y104" i="191" s="1"/>
  <c r="Y209" i="191" s="1"/>
  <c r="Q230" i="189"/>
  <c r="Q104" i="191" s="1"/>
  <c r="Q209" i="191" s="1"/>
  <c r="Q201" i="189"/>
  <c r="Q74" i="191" s="1"/>
  <c r="Q179" i="191" s="1"/>
  <c r="O172" i="189"/>
  <c r="O44" i="191" s="1"/>
  <c r="O149" i="191" s="1"/>
  <c r="L230" i="189"/>
  <c r="L104" i="191" s="1"/>
  <c r="L209" i="191" s="1"/>
  <c r="L143" i="189"/>
  <c r="L145" i="193" s="1"/>
  <c r="L215" i="193" s="1"/>
  <c r="L245" i="193" s="1"/>
  <c r="Y172" i="189"/>
  <c r="Y44" i="191" s="1"/>
  <c r="Y149" i="191" s="1"/>
  <c r="P230" i="189"/>
  <c r="P104" i="191" s="1"/>
  <c r="P209" i="191" s="1"/>
  <c r="L201" i="189"/>
  <c r="L74" i="191" s="1"/>
  <c r="L179" i="191" s="1"/>
  <c r="O230" i="189"/>
  <c r="O104" i="191" s="1"/>
  <c r="O209" i="191" s="1"/>
  <c r="M143" i="189"/>
  <c r="M145" i="193" s="1"/>
  <c r="M215" i="193" s="1"/>
  <c r="M245" i="193" s="1"/>
  <c r="S201" i="189"/>
  <c r="S74" i="191" s="1"/>
  <c r="S179" i="191" s="1"/>
  <c r="U172" i="189"/>
  <c r="U44" i="191" s="1"/>
  <c r="U149" i="191" s="1"/>
  <c r="N201" i="189"/>
  <c r="N74" i="191" s="1"/>
  <c r="N179" i="191" s="1"/>
  <c r="U143" i="189"/>
  <c r="X172" i="189"/>
  <c r="X44" i="191" s="1"/>
  <c r="X149" i="191" s="1"/>
  <c r="X201" i="189"/>
  <c r="X74" i="191" s="1"/>
  <c r="X179" i="191" s="1"/>
  <c r="V230" i="189"/>
  <c r="V104" i="191" s="1"/>
  <c r="V209" i="191" s="1"/>
  <c r="N172" i="189"/>
  <c r="N44" i="191" s="1"/>
  <c r="N149" i="191" s="1"/>
  <c r="U250" i="193"/>
  <c r="U26" i="196" s="1"/>
  <c r="AK46" i="196" s="1"/>
  <c r="J183" i="192"/>
  <c r="J243" i="192" s="1"/>
  <c r="O153" i="192"/>
  <c r="M183" i="192"/>
  <c r="M243" i="192" s="1"/>
  <c r="K183" i="192"/>
  <c r="K243" i="192" s="1"/>
  <c r="L183" i="192"/>
  <c r="L243" i="192" s="1"/>
  <c r="Q153" i="192"/>
  <c r="J153" i="192"/>
  <c r="L153" i="192"/>
  <c r="O183" i="192"/>
  <c r="O243" i="192" s="1"/>
  <c r="N153" i="192"/>
  <c r="K153" i="192"/>
  <c r="M153" i="192"/>
  <c r="Q183" i="192"/>
  <c r="Q243" i="192" s="1"/>
  <c r="P183" i="192"/>
  <c r="P243" i="192" s="1"/>
  <c r="N183" i="192"/>
  <c r="N243" i="192" s="1"/>
  <c r="P153" i="192"/>
  <c r="Q106" i="191"/>
  <c r="Q211" i="191" s="1"/>
  <c r="Q46" i="191"/>
  <c r="Q151" i="191" s="1"/>
  <c r="Q76" i="191"/>
  <c r="Q181" i="191" s="1"/>
  <c r="P196" i="189"/>
  <c r="P69" i="191" s="1"/>
  <c r="P174" i="191" s="1"/>
  <c r="Q167" i="189"/>
  <c r="Q39" i="191" s="1"/>
  <c r="Q144" i="191" s="1"/>
  <c r="Q196" i="189"/>
  <c r="Q69" i="191" s="1"/>
  <c r="Q174" i="191" s="1"/>
  <c r="J167" i="189"/>
  <c r="J39" i="191" s="1"/>
  <c r="J144" i="191" s="1"/>
  <c r="V138" i="189"/>
  <c r="U167" i="189"/>
  <c r="U39" i="191" s="1"/>
  <c r="U144" i="191" s="1"/>
  <c r="J138" i="189"/>
  <c r="J140" i="193" s="1"/>
  <c r="J210" i="193" s="1"/>
  <c r="J240" i="193" s="1"/>
  <c r="W138" i="189"/>
  <c r="R196" i="189"/>
  <c r="R69" i="191" s="1"/>
  <c r="R174" i="191" s="1"/>
  <c r="Y167" i="189"/>
  <c r="Y39" i="191" s="1"/>
  <c r="Y144" i="191" s="1"/>
  <c r="R167" i="189"/>
  <c r="R39" i="191" s="1"/>
  <c r="R144" i="191" s="1"/>
  <c r="K138" i="189"/>
  <c r="K140" i="193" s="1"/>
  <c r="K210" i="193" s="1"/>
  <c r="K240" i="193" s="1"/>
  <c r="U138" i="189"/>
  <c r="J225" i="189"/>
  <c r="J99" i="191" s="1"/>
  <c r="J204" i="191" s="1"/>
  <c r="T196" i="189"/>
  <c r="T69" i="191" s="1"/>
  <c r="T174" i="191" s="1"/>
  <c r="X196" i="189"/>
  <c r="X69" i="191" s="1"/>
  <c r="X174" i="191" s="1"/>
  <c r="Y225" i="189"/>
  <c r="Y99" i="191" s="1"/>
  <c r="Y204" i="191" s="1"/>
  <c r="U225" i="189"/>
  <c r="U99" i="191" s="1"/>
  <c r="U204" i="191" s="1"/>
  <c r="Y138" i="189"/>
  <c r="L138" i="189"/>
  <c r="L140" i="193" s="1"/>
  <c r="L210" i="193" s="1"/>
  <c r="L240" i="193" s="1"/>
  <c r="L196" i="189"/>
  <c r="L69" i="191" s="1"/>
  <c r="L174" i="191" s="1"/>
  <c r="T167" i="189"/>
  <c r="T39" i="191" s="1"/>
  <c r="T144" i="191" s="1"/>
  <c r="O138" i="189"/>
  <c r="O140" i="193" s="1"/>
  <c r="O210" i="193" s="1"/>
  <c r="O240" i="193" s="1"/>
  <c r="P225" i="189"/>
  <c r="P99" i="191" s="1"/>
  <c r="P204" i="191" s="1"/>
  <c r="R225" i="189"/>
  <c r="R99" i="191" s="1"/>
  <c r="R204" i="191" s="1"/>
  <c r="V225" i="189"/>
  <c r="V99" i="191" s="1"/>
  <c r="V204" i="191" s="1"/>
  <c r="N225" i="189"/>
  <c r="N99" i="191" s="1"/>
  <c r="N204" i="191" s="1"/>
  <c r="O225" i="189"/>
  <c r="O99" i="191" s="1"/>
  <c r="O204" i="191" s="1"/>
  <c r="O196" i="189"/>
  <c r="O69" i="191" s="1"/>
  <c r="O174" i="191" s="1"/>
  <c r="W196" i="189"/>
  <c r="W69" i="191" s="1"/>
  <c r="W174" i="191" s="1"/>
  <c r="S167" i="189"/>
  <c r="S39" i="191" s="1"/>
  <c r="S144" i="191" s="1"/>
  <c r="N167" i="189"/>
  <c r="N39" i="191" s="1"/>
  <c r="N144" i="191" s="1"/>
  <c r="W167" i="189"/>
  <c r="W39" i="191" s="1"/>
  <c r="W144" i="191" s="1"/>
  <c r="S225" i="189"/>
  <c r="S99" i="191" s="1"/>
  <c r="S204" i="191" s="1"/>
  <c r="W225" i="189"/>
  <c r="W99" i="191" s="1"/>
  <c r="W204" i="191" s="1"/>
  <c r="T225" i="189"/>
  <c r="T99" i="191" s="1"/>
  <c r="T204" i="191" s="1"/>
  <c r="Q138" i="189"/>
  <c r="Q140" i="193" s="1"/>
  <c r="Q210" i="193" s="1"/>
  <c r="Q240" i="193" s="1"/>
  <c r="Q225" i="189"/>
  <c r="Q99" i="191" s="1"/>
  <c r="Q204" i="191" s="1"/>
  <c r="M167" i="189"/>
  <c r="M39" i="191" s="1"/>
  <c r="M144" i="191" s="1"/>
  <c r="N196" i="189"/>
  <c r="N69" i="191" s="1"/>
  <c r="N174" i="191" s="1"/>
  <c r="V196" i="189"/>
  <c r="V69" i="191" s="1"/>
  <c r="V174" i="191" s="1"/>
  <c r="O167" i="189"/>
  <c r="O39" i="191" s="1"/>
  <c r="O144" i="191" s="1"/>
  <c r="S138" i="189"/>
  <c r="J196" i="189"/>
  <c r="J69" i="191" s="1"/>
  <c r="J174" i="191" s="1"/>
  <c r="X138" i="189"/>
  <c r="X167" i="189"/>
  <c r="X39" i="191" s="1"/>
  <c r="X144" i="191" s="1"/>
  <c r="V167" i="189"/>
  <c r="V39" i="191" s="1"/>
  <c r="V144" i="191" s="1"/>
  <c r="P138" i="189"/>
  <c r="P140" i="193" s="1"/>
  <c r="P210" i="193" s="1"/>
  <c r="P240" i="193" s="1"/>
  <c r="L167" i="189"/>
  <c r="L39" i="191" s="1"/>
  <c r="L144" i="191" s="1"/>
  <c r="K196" i="189"/>
  <c r="K69" i="191" s="1"/>
  <c r="K174" i="191" s="1"/>
  <c r="M225" i="189"/>
  <c r="M99" i="191" s="1"/>
  <c r="M204" i="191" s="1"/>
  <c r="T138" i="189"/>
  <c r="U196" i="189"/>
  <c r="U69" i="191" s="1"/>
  <c r="U174" i="191" s="1"/>
  <c r="K225" i="189"/>
  <c r="K99" i="191" s="1"/>
  <c r="K204" i="191" s="1"/>
  <c r="P167" i="189"/>
  <c r="P39" i="191" s="1"/>
  <c r="P144" i="191" s="1"/>
  <c r="M196" i="189"/>
  <c r="M69" i="191" s="1"/>
  <c r="M174" i="191" s="1"/>
  <c r="S196" i="189"/>
  <c r="S69" i="191" s="1"/>
  <c r="S174" i="191" s="1"/>
  <c r="X225" i="189"/>
  <c r="X99" i="191" s="1"/>
  <c r="X204" i="191" s="1"/>
  <c r="R138" i="189"/>
  <c r="L225" i="189"/>
  <c r="L99" i="191" s="1"/>
  <c r="L204" i="191" s="1"/>
  <c r="Y196" i="189"/>
  <c r="Y69" i="191" s="1"/>
  <c r="Y174" i="191" s="1"/>
  <c r="M138" i="189"/>
  <c r="M140" i="193" s="1"/>
  <c r="M210" i="193" s="1"/>
  <c r="M240" i="193" s="1"/>
  <c r="K167" i="189"/>
  <c r="K39" i="191" s="1"/>
  <c r="K144" i="191" s="1"/>
  <c r="N138" i="189"/>
  <c r="N140" i="193" s="1"/>
  <c r="N210" i="193" s="1"/>
  <c r="N240" i="193" s="1"/>
  <c r="W171" i="189"/>
  <c r="W43" i="191" s="1"/>
  <c r="W148" i="191" s="1"/>
  <c r="N171" i="189"/>
  <c r="N43" i="191" s="1"/>
  <c r="N148" i="191" s="1"/>
  <c r="J200" i="189"/>
  <c r="J73" i="191" s="1"/>
  <c r="J178" i="191" s="1"/>
  <c r="S200" i="189"/>
  <c r="S73" i="191" s="1"/>
  <c r="S178" i="191" s="1"/>
  <c r="V171" i="189"/>
  <c r="V43" i="191" s="1"/>
  <c r="V148" i="191" s="1"/>
  <c r="X229" i="189"/>
  <c r="X103" i="191" s="1"/>
  <c r="X208" i="191" s="1"/>
  <c r="O171" i="189"/>
  <c r="O43" i="191" s="1"/>
  <c r="O148" i="191" s="1"/>
  <c r="K200" i="189"/>
  <c r="K73" i="191" s="1"/>
  <c r="K178" i="191" s="1"/>
  <c r="T229" i="189"/>
  <c r="T103" i="191" s="1"/>
  <c r="T208" i="191" s="1"/>
  <c r="N229" i="189"/>
  <c r="N103" i="191" s="1"/>
  <c r="N208" i="191" s="1"/>
  <c r="S142" i="189"/>
  <c r="U142" i="189"/>
  <c r="J142" i="189"/>
  <c r="J144" i="193" s="1"/>
  <c r="J214" i="193" s="1"/>
  <c r="J244" i="193" s="1"/>
  <c r="Y229" i="189"/>
  <c r="Y103" i="191" s="1"/>
  <c r="Y208" i="191" s="1"/>
  <c r="R200" i="189"/>
  <c r="R73" i="191" s="1"/>
  <c r="R178" i="191" s="1"/>
  <c r="K171" i="189"/>
  <c r="K43" i="191" s="1"/>
  <c r="K148" i="191" s="1"/>
  <c r="X200" i="189"/>
  <c r="X73" i="191" s="1"/>
  <c r="X178" i="191" s="1"/>
  <c r="S171" i="189"/>
  <c r="S43" i="191" s="1"/>
  <c r="S148" i="191" s="1"/>
  <c r="M142" i="189"/>
  <c r="M144" i="193" s="1"/>
  <c r="M214" i="193" s="1"/>
  <c r="M244" i="193" s="1"/>
  <c r="O142" i="189"/>
  <c r="O144" i="193" s="1"/>
  <c r="O214" i="193" s="1"/>
  <c r="O244" i="193" s="1"/>
  <c r="Q171" i="189"/>
  <c r="Q43" i="191" s="1"/>
  <c r="Q148" i="191" s="1"/>
  <c r="R229" i="189"/>
  <c r="R103" i="191" s="1"/>
  <c r="R208" i="191" s="1"/>
  <c r="Q229" i="189"/>
  <c r="Q103" i="191" s="1"/>
  <c r="Q208" i="191" s="1"/>
  <c r="M229" i="189"/>
  <c r="M103" i="191" s="1"/>
  <c r="M208" i="191" s="1"/>
  <c r="V229" i="189"/>
  <c r="V103" i="191" s="1"/>
  <c r="V208" i="191" s="1"/>
  <c r="L229" i="189"/>
  <c r="L103" i="191" s="1"/>
  <c r="L208" i="191" s="1"/>
  <c r="T171" i="189"/>
  <c r="T43" i="191" s="1"/>
  <c r="T148" i="191" s="1"/>
  <c r="M200" i="189"/>
  <c r="M73" i="191" s="1"/>
  <c r="M178" i="191" s="1"/>
  <c r="J171" i="189"/>
  <c r="J43" i="191" s="1"/>
  <c r="J148" i="191" s="1"/>
  <c r="U171" i="189"/>
  <c r="U43" i="191" s="1"/>
  <c r="U148" i="191" s="1"/>
  <c r="P171" i="189"/>
  <c r="P43" i="191" s="1"/>
  <c r="P148" i="191" s="1"/>
  <c r="Q200" i="189"/>
  <c r="Q73" i="191" s="1"/>
  <c r="Q178" i="191" s="1"/>
  <c r="T200" i="189"/>
  <c r="T73" i="191" s="1"/>
  <c r="T178" i="191" s="1"/>
  <c r="U229" i="189"/>
  <c r="U103" i="191" s="1"/>
  <c r="U208" i="191" s="1"/>
  <c r="Y142" i="189"/>
  <c r="M171" i="189"/>
  <c r="M43" i="191" s="1"/>
  <c r="M148" i="191" s="1"/>
  <c r="N200" i="189"/>
  <c r="N73" i="191" s="1"/>
  <c r="N178" i="191" s="1"/>
  <c r="P142" i="189"/>
  <c r="P144" i="193" s="1"/>
  <c r="P214" i="193" s="1"/>
  <c r="P244" i="193" s="1"/>
  <c r="O200" i="189"/>
  <c r="O73" i="191" s="1"/>
  <c r="O178" i="191" s="1"/>
  <c r="P229" i="189"/>
  <c r="P103" i="191" s="1"/>
  <c r="P208" i="191" s="1"/>
  <c r="S229" i="189"/>
  <c r="S103" i="191" s="1"/>
  <c r="S208" i="191" s="1"/>
  <c r="K142" i="189"/>
  <c r="K144" i="193" s="1"/>
  <c r="K214" i="193" s="1"/>
  <c r="K244" i="193" s="1"/>
  <c r="Y200" i="189"/>
  <c r="Y73" i="191" s="1"/>
  <c r="Y178" i="191" s="1"/>
  <c r="X171" i="189"/>
  <c r="X43" i="191" s="1"/>
  <c r="X148" i="191" s="1"/>
  <c r="T142" i="189"/>
  <c r="X142" i="189"/>
  <c r="L142" i="189"/>
  <c r="L144" i="193" s="1"/>
  <c r="L214" i="193" s="1"/>
  <c r="L244" i="193" s="1"/>
  <c r="Y171" i="189"/>
  <c r="Y43" i="191" s="1"/>
  <c r="Y148" i="191" s="1"/>
  <c r="Q142" i="189"/>
  <c r="Q144" i="193" s="1"/>
  <c r="Q214" i="193" s="1"/>
  <c r="Q244" i="193" s="1"/>
  <c r="V200" i="189"/>
  <c r="V73" i="191" s="1"/>
  <c r="V178" i="191" s="1"/>
  <c r="W200" i="189"/>
  <c r="W73" i="191" s="1"/>
  <c r="W178" i="191" s="1"/>
  <c r="L171" i="189"/>
  <c r="L43" i="191" s="1"/>
  <c r="L148" i="191" s="1"/>
  <c r="V142" i="189"/>
  <c r="W142" i="189"/>
  <c r="P200" i="189"/>
  <c r="P73" i="191" s="1"/>
  <c r="P178" i="191" s="1"/>
  <c r="L200" i="189"/>
  <c r="L73" i="191" s="1"/>
  <c r="L178" i="191" s="1"/>
  <c r="U200" i="189"/>
  <c r="U73" i="191" s="1"/>
  <c r="U178" i="191" s="1"/>
  <c r="J229" i="189"/>
  <c r="J103" i="191" s="1"/>
  <c r="J208" i="191" s="1"/>
  <c r="W229" i="189"/>
  <c r="W103" i="191" s="1"/>
  <c r="W208" i="191" s="1"/>
  <c r="O229" i="189"/>
  <c r="O103" i="191" s="1"/>
  <c r="O208" i="191" s="1"/>
  <c r="K229" i="189"/>
  <c r="K103" i="191" s="1"/>
  <c r="K208" i="191" s="1"/>
  <c r="N142" i="189"/>
  <c r="N144" i="193" s="1"/>
  <c r="N214" i="193" s="1"/>
  <c r="N244" i="193" s="1"/>
  <c r="R171" i="189"/>
  <c r="R43" i="191" s="1"/>
  <c r="R148" i="191" s="1"/>
  <c r="R142" i="189"/>
  <c r="S250" i="193"/>
  <c r="S26" i="196" s="1"/>
  <c r="AI46" i="196" s="1"/>
  <c r="M155" i="192"/>
  <c r="Q155" i="192"/>
  <c r="K155" i="192"/>
  <c r="J185" i="192"/>
  <c r="J245" i="192" s="1"/>
  <c r="N185" i="192"/>
  <c r="N245" i="192" s="1"/>
  <c r="L155" i="192"/>
  <c r="O155" i="192"/>
  <c r="K185" i="192"/>
  <c r="K245" i="192" s="1"/>
  <c r="P155" i="192"/>
  <c r="L185" i="192"/>
  <c r="L245" i="192" s="1"/>
  <c r="J155" i="192"/>
  <c r="Q185" i="192"/>
  <c r="Q245" i="192" s="1"/>
  <c r="M185" i="192"/>
  <c r="M245" i="192" s="1"/>
  <c r="P185" i="192"/>
  <c r="P245" i="192" s="1"/>
  <c r="O185" i="192"/>
  <c r="O245" i="192" s="1"/>
  <c r="N155" i="192"/>
  <c r="K146" i="192"/>
  <c r="K176" i="192"/>
  <c r="K236" i="192" s="1"/>
  <c r="M176" i="192"/>
  <c r="M236" i="192" s="1"/>
  <c r="Q176" i="192"/>
  <c r="Q236" i="192" s="1"/>
  <c r="N146" i="192"/>
  <c r="Q146" i="192"/>
  <c r="P176" i="192"/>
  <c r="P236" i="192" s="1"/>
  <c r="L146" i="192"/>
  <c r="P146" i="192"/>
  <c r="O146" i="192"/>
  <c r="M146" i="192"/>
  <c r="N176" i="192"/>
  <c r="N236" i="192" s="1"/>
  <c r="O176" i="192"/>
  <c r="O236" i="192" s="1"/>
  <c r="L176" i="192"/>
  <c r="L236" i="192" s="1"/>
  <c r="J176" i="192"/>
  <c r="J236" i="192" s="1"/>
  <c r="J146" i="192"/>
  <c r="P169" i="189"/>
  <c r="P41" i="191" s="1"/>
  <c r="P146" i="191" s="1"/>
  <c r="X169" i="189"/>
  <c r="X41" i="191" s="1"/>
  <c r="X146" i="191" s="1"/>
  <c r="J227" i="189"/>
  <c r="J101" i="191" s="1"/>
  <c r="J206" i="191" s="1"/>
  <c r="U169" i="189"/>
  <c r="U41" i="191" s="1"/>
  <c r="U146" i="191" s="1"/>
  <c r="T198" i="189"/>
  <c r="T71" i="191" s="1"/>
  <c r="T176" i="191" s="1"/>
  <c r="U198" i="189"/>
  <c r="U71" i="191" s="1"/>
  <c r="U176" i="191" s="1"/>
  <c r="O198" i="189"/>
  <c r="O71" i="191" s="1"/>
  <c r="O176" i="191" s="1"/>
  <c r="R198" i="189"/>
  <c r="R71" i="191" s="1"/>
  <c r="R176" i="191" s="1"/>
  <c r="T227" i="189"/>
  <c r="T101" i="191" s="1"/>
  <c r="T206" i="191" s="1"/>
  <c r="Y140" i="189"/>
  <c r="L169" i="189"/>
  <c r="L41" i="191" s="1"/>
  <c r="L146" i="191" s="1"/>
  <c r="V140" i="189"/>
  <c r="M227" i="189"/>
  <c r="M101" i="191" s="1"/>
  <c r="M206" i="191" s="1"/>
  <c r="L198" i="189"/>
  <c r="L71" i="191" s="1"/>
  <c r="L176" i="191" s="1"/>
  <c r="U227" i="189"/>
  <c r="U101" i="191" s="1"/>
  <c r="U206" i="191" s="1"/>
  <c r="O140" i="189"/>
  <c r="O142" i="193" s="1"/>
  <c r="O212" i="193" s="1"/>
  <c r="O242" i="193" s="1"/>
  <c r="M169" i="189"/>
  <c r="M41" i="191" s="1"/>
  <c r="M146" i="191" s="1"/>
  <c r="J169" i="189"/>
  <c r="J41" i="191" s="1"/>
  <c r="J146" i="191" s="1"/>
  <c r="M140" i="189"/>
  <c r="M142" i="193" s="1"/>
  <c r="M212" i="193" s="1"/>
  <c r="M242" i="193" s="1"/>
  <c r="R140" i="189"/>
  <c r="M198" i="189"/>
  <c r="M71" i="191" s="1"/>
  <c r="M176" i="191" s="1"/>
  <c r="J140" i="189"/>
  <c r="J142" i="193" s="1"/>
  <c r="J212" i="193" s="1"/>
  <c r="J242" i="193" s="1"/>
  <c r="X198" i="189"/>
  <c r="X71" i="191" s="1"/>
  <c r="X176" i="191" s="1"/>
  <c r="N198" i="189"/>
  <c r="N71" i="191" s="1"/>
  <c r="N176" i="191" s="1"/>
  <c r="K227" i="189"/>
  <c r="K101" i="191" s="1"/>
  <c r="K206" i="191" s="1"/>
  <c r="N140" i="189"/>
  <c r="N142" i="193" s="1"/>
  <c r="N212" i="193" s="1"/>
  <c r="N242" i="193" s="1"/>
  <c r="P140" i="189"/>
  <c r="P142" i="193" s="1"/>
  <c r="P212" i="193" s="1"/>
  <c r="P242" i="193" s="1"/>
  <c r="J198" i="189"/>
  <c r="J71" i="191" s="1"/>
  <c r="J176" i="191" s="1"/>
  <c r="R227" i="189"/>
  <c r="R101" i="191" s="1"/>
  <c r="R206" i="191" s="1"/>
  <c r="Q169" i="189"/>
  <c r="Q41" i="191" s="1"/>
  <c r="Q146" i="191" s="1"/>
  <c r="L227" i="189"/>
  <c r="L101" i="191" s="1"/>
  <c r="L206" i="191" s="1"/>
  <c r="S198" i="189"/>
  <c r="S71" i="191" s="1"/>
  <c r="S176" i="191" s="1"/>
  <c r="P227" i="189"/>
  <c r="P101" i="191" s="1"/>
  <c r="P206" i="191" s="1"/>
  <c r="Y198" i="189"/>
  <c r="Y71" i="191" s="1"/>
  <c r="Y176" i="191" s="1"/>
  <c r="K169" i="189"/>
  <c r="K41" i="191" s="1"/>
  <c r="K146" i="191" s="1"/>
  <c r="K198" i="189"/>
  <c r="K71" i="191" s="1"/>
  <c r="K176" i="191" s="1"/>
  <c r="P198" i="189"/>
  <c r="P71" i="191" s="1"/>
  <c r="P176" i="191" s="1"/>
  <c r="Y169" i="189"/>
  <c r="Y41" i="191" s="1"/>
  <c r="Y146" i="191" s="1"/>
  <c r="Q198" i="189"/>
  <c r="Q71" i="191" s="1"/>
  <c r="Q176" i="191" s="1"/>
  <c r="S140" i="189"/>
  <c r="T169" i="189"/>
  <c r="T41" i="191" s="1"/>
  <c r="T146" i="191" s="1"/>
  <c r="W140" i="189"/>
  <c r="O227" i="189"/>
  <c r="O101" i="191" s="1"/>
  <c r="O206" i="191" s="1"/>
  <c r="R169" i="189"/>
  <c r="R41" i="191" s="1"/>
  <c r="R146" i="191" s="1"/>
  <c r="X227" i="189"/>
  <c r="X101" i="191" s="1"/>
  <c r="X206" i="191" s="1"/>
  <c r="N169" i="189"/>
  <c r="N41" i="191" s="1"/>
  <c r="N146" i="191" s="1"/>
  <c r="U140" i="189"/>
  <c r="S169" i="189"/>
  <c r="S41" i="191" s="1"/>
  <c r="S146" i="191" s="1"/>
  <c r="V227" i="189"/>
  <c r="V101" i="191" s="1"/>
  <c r="V206" i="191" s="1"/>
  <c r="N227" i="189"/>
  <c r="N101" i="191" s="1"/>
  <c r="N206" i="191" s="1"/>
  <c r="W169" i="189"/>
  <c r="W41" i="191" s="1"/>
  <c r="W146" i="191" s="1"/>
  <c r="Y227" i="189"/>
  <c r="Y101" i="191" s="1"/>
  <c r="Y206" i="191" s="1"/>
  <c r="O169" i="189"/>
  <c r="O41" i="191" s="1"/>
  <c r="O146" i="191" s="1"/>
  <c r="V198" i="189"/>
  <c r="V71" i="191" s="1"/>
  <c r="V176" i="191" s="1"/>
  <c r="X140" i="189"/>
  <c r="W227" i="189"/>
  <c r="W101" i="191" s="1"/>
  <c r="W206" i="191" s="1"/>
  <c r="T140" i="189"/>
  <c r="W198" i="189"/>
  <c r="W71" i="191" s="1"/>
  <c r="W176" i="191" s="1"/>
  <c r="K140" i="189"/>
  <c r="K142" i="193" s="1"/>
  <c r="K212" i="193" s="1"/>
  <c r="K242" i="193" s="1"/>
  <c r="S227" i="189"/>
  <c r="S101" i="191" s="1"/>
  <c r="S206" i="191" s="1"/>
  <c r="Q227" i="189"/>
  <c r="Q101" i="191" s="1"/>
  <c r="Q206" i="191" s="1"/>
  <c r="Q140" i="189"/>
  <c r="Q142" i="193" s="1"/>
  <c r="Q212" i="193" s="1"/>
  <c r="Q242" i="193" s="1"/>
  <c r="V169" i="189"/>
  <c r="V41" i="191" s="1"/>
  <c r="V146" i="191" s="1"/>
  <c r="L140" i="189"/>
  <c r="L142" i="193" s="1"/>
  <c r="L212" i="193" s="1"/>
  <c r="L242" i="193" s="1"/>
  <c r="S168" i="189"/>
  <c r="S40" i="191" s="1"/>
  <c r="S145" i="191" s="1"/>
  <c r="M226" i="189"/>
  <c r="M100" i="191" s="1"/>
  <c r="M205" i="191" s="1"/>
  <c r="Y139" i="189"/>
  <c r="R139" i="189"/>
  <c r="R197" i="189"/>
  <c r="R70" i="191" s="1"/>
  <c r="R175" i="191" s="1"/>
  <c r="N139" i="189"/>
  <c r="N141" i="193" s="1"/>
  <c r="N211" i="193" s="1"/>
  <c r="N241" i="193" s="1"/>
  <c r="W139" i="189"/>
  <c r="V226" i="189"/>
  <c r="V100" i="191" s="1"/>
  <c r="V205" i="191" s="1"/>
  <c r="N226" i="189"/>
  <c r="N100" i="191" s="1"/>
  <c r="N205" i="191" s="1"/>
  <c r="Y168" i="189"/>
  <c r="Y40" i="191" s="1"/>
  <c r="Y145" i="191" s="1"/>
  <c r="P168" i="189"/>
  <c r="P40" i="191" s="1"/>
  <c r="P145" i="191" s="1"/>
  <c r="M168" i="189"/>
  <c r="M40" i="191" s="1"/>
  <c r="M145" i="191" s="1"/>
  <c r="M139" i="189"/>
  <c r="M141" i="193" s="1"/>
  <c r="M211" i="193" s="1"/>
  <c r="M241" i="193" s="1"/>
  <c r="V139" i="189"/>
  <c r="N168" i="189"/>
  <c r="N40" i="191" s="1"/>
  <c r="N145" i="191" s="1"/>
  <c r="V197" i="189"/>
  <c r="V70" i="191" s="1"/>
  <c r="V175" i="191" s="1"/>
  <c r="W226" i="189"/>
  <c r="W100" i="191" s="1"/>
  <c r="W205" i="191" s="1"/>
  <c r="U226" i="189"/>
  <c r="U100" i="191" s="1"/>
  <c r="U205" i="191" s="1"/>
  <c r="U139" i="189"/>
  <c r="J139" i="189"/>
  <c r="J141" i="193" s="1"/>
  <c r="J211" i="193" s="1"/>
  <c r="J241" i="193" s="1"/>
  <c r="P226" i="189"/>
  <c r="P100" i="191" s="1"/>
  <c r="P205" i="191" s="1"/>
  <c r="L226" i="189"/>
  <c r="L100" i="191" s="1"/>
  <c r="L205" i="191" s="1"/>
  <c r="X197" i="189"/>
  <c r="X70" i="191" s="1"/>
  <c r="X175" i="191" s="1"/>
  <c r="K226" i="189"/>
  <c r="K100" i="191" s="1"/>
  <c r="K205" i="191" s="1"/>
  <c r="M197" i="189"/>
  <c r="M70" i="191" s="1"/>
  <c r="M175" i="191" s="1"/>
  <c r="Y197" i="189"/>
  <c r="Y70" i="191" s="1"/>
  <c r="Y175" i="191" s="1"/>
  <c r="K168" i="189"/>
  <c r="K40" i="191" s="1"/>
  <c r="K145" i="191" s="1"/>
  <c r="T197" i="189"/>
  <c r="T70" i="191" s="1"/>
  <c r="T175" i="191" s="1"/>
  <c r="V168" i="189"/>
  <c r="V40" i="191" s="1"/>
  <c r="V145" i="191" s="1"/>
  <c r="N197" i="189"/>
  <c r="N70" i="191" s="1"/>
  <c r="N175" i="191" s="1"/>
  <c r="S139" i="189"/>
  <c r="J168" i="189"/>
  <c r="J40" i="191" s="1"/>
  <c r="J145" i="191" s="1"/>
  <c r="K197" i="189"/>
  <c r="K70" i="191" s="1"/>
  <c r="K175" i="191" s="1"/>
  <c r="U168" i="189"/>
  <c r="U40" i="191" s="1"/>
  <c r="U145" i="191" s="1"/>
  <c r="T139" i="189"/>
  <c r="T168" i="189"/>
  <c r="T40" i="191" s="1"/>
  <c r="T145" i="191" s="1"/>
  <c r="S226" i="189"/>
  <c r="S100" i="191" s="1"/>
  <c r="S205" i="191" s="1"/>
  <c r="Q226" i="189"/>
  <c r="Q100" i="191" s="1"/>
  <c r="Q205" i="191" s="1"/>
  <c r="L139" i="189"/>
  <c r="L141" i="193" s="1"/>
  <c r="L211" i="193" s="1"/>
  <c r="L241" i="193" s="1"/>
  <c r="O168" i="189"/>
  <c r="O40" i="191" s="1"/>
  <c r="O145" i="191" s="1"/>
  <c r="O226" i="189"/>
  <c r="O100" i="191" s="1"/>
  <c r="O205" i="191" s="1"/>
  <c r="R168" i="189"/>
  <c r="R40" i="191" s="1"/>
  <c r="R145" i="191" s="1"/>
  <c r="Q139" i="189"/>
  <c r="Q141" i="193" s="1"/>
  <c r="Q211" i="193" s="1"/>
  <c r="Q241" i="193" s="1"/>
  <c r="O139" i="189"/>
  <c r="O141" i="193" s="1"/>
  <c r="O211" i="193" s="1"/>
  <c r="O241" i="193" s="1"/>
  <c r="L197" i="189"/>
  <c r="L70" i="191" s="1"/>
  <c r="L175" i="191" s="1"/>
  <c r="K139" i="189"/>
  <c r="K141" i="193" s="1"/>
  <c r="K211" i="193" s="1"/>
  <c r="K241" i="193" s="1"/>
  <c r="P139" i="189"/>
  <c r="P141" i="193" s="1"/>
  <c r="P211" i="193" s="1"/>
  <c r="P241" i="193" s="1"/>
  <c r="P197" i="189"/>
  <c r="P70" i="191" s="1"/>
  <c r="P175" i="191" s="1"/>
  <c r="X226" i="189"/>
  <c r="X100" i="191" s="1"/>
  <c r="X205" i="191" s="1"/>
  <c r="T226" i="189"/>
  <c r="T100" i="191" s="1"/>
  <c r="T205" i="191" s="1"/>
  <c r="S197" i="189"/>
  <c r="S70" i="191" s="1"/>
  <c r="S175" i="191" s="1"/>
  <c r="O197" i="189"/>
  <c r="O70" i="191" s="1"/>
  <c r="O175" i="191" s="1"/>
  <c r="Y226" i="189"/>
  <c r="Y100" i="191" s="1"/>
  <c r="Y205" i="191" s="1"/>
  <c r="W197" i="189"/>
  <c r="W70" i="191" s="1"/>
  <c r="W175" i="191" s="1"/>
  <c r="W168" i="189"/>
  <c r="W40" i="191" s="1"/>
  <c r="W145" i="191" s="1"/>
  <c r="X168" i="189"/>
  <c r="X40" i="191" s="1"/>
  <c r="X145" i="191" s="1"/>
  <c r="X139" i="189"/>
  <c r="U197" i="189"/>
  <c r="U70" i="191" s="1"/>
  <c r="U175" i="191" s="1"/>
  <c r="L168" i="189"/>
  <c r="L40" i="191" s="1"/>
  <c r="L145" i="191" s="1"/>
  <c r="Q197" i="189"/>
  <c r="Q70" i="191" s="1"/>
  <c r="Q175" i="191" s="1"/>
  <c r="Q168" i="189"/>
  <c r="Q40" i="191" s="1"/>
  <c r="Q145" i="191" s="1"/>
  <c r="J197" i="189"/>
  <c r="J70" i="191" s="1"/>
  <c r="J175" i="191" s="1"/>
  <c r="J226" i="189"/>
  <c r="J100" i="191" s="1"/>
  <c r="J205" i="191" s="1"/>
  <c r="R226" i="189"/>
  <c r="R100" i="191" s="1"/>
  <c r="R205" i="191" s="1"/>
  <c r="K177" i="192"/>
  <c r="K237" i="192" s="1"/>
  <c r="P177" i="192"/>
  <c r="P237" i="192" s="1"/>
  <c r="L147" i="192"/>
  <c r="N177" i="192"/>
  <c r="N237" i="192" s="1"/>
  <c r="P147" i="192"/>
  <c r="N147" i="192"/>
  <c r="O177" i="192"/>
  <c r="O237" i="192" s="1"/>
  <c r="J177" i="192"/>
  <c r="J237" i="192" s="1"/>
  <c r="K147" i="192"/>
  <c r="Q177" i="192"/>
  <c r="Q237" i="192" s="1"/>
  <c r="M147" i="192"/>
  <c r="Q147" i="192"/>
  <c r="M177" i="192"/>
  <c r="M237" i="192" s="1"/>
  <c r="J147" i="192"/>
  <c r="L177" i="192"/>
  <c r="L237" i="192" s="1"/>
  <c r="O147" i="192"/>
  <c r="V250" i="193"/>
  <c r="V26" i="196" s="1"/>
  <c r="AL46" i="196" s="1"/>
  <c r="J149" i="192"/>
  <c r="L179" i="192"/>
  <c r="L239" i="192" s="1"/>
  <c r="J179" i="192"/>
  <c r="J239" i="192" s="1"/>
  <c r="N149" i="192"/>
  <c r="K179" i="192"/>
  <c r="K239" i="192" s="1"/>
  <c r="P149" i="192"/>
  <c r="O179" i="192"/>
  <c r="O239" i="192" s="1"/>
  <c r="Q149" i="192"/>
  <c r="L149" i="192"/>
  <c r="K149" i="192"/>
  <c r="Q179" i="192"/>
  <c r="Q239" i="192" s="1"/>
  <c r="P179" i="192"/>
  <c r="P239" i="192" s="1"/>
  <c r="M179" i="192"/>
  <c r="M239" i="192" s="1"/>
  <c r="N179" i="192"/>
  <c r="N239" i="192" s="1"/>
  <c r="M149" i="192"/>
  <c r="O149" i="192"/>
  <c r="Q173" i="189"/>
  <c r="Q45" i="191" s="1"/>
  <c r="Q150" i="191" s="1"/>
  <c r="S231" i="189"/>
  <c r="S105" i="191" s="1"/>
  <c r="S210" i="191" s="1"/>
  <c r="M202" i="189"/>
  <c r="M75" i="191" s="1"/>
  <c r="M180" i="191" s="1"/>
  <c r="T231" i="189"/>
  <c r="T105" i="191" s="1"/>
  <c r="T210" i="191" s="1"/>
  <c r="T173" i="189"/>
  <c r="T45" i="191" s="1"/>
  <c r="T150" i="191" s="1"/>
  <c r="L173" i="189"/>
  <c r="L45" i="191" s="1"/>
  <c r="L150" i="191" s="1"/>
  <c r="V173" i="189"/>
  <c r="V45" i="191" s="1"/>
  <c r="V150" i="191" s="1"/>
  <c r="Y173" i="189"/>
  <c r="Y45" i="191" s="1"/>
  <c r="Y150" i="191" s="1"/>
  <c r="T144" i="189"/>
  <c r="N202" i="189"/>
  <c r="N75" i="191" s="1"/>
  <c r="N180" i="191" s="1"/>
  <c r="P144" i="189"/>
  <c r="P146" i="193" s="1"/>
  <c r="P216" i="193" s="1"/>
  <c r="P246" i="193" s="1"/>
  <c r="O202" i="189"/>
  <c r="O75" i="191" s="1"/>
  <c r="O180" i="191" s="1"/>
  <c r="V202" i="189"/>
  <c r="V75" i="191" s="1"/>
  <c r="V180" i="191" s="1"/>
  <c r="S202" i="189"/>
  <c r="S75" i="191" s="1"/>
  <c r="S180" i="191" s="1"/>
  <c r="K231" i="189"/>
  <c r="K105" i="191" s="1"/>
  <c r="K210" i="191" s="1"/>
  <c r="M173" i="189"/>
  <c r="M45" i="191" s="1"/>
  <c r="M150" i="191" s="1"/>
  <c r="K144" i="189"/>
  <c r="K146" i="193" s="1"/>
  <c r="K216" i="193" s="1"/>
  <c r="K246" i="193" s="1"/>
  <c r="P202" i="189"/>
  <c r="P75" i="191" s="1"/>
  <c r="P180" i="191" s="1"/>
  <c r="S144" i="189"/>
  <c r="X144" i="189"/>
  <c r="M144" i="189"/>
  <c r="M146" i="193" s="1"/>
  <c r="M216" i="193" s="1"/>
  <c r="M246" i="193" s="1"/>
  <c r="S173" i="189"/>
  <c r="S45" i="191" s="1"/>
  <c r="S150" i="191" s="1"/>
  <c r="R173" i="189"/>
  <c r="R45" i="191" s="1"/>
  <c r="R150" i="191" s="1"/>
  <c r="W173" i="189"/>
  <c r="W45" i="191" s="1"/>
  <c r="W150" i="191" s="1"/>
  <c r="X202" i="189"/>
  <c r="X75" i="191" s="1"/>
  <c r="X180" i="191" s="1"/>
  <c r="L144" i="189"/>
  <c r="L146" i="193" s="1"/>
  <c r="L216" i="193" s="1"/>
  <c r="L246" i="193" s="1"/>
  <c r="O144" i="189"/>
  <c r="O146" i="193" s="1"/>
  <c r="O216" i="193" s="1"/>
  <c r="O246" i="193" s="1"/>
  <c r="N173" i="189"/>
  <c r="N45" i="191" s="1"/>
  <c r="N150" i="191" s="1"/>
  <c r="Y202" i="189"/>
  <c r="Y75" i="191" s="1"/>
  <c r="Y180" i="191" s="1"/>
  <c r="Q231" i="189"/>
  <c r="Q105" i="191" s="1"/>
  <c r="Q210" i="191" s="1"/>
  <c r="K202" i="189"/>
  <c r="K75" i="191" s="1"/>
  <c r="K180" i="191" s="1"/>
  <c r="K173" i="189"/>
  <c r="K45" i="191" s="1"/>
  <c r="K150" i="191" s="1"/>
  <c r="T202" i="189"/>
  <c r="T75" i="191" s="1"/>
  <c r="T180" i="191" s="1"/>
  <c r="U202" i="189"/>
  <c r="U75" i="191" s="1"/>
  <c r="U180" i="191" s="1"/>
  <c r="J231" i="189"/>
  <c r="J105" i="191" s="1"/>
  <c r="J210" i="191" s="1"/>
  <c r="J173" i="189"/>
  <c r="J45" i="191" s="1"/>
  <c r="J150" i="191" s="1"/>
  <c r="N144" i="189"/>
  <c r="N146" i="193" s="1"/>
  <c r="N216" i="193" s="1"/>
  <c r="N246" i="193" s="1"/>
  <c r="Y144" i="189"/>
  <c r="J202" i="189"/>
  <c r="J75" i="191" s="1"/>
  <c r="J180" i="191" s="1"/>
  <c r="W144" i="189"/>
  <c r="M231" i="189"/>
  <c r="M105" i="191" s="1"/>
  <c r="M210" i="191" s="1"/>
  <c r="Q202" i="189"/>
  <c r="Q75" i="191" s="1"/>
  <c r="Q180" i="191" s="1"/>
  <c r="R202" i="189"/>
  <c r="R75" i="191" s="1"/>
  <c r="R180" i="191" s="1"/>
  <c r="V231" i="189"/>
  <c r="V105" i="191" s="1"/>
  <c r="V210" i="191" s="1"/>
  <c r="L202" i="189"/>
  <c r="L75" i="191" s="1"/>
  <c r="L180" i="191" s="1"/>
  <c r="N231" i="189"/>
  <c r="N105" i="191" s="1"/>
  <c r="N210" i="191" s="1"/>
  <c r="P173" i="189"/>
  <c r="P45" i="191" s="1"/>
  <c r="P150" i="191" s="1"/>
  <c r="U173" i="189"/>
  <c r="U45" i="191" s="1"/>
  <c r="U150" i="191" s="1"/>
  <c r="P231" i="189"/>
  <c r="P105" i="191" s="1"/>
  <c r="P210" i="191" s="1"/>
  <c r="X231" i="189"/>
  <c r="X105" i="191" s="1"/>
  <c r="X210" i="191" s="1"/>
  <c r="J144" i="189"/>
  <c r="J146" i="193" s="1"/>
  <c r="J216" i="193" s="1"/>
  <c r="J246" i="193" s="1"/>
  <c r="O173" i="189"/>
  <c r="O45" i="191" s="1"/>
  <c r="O150" i="191" s="1"/>
  <c r="O231" i="189"/>
  <c r="O105" i="191" s="1"/>
  <c r="O210" i="191" s="1"/>
  <c r="Q144" i="189"/>
  <c r="Q146" i="193" s="1"/>
  <c r="Q216" i="193" s="1"/>
  <c r="Q246" i="193" s="1"/>
  <c r="V144" i="189"/>
  <c r="W231" i="189"/>
  <c r="W105" i="191" s="1"/>
  <c r="W210" i="191" s="1"/>
  <c r="Y231" i="189"/>
  <c r="Y105" i="191" s="1"/>
  <c r="Y210" i="191" s="1"/>
  <c r="W202" i="189"/>
  <c r="W75" i="191" s="1"/>
  <c r="W180" i="191" s="1"/>
  <c r="U144" i="189"/>
  <c r="R144" i="189"/>
  <c r="R231" i="189"/>
  <c r="R105" i="191" s="1"/>
  <c r="R210" i="191" s="1"/>
  <c r="X173" i="189"/>
  <c r="X45" i="191" s="1"/>
  <c r="X150" i="191" s="1"/>
  <c r="U231" i="189"/>
  <c r="U105" i="191" s="1"/>
  <c r="U210" i="191" s="1"/>
  <c r="L231" i="189"/>
  <c r="L105" i="191" s="1"/>
  <c r="L210" i="191" s="1"/>
  <c r="O141" i="189"/>
  <c r="O143" i="193" s="1"/>
  <c r="O213" i="193" s="1"/>
  <c r="O243" i="193" s="1"/>
  <c r="T141" i="189"/>
  <c r="J228" i="189"/>
  <c r="J102" i="191" s="1"/>
  <c r="J207" i="191" s="1"/>
  <c r="K228" i="189"/>
  <c r="K102" i="191" s="1"/>
  <c r="K207" i="191" s="1"/>
  <c r="J141" i="189"/>
  <c r="J143" i="193" s="1"/>
  <c r="J213" i="193" s="1"/>
  <c r="J243" i="193" s="1"/>
  <c r="V199" i="189"/>
  <c r="V72" i="191" s="1"/>
  <c r="V177" i="191" s="1"/>
  <c r="R199" i="189"/>
  <c r="R72" i="191" s="1"/>
  <c r="R177" i="191" s="1"/>
  <c r="K170" i="189"/>
  <c r="K42" i="191" s="1"/>
  <c r="K147" i="191" s="1"/>
  <c r="N170" i="189"/>
  <c r="N42" i="191" s="1"/>
  <c r="N147" i="191" s="1"/>
  <c r="Q228" i="189"/>
  <c r="Q102" i="191" s="1"/>
  <c r="Q207" i="191" s="1"/>
  <c r="W199" i="189"/>
  <c r="W72" i="191" s="1"/>
  <c r="W177" i="191" s="1"/>
  <c r="Y199" i="189"/>
  <c r="Y72" i="191" s="1"/>
  <c r="Y177" i="191" s="1"/>
  <c r="M170" i="189"/>
  <c r="M42" i="191" s="1"/>
  <c r="M147" i="191" s="1"/>
  <c r="P228" i="189"/>
  <c r="P102" i="191" s="1"/>
  <c r="P207" i="191" s="1"/>
  <c r="X199" i="189"/>
  <c r="X72" i="191" s="1"/>
  <c r="X177" i="191" s="1"/>
  <c r="Q170" i="189"/>
  <c r="Q42" i="191" s="1"/>
  <c r="Q147" i="191" s="1"/>
  <c r="X141" i="189"/>
  <c r="L170" i="189"/>
  <c r="L42" i="191" s="1"/>
  <c r="L147" i="191" s="1"/>
  <c r="L141" i="189"/>
  <c r="L143" i="193" s="1"/>
  <c r="L213" i="193" s="1"/>
  <c r="L243" i="193" s="1"/>
  <c r="T199" i="189"/>
  <c r="T72" i="191" s="1"/>
  <c r="T177" i="191" s="1"/>
  <c r="Y141" i="189"/>
  <c r="V170" i="189"/>
  <c r="V42" i="191" s="1"/>
  <c r="V147" i="191" s="1"/>
  <c r="V228" i="189"/>
  <c r="V102" i="191" s="1"/>
  <c r="V207" i="191" s="1"/>
  <c r="K199" i="189"/>
  <c r="K72" i="191" s="1"/>
  <c r="K177" i="191" s="1"/>
  <c r="P199" i="189"/>
  <c r="P72" i="191" s="1"/>
  <c r="P177" i="191" s="1"/>
  <c r="T170" i="189"/>
  <c r="T42" i="191" s="1"/>
  <c r="T147" i="191" s="1"/>
  <c r="L228" i="189"/>
  <c r="L102" i="191" s="1"/>
  <c r="L207" i="191" s="1"/>
  <c r="P141" i="189"/>
  <c r="P143" i="193" s="1"/>
  <c r="P213" i="193" s="1"/>
  <c r="P243" i="193" s="1"/>
  <c r="L199" i="189"/>
  <c r="L72" i="191" s="1"/>
  <c r="L177" i="191" s="1"/>
  <c r="Q141" i="189"/>
  <c r="Q143" i="193" s="1"/>
  <c r="Q213" i="193" s="1"/>
  <c r="Q243" i="193" s="1"/>
  <c r="T228" i="189"/>
  <c r="T102" i="191" s="1"/>
  <c r="T207" i="191" s="1"/>
  <c r="U141" i="189"/>
  <c r="O228" i="189"/>
  <c r="O102" i="191" s="1"/>
  <c r="O207" i="191" s="1"/>
  <c r="W170" i="189"/>
  <c r="W42" i="191" s="1"/>
  <c r="W147" i="191" s="1"/>
  <c r="S228" i="189"/>
  <c r="S102" i="191" s="1"/>
  <c r="S207" i="191" s="1"/>
  <c r="P170" i="189"/>
  <c r="P42" i="191" s="1"/>
  <c r="P147" i="191" s="1"/>
  <c r="N141" i="189"/>
  <c r="N143" i="193" s="1"/>
  <c r="N213" i="193" s="1"/>
  <c r="N243" i="193" s="1"/>
  <c r="R228" i="189"/>
  <c r="R102" i="191" s="1"/>
  <c r="R207" i="191" s="1"/>
  <c r="U170" i="189"/>
  <c r="U42" i="191" s="1"/>
  <c r="U147" i="191" s="1"/>
  <c r="Q199" i="189"/>
  <c r="Q72" i="191" s="1"/>
  <c r="Q177" i="191" s="1"/>
  <c r="Y228" i="189"/>
  <c r="Y102" i="191" s="1"/>
  <c r="Y207" i="191" s="1"/>
  <c r="X228" i="189"/>
  <c r="X102" i="191" s="1"/>
  <c r="X207" i="191" s="1"/>
  <c r="M228" i="189"/>
  <c r="M102" i="191" s="1"/>
  <c r="M207" i="191" s="1"/>
  <c r="J170" i="189"/>
  <c r="J42" i="191" s="1"/>
  <c r="J147" i="191" s="1"/>
  <c r="U228" i="189"/>
  <c r="U102" i="191" s="1"/>
  <c r="U207" i="191" s="1"/>
  <c r="S170" i="189"/>
  <c r="S42" i="191" s="1"/>
  <c r="S147" i="191" s="1"/>
  <c r="R170" i="189"/>
  <c r="R42" i="191" s="1"/>
  <c r="R147" i="191" s="1"/>
  <c r="R141" i="189"/>
  <c r="X170" i="189"/>
  <c r="X42" i="191" s="1"/>
  <c r="X147" i="191" s="1"/>
  <c r="M199" i="189"/>
  <c r="M72" i="191" s="1"/>
  <c r="M177" i="191" s="1"/>
  <c r="U199" i="189"/>
  <c r="U72" i="191" s="1"/>
  <c r="U177" i="191" s="1"/>
  <c r="O199" i="189"/>
  <c r="O72" i="191" s="1"/>
  <c r="O177" i="191" s="1"/>
  <c r="Y170" i="189"/>
  <c r="Y42" i="191" s="1"/>
  <c r="Y147" i="191" s="1"/>
  <c r="M141" i="189"/>
  <c r="M143" i="193" s="1"/>
  <c r="M213" i="193" s="1"/>
  <c r="M243" i="193" s="1"/>
  <c r="S199" i="189"/>
  <c r="S72" i="191" s="1"/>
  <c r="S177" i="191" s="1"/>
  <c r="V141" i="189"/>
  <c r="N228" i="189"/>
  <c r="N102" i="191" s="1"/>
  <c r="N207" i="191" s="1"/>
  <c r="S141" i="189"/>
  <c r="K141" i="189"/>
  <c r="K143" i="193" s="1"/>
  <c r="K213" i="193" s="1"/>
  <c r="K243" i="193" s="1"/>
  <c r="W228" i="189"/>
  <c r="W102" i="191" s="1"/>
  <c r="W207" i="191" s="1"/>
  <c r="O170" i="189"/>
  <c r="O42" i="191" s="1"/>
  <c r="O147" i="191" s="1"/>
  <c r="W141" i="189"/>
  <c r="N199" i="189"/>
  <c r="N72" i="191" s="1"/>
  <c r="N177" i="191" s="1"/>
  <c r="J199" i="189"/>
  <c r="J72" i="191" s="1"/>
  <c r="J177" i="191" s="1"/>
  <c r="W250" i="193"/>
  <c r="W26" i="196" s="1"/>
  <c r="AM46" i="196" s="1"/>
  <c r="O178" i="192"/>
  <c r="O238" i="192" s="1"/>
  <c r="N148" i="192"/>
  <c r="J148" i="192"/>
  <c r="J178" i="192"/>
  <c r="J238" i="192" s="1"/>
  <c r="O148" i="192"/>
  <c r="M178" i="192"/>
  <c r="M238" i="192" s="1"/>
  <c r="P148" i="192"/>
  <c r="K148" i="192"/>
  <c r="Q178" i="192"/>
  <c r="Q238" i="192" s="1"/>
  <c r="Q148" i="192"/>
  <c r="P178" i="192"/>
  <c r="P238" i="192" s="1"/>
  <c r="L148" i="192"/>
  <c r="L178" i="192"/>
  <c r="L238" i="192" s="1"/>
  <c r="N178" i="192"/>
  <c r="N238" i="192" s="1"/>
  <c r="M148" i="192"/>
  <c r="K178" i="192"/>
  <c r="K238" i="192" s="1"/>
  <c r="L184" i="192"/>
  <c r="L244" i="192" s="1"/>
  <c r="P184" i="192"/>
  <c r="P244" i="192" s="1"/>
  <c r="M184" i="192"/>
  <c r="M244" i="192" s="1"/>
  <c r="J154" i="192"/>
  <c r="Q154" i="192"/>
  <c r="N154" i="192"/>
  <c r="J184" i="192"/>
  <c r="J244" i="192" s="1"/>
  <c r="K154" i="192"/>
  <c r="O154" i="192"/>
  <c r="P154" i="192"/>
  <c r="N184" i="192"/>
  <c r="N244" i="192" s="1"/>
  <c r="M154" i="192"/>
  <c r="K184" i="192"/>
  <c r="K244" i="192" s="1"/>
  <c r="L154" i="192"/>
  <c r="Q184" i="192"/>
  <c r="Q244" i="192" s="1"/>
  <c r="O184" i="192"/>
  <c r="O244" i="192" s="1"/>
  <c r="J55" i="194"/>
  <c r="J156" i="194" s="1"/>
  <c r="H48" i="190" a="1"/>
  <c r="H48" i="190" s="1"/>
  <c r="M165" i="189"/>
  <c r="M37" i="191" s="1"/>
  <c r="M142" i="191" s="1"/>
  <c r="V194" i="189"/>
  <c r="V67" i="191" s="1"/>
  <c r="V172" i="191" s="1"/>
  <c r="K223" i="189"/>
  <c r="K97" i="191" s="1"/>
  <c r="K202" i="191" s="1"/>
  <c r="P194" i="189"/>
  <c r="P67" i="191" s="1"/>
  <c r="P172" i="191" s="1"/>
  <c r="J165" i="189"/>
  <c r="J37" i="191" s="1"/>
  <c r="J142" i="191" s="1"/>
  <c r="U194" i="189"/>
  <c r="U67" i="191" s="1"/>
  <c r="U172" i="191" s="1"/>
  <c r="S165" i="189"/>
  <c r="S37" i="191" s="1"/>
  <c r="S142" i="191" s="1"/>
  <c r="S194" i="189"/>
  <c r="S67" i="191" s="1"/>
  <c r="S172" i="191" s="1"/>
  <c r="U165" i="189"/>
  <c r="U37" i="191" s="1"/>
  <c r="U142" i="191" s="1"/>
  <c r="W223" i="189"/>
  <c r="W97" i="191" s="1"/>
  <c r="W202" i="191" s="1"/>
  <c r="M136" i="189"/>
  <c r="M138" i="193" s="1"/>
  <c r="M208" i="193" s="1"/>
  <c r="M238" i="193" s="1"/>
  <c r="O194" i="189"/>
  <c r="O67" i="191" s="1"/>
  <c r="O172" i="191" s="1"/>
  <c r="K194" i="189"/>
  <c r="K67" i="191" s="1"/>
  <c r="K172" i="191" s="1"/>
  <c r="S223" i="189"/>
  <c r="S97" i="191" s="1"/>
  <c r="S202" i="191" s="1"/>
  <c r="W136" i="189"/>
  <c r="M194" i="189"/>
  <c r="M67" i="191" s="1"/>
  <c r="M172" i="191" s="1"/>
  <c r="X223" i="189"/>
  <c r="X97" i="191" s="1"/>
  <c r="X202" i="191" s="1"/>
  <c r="Y223" i="189"/>
  <c r="Y97" i="191" s="1"/>
  <c r="Y202" i="191" s="1"/>
  <c r="N223" i="189"/>
  <c r="N97" i="191" s="1"/>
  <c r="N202" i="191" s="1"/>
  <c r="Q136" i="189"/>
  <c r="Q138" i="193" s="1"/>
  <c r="Q208" i="193" s="1"/>
  <c r="Q238" i="193" s="1"/>
  <c r="T165" i="189"/>
  <c r="T37" i="191" s="1"/>
  <c r="T142" i="191" s="1"/>
  <c r="W165" i="189"/>
  <c r="W37" i="191" s="1"/>
  <c r="W142" i="191" s="1"/>
  <c r="R165" i="189"/>
  <c r="R37" i="191" s="1"/>
  <c r="R142" i="191" s="1"/>
  <c r="X136" i="189"/>
  <c r="J136" i="189"/>
  <c r="J138" i="193" s="1"/>
  <c r="J208" i="193" s="1"/>
  <c r="J238" i="193" s="1"/>
  <c r="R136" i="189"/>
  <c r="M223" i="189"/>
  <c r="M97" i="191" s="1"/>
  <c r="M202" i="191" s="1"/>
  <c r="S136" i="189"/>
  <c r="Y194" i="189"/>
  <c r="Y67" i="191" s="1"/>
  <c r="Y172" i="191" s="1"/>
  <c r="J194" i="189"/>
  <c r="J67" i="191" s="1"/>
  <c r="J172" i="191" s="1"/>
  <c r="V136" i="189"/>
  <c r="K165" i="189"/>
  <c r="K37" i="191" s="1"/>
  <c r="K142" i="191" s="1"/>
  <c r="O136" i="189"/>
  <c r="O138" i="193" s="1"/>
  <c r="O208" i="193" s="1"/>
  <c r="O238" i="193" s="1"/>
  <c r="Y165" i="189"/>
  <c r="Y37" i="191" s="1"/>
  <c r="Y142" i="191" s="1"/>
  <c r="V223" i="189"/>
  <c r="V97" i="191" s="1"/>
  <c r="V202" i="191" s="1"/>
  <c r="J223" i="189"/>
  <c r="J97" i="191" s="1"/>
  <c r="J202" i="191" s="1"/>
  <c r="L136" i="189"/>
  <c r="L138" i="193" s="1"/>
  <c r="L208" i="193" s="1"/>
  <c r="L238" i="193" s="1"/>
  <c r="P223" i="189"/>
  <c r="P97" i="191" s="1"/>
  <c r="P202" i="191" s="1"/>
  <c r="Q165" i="189"/>
  <c r="Q37" i="191" s="1"/>
  <c r="Q142" i="191" s="1"/>
  <c r="W194" i="189"/>
  <c r="W67" i="191" s="1"/>
  <c r="W172" i="191" s="1"/>
  <c r="V165" i="189"/>
  <c r="V37" i="191" s="1"/>
  <c r="V142" i="191" s="1"/>
  <c r="X194" i="189"/>
  <c r="X67" i="191" s="1"/>
  <c r="X172" i="191" s="1"/>
  <c r="K136" i="189"/>
  <c r="K138" i="193" s="1"/>
  <c r="K208" i="193" s="1"/>
  <c r="K238" i="193" s="1"/>
  <c r="P136" i="189"/>
  <c r="P138" i="193" s="1"/>
  <c r="P208" i="193" s="1"/>
  <c r="P238" i="193" s="1"/>
  <c r="T223" i="189"/>
  <c r="T97" i="191" s="1"/>
  <c r="T202" i="191" s="1"/>
  <c r="T136" i="189"/>
  <c r="N165" i="189"/>
  <c r="N37" i="191" s="1"/>
  <c r="N142" i="191" s="1"/>
  <c r="L223" i="189"/>
  <c r="L97" i="191" s="1"/>
  <c r="L202" i="191" s="1"/>
  <c r="X165" i="189"/>
  <c r="X37" i="191" s="1"/>
  <c r="X142" i="191" s="1"/>
  <c r="O165" i="189"/>
  <c r="O37" i="191" s="1"/>
  <c r="O142" i="191" s="1"/>
  <c r="N136" i="189"/>
  <c r="N138" i="193" s="1"/>
  <c r="N208" i="193" s="1"/>
  <c r="N238" i="193" s="1"/>
  <c r="U223" i="189"/>
  <c r="U97" i="191" s="1"/>
  <c r="U202" i="191" s="1"/>
  <c r="Y136" i="189"/>
  <c r="Q223" i="189"/>
  <c r="Q97" i="191" s="1"/>
  <c r="Q202" i="191" s="1"/>
  <c r="R194" i="189"/>
  <c r="R67" i="191" s="1"/>
  <c r="R172" i="191" s="1"/>
  <c r="P165" i="189"/>
  <c r="P37" i="191" s="1"/>
  <c r="P142" i="191" s="1"/>
  <c r="R223" i="189"/>
  <c r="R97" i="191" s="1"/>
  <c r="R202" i="191" s="1"/>
  <c r="Q194" i="189"/>
  <c r="Q67" i="191" s="1"/>
  <c r="Q172" i="191" s="1"/>
  <c r="T194" i="189"/>
  <c r="T67" i="191" s="1"/>
  <c r="T172" i="191" s="1"/>
  <c r="O223" i="189"/>
  <c r="O97" i="191" s="1"/>
  <c r="O202" i="191" s="1"/>
  <c r="U136" i="189"/>
  <c r="L194" i="189"/>
  <c r="L67" i="191" s="1"/>
  <c r="L172" i="191" s="1"/>
  <c r="L165" i="189"/>
  <c r="L37" i="191" s="1"/>
  <c r="L142" i="191" s="1"/>
  <c r="N194" i="189"/>
  <c r="N67" i="191" s="1"/>
  <c r="N172" i="191" s="1"/>
  <c r="S193" i="189"/>
  <c r="S66" i="191" s="1"/>
  <c r="S171" i="191" s="1"/>
  <c r="Q222" i="189"/>
  <c r="Q96" i="191" s="1"/>
  <c r="Q201" i="191" s="1"/>
  <c r="T222" i="189"/>
  <c r="T96" i="191" s="1"/>
  <c r="T201" i="191" s="1"/>
  <c r="O193" i="189"/>
  <c r="O66" i="191" s="1"/>
  <c r="O171" i="191" s="1"/>
  <c r="Y222" i="189"/>
  <c r="Y96" i="191" s="1"/>
  <c r="Y201" i="191" s="1"/>
  <c r="P135" i="189"/>
  <c r="P137" i="193" s="1"/>
  <c r="P207" i="193" s="1"/>
  <c r="P237" i="193" s="1"/>
  <c r="K135" i="189"/>
  <c r="K137" i="193" s="1"/>
  <c r="K207" i="193" s="1"/>
  <c r="K237" i="193" s="1"/>
  <c r="Q193" i="189"/>
  <c r="Q66" i="191" s="1"/>
  <c r="Q171" i="191" s="1"/>
  <c r="J222" i="189"/>
  <c r="J96" i="191" s="1"/>
  <c r="J201" i="191" s="1"/>
  <c r="K222" i="189"/>
  <c r="K96" i="191" s="1"/>
  <c r="K201" i="191" s="1"/>
  <c r="S135" i="189"/>
  <c r="V135" i="189"/>
  <c r="T135" i="189"/>
  <c r="U164" i="189"/>
  <c r="N193" i="189"/>
  <c r="N66" i="191" s="1"/>
  <c r="N171" i="191" s="1"/>
  <c r="P193" i="189"/>
  <c r="P66" i="191" s="1"/>
  <c r="P171" i="191" s="1"/>
  <c r="L222" i="189"/>
  <c r="L96" i="191" s="1"/>
  <c r="L201" i="191" s="1"/>
  <c r="Q164" i="189"/>
  <c r="U193" i="189"/>
  <c r="U66" i="191" s="1"/>
  <c r="U171" i="191" s="1"/>
  <c r="Y193" i="189"/>
  <c r="Y66" i="191" s="1"/>
  <c r="Y171" i="191" s="1"/>
  <c r="N222" i="189"/>
  <c r="N96" i="191" s="1"/>
  <c r="N201" i="191" s="1"/>
  <c r="N135" i="189"/>
  <c r="N137" i="193" s="1"/>
  <c r="N207" i="193" s="1"/>
  <c r="N237" i="193" s="1"/>
  <c r="X135" i="189"/>
  <c r="R164" i="189"/>
  <c r="T164" i="189"/>
  <c r="J193" i="189"/>
  <c r="J66" i="191" s="1"/>
  <c r="J171" i="191" s="1"/>
  <c r="L135" i="189"/>
  <c r="L137" i="193" s="1"/>
  <c r="L207" i="193" s="1"/>
  <c r="L237" i="193" s="1"/>
  <c r="L193" i="189"/>
  <c r="L66" i="191" s="1"/>
  <c r="L171" i="191" s="1"/>
  <c r="S164" i="189"/>
  <c r="X222" i="189"/>
  <c r="X96" i="191" s="1"/>
  <c r="X201" i="191" s="1"/>
  <c r="J164" i="189"/>
  <c r="M135" i="189"/>
  <c r="M137" i="193" s="1"/>
  <c r="M207" i="193" s="1"/>
  <c r="M237" i="193" s="1"/>
  <c r="X193" i="189"/>
  <c r="X66" i="191" s="1"/>
  <c r="X171" i="191" s="1"/>
  <c r="N164" i="189"/>
  <c r="O164" i="189"/>
  <c r="Y164" i="189"/>
  <c r="S222" i="189"/>
  <c r="S96" i="191" s="1"/>
  <c r="S201" i="191" s="1"/>
  <c r="R193" i="189"/>
  <c r="R66" i="191" s="1"/>
  <c r="R171" i="191" s="1"/>
  <c r="M222" i="189"/>
  <c r="M96" i="191" s="1"/>
  <c r="M201" i="191" s="1"/>
  <c r="V222" i="189"/>
  <c r="V96" i="191" s="1"/>
  <c r="V201" i="191" s="1"/>
  <c r="P164" i="189"/>
  <c r="P222" i="189"/>
  <c r="P96" i="191" s="1"/>
  <c r="P201" i="191" s="1"/>
  <c r="W222" i="189"/>
  <c r="W96" i="191" s="1"/>
  <c r="W201" i="191" s="1"/>
  <c r="T193" i="189"/>
  <c r="T66" i="191" s="1"/>
  <c r="T171" i="191" s="1"/>
  <c r="R135" i="189"/>
  <c r="V193" i="189"/>
  <c r="V66" i="191" s="1"/>
  <c r="V171" i="191" s="1"/>
  <c r="J135" i="189"/>
  <c r="J137" i="193" s="1"/>
  <c r="V164" i="189"/>
  <c r="L164" i="189"/>
  <c r="R222" i="189"/>
  <c r="R96" i="191" s="1"/>
  <c r="R201" i="191" s="1"/>
  <c r="W135" i="189"/>
  <c r="W193" i="189"/>
  <c r="W66" i="191" s="1"/>
  <c r="W171" i="191" s="1"/>
  <c r="U222" i="189"/>
  <c r="U96" i="191" s="1"/>
  <c r="U201" i="191" s="1"/>
  <c r="X164" i="189"/>
  <c r="Q135" i="189"/>
  <c r="Q137" i="193" s="1"/>
  <c r="Q207" i="193" s="1"/>
  <c r="Q237" i="193" s="1"/>
  <c r="M193" i="189"/>
  <c r="M66" i="191" s="1"/>
  <c r="M171" i="191" s="1"/>
  <c r="M164" i="189"/>
  <c r="O135" i="189"/>
  <c r="O137" i="193" s="1"/>
  <c r="O207" i="193" s="1"/>
  <c r="O237" i="193" s="1"/>
  <c r="Y135" i="189"/>
  <c r="O222" i="189"/>
  <c r="O96" i="191" s="1"/>
  <c r="O201" i="191" s="1"/>
  <c r="W164" i="189"/>
  <c r="K193" i="189"/>
  <c r="K66" i="191" s="1"/>
  <c r="K171" i="191" s="1"/>
  <c r="K164" i="189"/>
  <c r="U135" i="189"/>
  <c r="X250" i="193"/>
  <c r="X26" i="196" s="1"/>
  <c r="AN46" i="196" s="1"/>
  <c r="Q152" i="192"/>
  <c r="M182" i="192"/>
  <c r="M242" i="192" s="1"/>
  <c r="M152" i="192"/>
  <c r="N152" i="192"/>
  <c r="L182" i="192"/>
  <c r="L242" i="192" s="1"/>
  <c r="P182" i="192"/>
  <c r="P242" i="192" s="1"/>
  <c r="Q182" i="192"/>
  <c r="Q242" i="192" s="1"/>
  <c r="K182" i="192"/>
  <c r="K242" i="192" s="1"/>
  <c r="J182" i="192"/>
  <c r="J242" i="192" s="1"/>
  <c r="O152" i="192"/>
  <c r="K152" i="192"/>
  <c r="N182" i="192"/>
  <c r="N242" i="192" s="1"/>
  <c r="J152" i="192"/>
  <c r="O182" i="192"/>
  <c r="O242" i="192" s="1"/>
  <c r="P152" i="192"/>
  <c r="L152" i="192"/>
  <c r="M180" i="192"/>
  <c r="M240" i="192" s="1"/>
  <c r="K150" i="192"/>
  <c r="P150" i="192"/>
  <c r="N150" i="192"/>
  <c r="O150" i="192"/>
  <c r="N180" i="192"/>
  <c r="N240" i="192" s="1"/>
  <c r="J180" i="192"/>
  <c r="J240" i="192" s="1"/>
  <c r="K180" i="192"/>
  <c r="K240" i="192" s="1"/>
  <c r="J150" i="192"/>
  <c r="L150" i="192"/>
  <c r="P180" i="192"/>
  <c r="P240" i="192" s="1"/>
  <c r="Q150" i="192"/>
  <c r="M150" i="192"/>
  <c r="Q180" i="192"/>
  <c r="Q240" i="192" s="1"/>
  <c r="L180" i="192"/>
  <c r="L240" i="192" s="1"/>
  <c r="O180" i="192"/>
  <c r="O240" i="192" s="1"/>
  <c r="Y250" i="193"/>
  <c r="Y26" i="196" s="1"/>
  <c r="AO46" i="196" s="1"/>
  <c r="J224" i="189"/>
  <c r="J98" i="191" s="1"/>
  <c r="J203" i="191" s="1"/>
  <c r="K166" i="189"/>
  <c r="K38" i="191" s="1"/>
  <c r="K143" i="191" s="1"/>
  <c r="T166" i="189"/>
  <c r="T38" i="191" s="1"/>
  <c r="T143" i="191" s="1"/>
  <c r="K195" i="189"/>
  <c r="K68" i="191" s="1"/>
  <c r="K173" i="191" s="1"/>
  <c r="T224" i="189"/>
  <c r="T98" i="191" s="1"/>
  <c r="T203" i="191" s="1"/>
  <c r="P137" i="189"/>
  <c r="P139" i="193" s="1"/>
  <c r="P209" i="193" s="1"/>
  <c r="P239" i="193" s="1"/>
  <c r="O166" i="189"/>
  <c r="O38" i="191" s="1"/>
  <c r="O143" i="191" s="1"/>
  <c r="Y166" i="189"/>
  <c r="Y38" i="191" s="1"/>
  <c r="Y143" i="191" s="1"/>
  <c r="O137" i="189"/>
  <c r="O139" i="193" s="1"/>
  <c r="O209" i="193" s="1"/>
  <c r="O239" i="193" s="1"/>
  <c r="P195" i="189"/>
  <c r="P68" i="191" s="1"/>
  <c r="P173" i="191" s="1"/>
  <c r="Q195" i="189"/>
  <c r="Q68" i="191" s="1"/>
  <c r="Q173" i="191" s="1"/>
  <c r="S166" i="189"/>
  <c r="S38" i="191" s="1"/>
  <c r="S143" i="191" s="1"/>
  <c r="L166" i="189"/>
  <c r="L38" i="191" s="1"/>
  <c r="L143" i="191" s="1"/>
  <c r="J195" i="189"/>
  <c r="J68" i="191" s="1"/>
  <c r="J173" i="191" s="1"/>
  <c r="R195" i="189"/>
  <c r="R68" i="191" s="1"/>
  <c r="R173" i="191" s="1"/>
  <c r="R166" i="189"/>
  <c r="R38" i="191" s="1"/>
  <c r="R143" i="191" s="1"/>
  <c r="P166" i="189"/>
  <c r="P38" i="191" s="1"/>
  <c r="P143" i="191" s="1"/>
  <c r="J166" i="189"/>
  <c r="J38" i="191" s="1"/>
  <c r="J143" i="191" s="1"/>
  <c r="Q224" i="189"/>
  <c r="Q98" i="191" s="1"/>
  <c r="Q203" i="191" s="1"/>
  <c r="S137" i="189"/>
  <c r="N137" i="189"/>
  <c r="N139" i="193" s="1"/>
  <c r="N209" i="193" s="1"/>
  <c r="N239" i="193" s="1"/>
  <c r="X166" i="189"/>
  <c r="X38" i="191" s="1"/>
  <c r="X143" i="191" s="1"/>
  <c r="Y137" i="189"/>
  <c r="R224" i="189"/>
  <c r="R98" i="191" s="1"/>
  <c r="R203" i="191" s="1"/>
  <c r="Y224" i="189"/>
  <c r="Y98" i="191" s="1"/>
  <c r="Y203" i="191" s="1"/>
  <c r="U224" i="189"/>
  <c r="U98" i="191" s="1"/>
  <c r="U203" i="191" s="1"/>
  <c r="M195" i="189"/>
  <c r="M68" i="191" s="1"/>
  <c r="M173" i="191" s="1"/>
  <c r="U166" i="189"/>
  <c r="U38" i="191" s="1"/>
  <c r="U143" i="191" s="1"/>
  <c r="N195" i="189"/>
  <c r="N68" i="191" s="1"/>
  <c r="N173" i="191" s="1"/>
  <c r="W224" i="189"/>
  <c r="W98" i="191" s="1"/>
  <c r="W203" i="191" s="1"/>
  <c r="N224" i="189"/>
  <c r="N98" i="191" s="1"/>
  <c r="N203" i="191" s="1"/>
  <c r="M224" i="189"/>
  <c r="M98" i="191" s="1"/>
  <c r="M203" i="191" s="1"/>
  <c r="X137" i="189"/>
  <c r="W137" i="189"/>
  <c r="W195" i="189"/>
  <c r="W68" i="191" s="1"/>
  <c r="W173" i="191" s="1"/>
  <c r="J137" i="189"/>
  <c r="J139" i="193" s="1"/>
  <c r="J209" i="193" s="1"/>
  <c r="J239" i="193" s="1"/>
  <c r="W166" i="189"/>
  <c r="W38" i="191" s="1"/>
  <c r="W143" i="191" s="1"/>
  <c r="X224" i="189"/>
  <c r="X98" i="191" s="1"/>
  <c r="X203" i="191" s="1"/>
  <c r="U137" i="189"/>
  <c r="M137" i="189"/>
  <c r="M139" i="193" s="1"/>
  <c r="M209" i="193" s="1"/>
  <c r="M239" i="193" s="1"/>
  <c r="L195" i="189"/>
  <c r="L68" i="191" s="1"/>
  <c r="L173" i="191" s="1"/>
  <c r="K224" i="189"/>
  <c r="K98" i="191" s="1"/>
  <c r="K203" i="191" s="1"/>
  <c r="O195" i="189"/>
  <c r="O68" i="191" s="1"/>
  <c r="O173" i="191" s="1"/>
  <c r="L224" i="189"/>
  <c r="L98" i="191" s="1"/>
  <c r="L203" i="191" s="1"/>
  <c r="S195" i="189"/>
  <c r="S68" i="191" s="1"/>
  <c r="S173" i="191" s="1"/>
  <c r="L137" i="189"/>
  <c r="L139" i="193" s="1"/>
  <c r="L209" i="193" s="1"/>
  <c r="L239" i="193" s="1"/>
  <c r="Y195" i="189"/>
  <c r="Y68" i="191" s="1"/>
  <c r="Y173" i="191" s="1"/>
  <c r="K137" i="189"/>
  <c r="K139" i="193" s="1"/>
  <c r="K209" i="193" s="1"/>
  <c r="K239" i="193" s="1"/>
  <c r="P224" i="189"/>
  <c r="P98" i="191" s="1"/>
  <c r="P203" i="191" s="1"/>
  <c r="N166" i="189"/>
  <c r="N38" i="191" s="1"/>
  <c r="N143" i="191" s="1"/>
  <c r="V224" i="189"/>
  <c r="V98" i="191" s="1"/>
  <c r="V203" i="191" s="1"/>
  <c r="M166" i="189"/>
  <c r="M38" i="191" s="1"/>
  <c r="M143" i="191" s="1"/>
  <c r="V137" i="189"/>
  <c r="V166" i="189"/>
  <c r="V38" i="191" s="1"/>
  <c r="V143" i="191" s="1"/>
  <c r="U195" i="189"/>
  <c r="U68" i="191" s="1"/>
  <c r="U173" i="191" s="1"/>
  <c r="X195" i="189"/>
  <c r="X68" i="191" s="1"/>
  <c r="X173" i="191" s="1"/>
  <c r="T195" i="189"/>
  <c r="T68" i="191" s="1"/>
  <c r="T173" i="191" s="1"/>
  <c r="O224" i="189"/>
  <c r="O98" i="191" s="1"/>
  <c r="O203" i="191" s="1"/>
  <c r="V195" i="189"/>
  <c r="V68" i="191" s="1"/>
  <c r="V173" i="191" s="1"/>
  <c r="Q137" i="189"/>
  <c r="Q139" i="193" s="1"/>
  <c r="Q209" i="193" s="1"/>
  <c r="Q239" i="193" s="1"/>
  <c r="T137" i="189"/>
  <c r="S224" i="189"/>
  <c r="S98" i="191" s="1"/>
  <c r="S203" i="191" s="1"/>
  <c r="Q166" i="189"/>
  <c r="Q38" i="191" s="1"/>
  <c r="Q143" i="191" s="1"/>
  <c r="R137" i="189"/>
  <c r="T250" i="193"/>
  <c r="T26" i="196" s="1"/>
  <c r="AJ46" i="196" s="1"/>
  <c r="N151" i="192"/>
  <c r="O151" i="192"/>
  <c r="P181" i="192"/>
  <c r="P241" i="192" s="1"/>
  <c r="J151" i="192"/>
  <c r="Q181" i="192"/>
  <c r="Q241" i="192" s="1"/>
  <c r="K181" i="192"/>
  <c r="K241" i="192" s="1"/>
  <c r="K151" i="192"/>
  <c r="O181" i="192"/>
  <c r="O241" i="192" s="1"/>
  <c r="J181" i="192"/>
  <c r="J241" i="192" s="1"/>
  <c r="N181" i="192"/>
  <c r="N241" i="192" s="1"/>
  <c r="M181" i="192"/>
  <c r="M241" i="192" s="1"/>
  <c r="L151" i="192"/>
  <c r="M151" i="192"/>
  <c r="Q151" i="192"/>
  <c r="P151" i="192"/>
  <c r="L181" i="192"/>
  <c r="L241" i="192" s="1"/>
  <c r="AH26" i="197" l="1"/>
  <c r="AH116" i="197" s="1"/>
  <c r="AH82" i="196"/>
  <c r="M218" i="191"/>
  <c r="M21" i="196" s="1"/>
  <c r="Q41" i="196" s="1"/>
  <c r="O219" i="191"/>
  <c r="O22" i="196" s="1"/>
  <c r="W218" i="191"/>
  <c r="W21" i="196" s="1"/>
  <c r="AM41" i="196" s="1"/>
  <c r="T218" i="191"/>
  <c r="T21" i="196" s="1"/>
  <c r="AJ41" i="196" s="1"/>
  <c r="L218" i="191"/>
  <c r="L21" i="196" s="1"/>
  <c r="Y218" i="191"/>
  <c r="Y21" i="196" s="1"/>
  <c r="AO41" i="196" s="1"/>
  <c r="AO21" i="197" s="1"/>
  <c r="O218" i="191"/>
  <c r="O21" i="196" s="1"/>
  <c r="M285" i="192"/>
  <c r="M48" i="194" s="1"/>
  <c r="M93" i="194" s="1"/>
  <c r="M215" i="192"/>
  <c r="J283" i="192"/>
  <c r="J46" i="194" s="1"/>
  <c r="J91" i="194" s="1"/>
  <c r="J213" i="192"/>
  <c r="Q281" i="192"/>
  <c r="Q44" i="194" s="1"/>
  <c r="Q89" i="194" s="1"/>
  <c r="Q211" i="192"/>
  <c r="J210" i="192"/>
  <c r="J280" i="192"/>
  <c r="J43" i="194" s="1"/>
  <c r="J88" i="194" s="1"/>
  <c r="Q212" i="192"/>
  <c r="Q282" i="192"/>
  <c r="Q45" i="194" s="1"/>
  <c r="Q90" i="194" s="1"/>
  <c r="W219" i="191"/>
  <c r="W22" i="196" s="1"/>
  <c r="AM42" i="196" s="1"/>
  <c r="O36" i="191"/>
  <c r="O141" i="191" s="1"/>
  <c r="O217" i="191" s="1"/>
  <c r="O20" i="196" s="1"/>
  <c r="O239" i="189"/>
  <c r="L250" i="193"/>
  <c r="L26" i="196" s="1"/>
  <c r="U218" i="191"/>
  <c r="U21" i="196" s="1"/>
  <c r="AK41" i="196" s="1"/>
  <c r="T219" i="191"/>
  <c r="T22" i="196" s="1"/>
  <c r="AJ42" i="196" s="1"/>
  <c r="Q284" i="192"/>
  <c r="Q47" i="194" s="1"/>
  <c r="Q92" i="194" s="1"/>
  <c r="Q214" i="192"/>
  <c r="O208" i="192"/>
  <c r="O278" i="192"/>
  <c r="O41" i="194" s="1"/>
  <c r="O86" i="194" s="1"/>
  <c r="P279" i="192"/>
  <c r="P42" i="194" s="1"/>
  <c r="P87" i="194" s="1"/>
  <c r="P209" i="192"/>
  <c r="J206" i="192"/>
  <c r="J276" i="192"/>
  <c r="J39" i="194" s="1"/>
  <c r="L206" i="192"/>
  <c r="L276" i="192"/>
  <c r="L39" i="194" s="1"/>
  <c r="L84" i="194" s="1"/>
  <c r="N215" i="192"/>
  <c r="N285" i="192"/>
  <c r="N48" i="194" s="1"/>
  <c r="N93" i="194" s="1"/>
  <c r="AI82" i="196"/>
  <c r="AI26" i="197"/>
  <c r="AI116" i="197" s="1"/>
  <c r="Q213" i="192"/>
  <c r="Q283" i="192"/>
  <c r="Q46" i="194" s="1"/>
  <c r="Q91" i="194" s="1"/>
  <c r="P281" i="192"/>
  <c r="P44" i="194" s="1"/>
  <c r="P89" i="194" s="1"/>
  <c r="P211" i="192"/>
  <c r="K280" i="192"/>
  <c r="K43" i="194" s="1"/>
  <c r="K88" i="194" s="1"/>
  <c r="K210" i="192"/>
  <c r="M279" i="192"/>
  <c r="M42" i="194" s="1"/>
  <c r="M87" i="194" s="1"/>
  <c r="M209" i="192"/>
  <c r="P215" i="192"/>
  <c r="P285" i="192"/>
  <c r="P48" i="194" s="1"/>
  <c r="P93" i="194" s="1"/>
  <c r="M281" i="192"/>
  <c r="M44" i="194" s="1"/>
  <c r="M89" i="194" s="1"/>
  <c r="M211" i="192"/>
  <c r="L212" i="192"/>
  <c r="L282" i="192"/>
  <c r="L45" i="194" s="1"/>
  <c r="L90" i="194" s="1"/>
  <c r="AN82" i="196"/>
  <c r="AN26" i="197"/>
  <c r="AN116" i="197" s="1"/>
  <c r="O250" i="193"/>
  <c r="O26" i="196" s="1"/>
  <c r="R219" i="191"/>
  <c r="R22" i="196" s="1"/>
  <c r="AH42" i="196" s="1"/>
  <c r="P219" i="191"/>
  <c r="P22" i="196" s="1"/>
  <c r="N36" i="191"/>
  <c r="N141" i="191" s="1"/>
  <c r="N217" i="191" s="1"/>
  <c r="N20" i="196" s="1"/>
  <c r="N239" i="189"/>
  <c r="J218" i="191"/>
  <c r="J21" i="196" s="1"/>
  <c r="J41" i="196" s="1"/>
  <c r="Q36" i="191"/>
  <c r="Q141" i="191" s="1"/>
  <c r="Q217" i="191" s="1"/>
  <c r="Q20" i="196" s="1"/>
  <c r="AG40" i="196" s="1"/>
  <c r="Q239" i="189"/>
  <c r="K219" i="191"/>
  <c r="K22" i="196" s="1"/>
  <c r="K42" i="196" s="1"/>
  <c r="Q219" i="191"/>
  <c r="Q22" i="196" s="1"/>
  <c r="AG42" i="196" s="1"/>
  <c r="M214" i="192"/>
  <c r="M284" i="192"/>
  <c r="M47" i="194" s="1"/>
  <c r="M92" i="194" s="1"/>
  <c r="J284" i="192"/>
  <c r="J47" i="194" s="1"/>
  <c r="J92" i="194" s="1"/>
  <c r="J214" i="192"/>
  <c r="L208" i="192"/>
  <c r="L278" i="192"/>
  <c r="L41" i="194" s="1"/>
  <c r="L86" i="194" s="1"/>
  <c r="J277" i="192"/>
  <c r="J40" i="194" s="1"/>
  <c r="J85" i="194" s="1"/>
  <c r="J207" i="192"/>
  <c r="N207" i="192"/>
  <c r="N277" i="192"/>
  <c r="N40" i="194" s="1"/>
  <c r="N85" i="194" s="1"/>
  <c r="J257" i="192"/>
  <c r="J25" i="196" s="1"/>
  <c r="J45" i="196" s="1"/>
  <c r="P257" i="192"/>
  <c r="P25" i="196" s="1"/>
  <c r="O285" i="192"/>
  <c r="O48" i="194" s="1"/>
  <c r="O93" i="194" s="1"/>
  <c r="O215" i="192"/>
  <c r="H237" i="189" a="1"/>
  <c r="H237" i="189" s="1"/>
  <c r="M36" i="191"/>
  <c r="M141" i="191" s="1"/>
  <c r="M217" i="191" s="1"/>
  <c r="M20" i="196" s="1"/>
  <c r="Q40" i="196" s="1"/>
  <c r="M239" i="189"/>
  <c r="L36" i="191"/>
  <c r="L141" i="191" s="1"/>
  <c r="L217" i="191" s="1"/>
  <c r="L20" i="196" s="1"/>
  <c r="L239" i="189"/>
  <c r="P36" i="191"/>
  <c r="P141" i="191" s="1"/>
  <c r="P217" i="191" s="1"/>
  <c r="P20" i="196" s="1"/>
  <c r="P239" i="189"/>
  <c r="X218" i="191"/>
  <c r="X21" i="196" s="1"/>
  <c r="AN41" i="196" s="1"/>
  <c r="T36" i="191"/>
  <c r="T141" i="191" s="1"/>
  <c r="T217" i="191" s="1"/>
  <c r="T20" i="196" s="1"/>
  <c r="AJ40" i="196" s="1"/>
  <c r="T239" i="189"/>
  <c r="L219" i="191"/>
  <c r="L22" i="196" s="1"/>
  <c r="J219" i="191"/>
  <c r="J22" i="196" s="1"/>
  <c r="J42" i="196" s="1"/>
  <c r="S218" i="191"/>
  <c r="S21" i="196" s="1"/>
  <c r="AI41" i="196" s="1"/>
  <c r="J208" i="192"/>
  <c r="J278" i="192"/>
  <c r="J41" i="194" s="1"/>
  <c r="J86" i="194" s="1"/>
  <c r="N209" i="192"/>
  <c r="N279" i="192"/>
  <c r="N42" i="194" s="1"/>
  <c r="N87" i="194" s="1"/>
  <c r="P207" i="192"/>
  <c r="P277" i="192"/>
  <c r="P40" i="194" s="1"/>
  <c r="P85" i="194" s="1"/>
  <c r="L257" i="192"/>
  <c r="L25" i="196" s="1"/>
  <c r="Q206" i="192"/>
  <c r="Q276" i="192"/>
  <c r="Q39" i="194" s="1"/>
  <c r="Q84" i="194" s="1"/>
  <c r="L285" i="192"/>
  <c r="L48" i="194" s="1"/>
  <c r="L93" i="194" s="1"/>
  <c r="L215" i="192"/>
  <c r="M283" i="192"/>
  <c r="M46" i="194" s="1"/>
  <c r="M91" i="194" s="1"/>
  <c r="M213" i="192"/>
  <c r="AO26" i="197"/>
  <c r="AO116" i="197" s="1"/>
  <c r="AO127" i="197" s="1"/>
  <c r="AO156" i="197" s="1"/>
  <c r="AO61" i="198" s="1"/>
  <c r="AO101" i="198" s="1"/>
  <c r="AO82" i="196"/>
  <c r="W42" i="196"/>
  <c r="Y42" i="196"/>
  <c r="X42" i="196"/>
  <c r="Z42" i="196"/>
  <c r="AA42" i="196"/>
  <c r="Y41" i="196"/>
  <c r="AA41" i="196"/>
  <c r="W41" i="196"/>
  <c r="X41" i="196"/>
  <c r="Z41" i="196"/>
  <c r="N214" i="192"/>
  <c r="N284" i="192"/>
  <c r="N47" i="194" s="1"/>
  <c r="N92" i="194" s="1"/>
  <c r="L281" i="192"/>
  <c r="L44" i="194" s="1"/>
  <c r="L89" i="194" s="1"/>
  <c r="L211" i="192"/>
  <c r="Q77" i="196"/>
  <c r="Q21" i="197"/>
  <c r="Q218" i="191"/>
  <c r="Q21" i="196" s="1"/>
  <c r="AG41" i="196" s="1"/>
  <c r="A4" i="190"/>
  <c r="J52" i="55"/>
  <c r="P284" i="192"/>
  <c r="P47" i="194" s="1"/>
  <c r="P92" i="194" s="1"/>
  <c r="P214" i="192"/>
  <c r="Q208" i="192"/>
  <c r="Q278" i="192"/>
  <c r="Q41" i="194" s="1"/>
  <c r="Q86" i="194" s="1"/>
  <c r="N278" i="192"/>
  <c r="N41" i="194" s="1"/>
  <c r="N86" i="194" s="1"/>
  <c r="N208" i="192"/>
  <c r="Q277" i="192"/>
  <c r="Q40" i="194" s="1"/>
  <c r="Q85" i="194" s="1"/>
  <c r="Q207" i="192"/>
  <c r="O257" i="192"/>
  <c r="O25" i="196" s="1"/>
  <c r="N206" i="192"/>
  <c r="N276" i="192"/>
  <c r="N39" i="194" s="1"/>
  <c r="N84" i="194" s="1"/>
  <c r="K283" i="192"/>
  <c r="K46" i="194" s="1"/>
  <c r="K91" i="194" s="1"/>
  <c r="K213" i="192"/>
  <c r="AM77" i="196"/>
  <c r="AM21" i="197"/>
  <c r="Y36" i="191"/>
  <c r="Y141" i="191" s="1"/>
  <c r="Y217" i="191" s="1"/>
  <c r="Y20" i="196" s="1"/>
  <c r="AO40" i="196" s="1"/>
  <c r="Y239" i="189"/>
  <c r="O277" i="192"/>
  <c r="O40" i="194" s="1"/>
  <c r="O85" i="194" s="1"/>
  <c r="O207" i="192"/>
  <c r="J211" i="192"/>
  <c r="J281" i="192"/>
  <c r="J44" i="194" s="1"/>
  <c r="J89" i="194" s="1"/>
  <c r="P282" i="192"/>
  <c r="P45" i="194" s="1"/>
  <c r="P90" i="194" s="1"/>
  <c r="P212" i="192"/>
  <c r="V36" i="191"/>
  <c r="V141" i="191" s="1"/>
  <c r="V217" i="191" s="1"/>
  <c r="V20" i="196" s="1"/>
  <c r="AL40" i="196" s="1"/>
  <c r="V239" i="189"/>
  <c r="P218" i="191"/>
  <c r="P21" i="196" s="1"/>
  <c r="O211" i="192"/>
  <c r="O281" i="192"/>
  <c r="O44" i="194" s="1"/>
  <c r="O89" i="194" s="1"/>
  <c r="M210" i="192"/>
  <c r="M280" i="192"/>
  <c r="M43" i="194" s="1"/>
  <c r="M88" i="194" s="1"/>
  <c r="O280" i="192"/>
  <c r="O43" i="194" s="1"/>
  <c r="O88" i="194" s="1"/>
  <c r="O210" i="192"/>
  <c r="J282" i="192"/>
  <c r="J45" i="194" s="1"/>
  <c r="J90" i="194" s="1"/>
  <c r="J212" i="192"/>
  <c r="K36" i="191"/>
  <c r="K141" i="191" s="1"/>
  <c r="K217" i="191" s="1"/>
  <c r="K20" i="196" s="1"/>
  <c r="K40" i="196" s="1"/>
  <c r="K239" i="189"/>
  <c r="Q250" i="193"/>
  <c r="Q26" i="196" s="1"/>
  <c r="AG46" i="196" s="1"/>
  <c r="J207" i="193"/>
  <c r="J237" i="193" s="1"/>
  <c r="J250" i="193" s="1"/>
  <c r="J26" i="196" s="1"/>
  <c r="J46" i="196" s="1"/>
  <c r="H254" i="193" a="1"/>
  <c r="H254" i="193" s="1"/>
  <c r="M219" i="191"/>
  <c r="M22" i="196" s="1"/>
  <c r="Q42" i="196" s="1"/>
  <c r="J36" i="191"/>
  <c r="J239" i="189"/>
  <c r="N218" i="191"/>
  <c r="N21" i="196" s="1"/>
  <c r="K250" i="193"/>
  <c r="K26" i="196" s="1"/>
  <c r="K46" i="196" s="1"/>
  <c r="O214" i="192"/>
  <c r="O284" i="192"/>
  <c r="O47" i="194" s="1"/>
  <c r="O92" i="194" s="1"/>
  <c r="K209" i="192"/>
  <c r="K279" i="192"/>
  <c r="K42" i="194" s="1"/>
  <c r="K87" i="194" s="1"/>
  <c r="M277" i="192"/>
  <c r="M40" i="194" s="1"/>
  <c r="M85" i="194" s="1"/>
  <c r="M207" i="192"/>
  <c r="L277" i="192"/>
  <c r="L40" i="194" s="1"/>
  <c r="L85" i="194" s="1"/>
  <c r="L207" i="192"/>
  <c r="N257" i="192"/>
  <c r="N25" i="196" s="1"/>
  <c r="Q257" i="192"/>
  <c r="Q25" i="196" s="1"/>
  <c r="AG45" i="196" s="1"/>
  <c r="N213" i="192"/>
  <c r="N283" i="192"/>
  <c r="N46" i="194" s="1"/>
  <c r="N91" i="194" s="1"/>
  <c r="O213" i="192"/>
  <c r="O283" i="192"/>
  <c r="O46" i="194" s="1"/>
  <c r="O91" i="194" s="1"/>
  <c r="K281" i="192"/>
  <c r="K44" i="194" s="1"/>
  <c r="K89" i="194" s="1"/>
  <c r="K211" i="192"/>
  <c r="O212" i="192"/>
  <c r="O282" i="192"/>
  <c r="O45" i="194" s="1"/>
  <c r="O90" i="194" s="1"/>
  <c r="AJ77" i="196"/>
  <c r="AJ21" i="197"/>
  <c r="K276" i="192"/>
  <c r="K39" i="194" s="1"/>
  <c r="K84" i="194" s="1"/>
  <c r="K206" i="192"/>
  <c r="M250" i="193"/>
  <c r="M26" i="196" s="1"/>
  <c r="Q46" i="196" s="1"/>
  <c r="N211" i="192"/>
  <c r="N281" i="192"/>
  <c r="N44" i="194" s="1"/>
  <c r="N89" i="194" s="1"/>
  <c r="Q210" i="192"/>
  <c r="Q280" i="192"/>
  <c r="Q43" i="194" s="1"/>
  <c r="Q88" i="194" s="1"/>
  <c r="N280" i="192"/>
  <c r="N43" i="194" s="1"/>
  <c r="N88" i="194" s="1"/>
  <c r="N210" i="192"/>
  <c r="N212" i="192"/>
  <c r="N282" i="192"/>
  <c r="N45" i="194" s="1"/>
  <c r="N90" i="194" s="1"/>
  <c r="K218" i="191"/>
  <c r="K21" i="196" s="1"/>
  <c r="K41" i="196" s="1"/>
  <c r="X36" i="191"/>
  <c r="X141" i="191" s="1"/>
  <c r="X217" i="191" s="1"/>
  <c r="X20" i="196" s="1"/>
  <c r="AN40" i="196" s="1"/>
  <c r="X239" i="189"/>
  <c r="V218" i="191"/>
  <c r="V21" i="196" s="1"/>
  <c r="AL41" i="196" s="1"/>
  <c r="R218" i="191"/>
  <c r="R21" i="196" s="1"/>
  <c r="AH41" i="196" s="1"/>
  <c r="X219" i="191"/>
  <c r="X22" i="196" s="1"/>
  <c r="AN42" i="196" s="1"/>
  <c r="N250" i="193"/>
  <c r="N26" i="196" s="1"/>
  <c r="U36" i="191"/>
  <c r="U141" i="191" s="1"/>
  <c r="U217" i="191" s="1"/>
  <c r="U20" i="196" s="1"/>
  <c r="AK40" i="196" s="1"/>
  <c r="U239" i="189"/>
  <c r="P250" i="193"/>
  <c r="P26" i="196" s="1"/>
  <c r="K214" i="192"/>
  <c r="K284" i="192"/>
  <c r="K47" i="194" s="1"/>
  <c r="K92" i="194" s="1"/>
  <c r="K278" i="192"/>
  <c r="K41" i="194" s="1"/>
  <c r="K86" i="194" s="1"/>
  <c r="K208" i="192"/>
  <c r="AM26" i="197"/>
  <c r="AM116" i="197" s="1"/>
  <c r="AM127" i="197" s="1"/>
  <c r="AM156" i="197" s="1"/>
  <c r="AM61" i="198" s="1"/>
  <c r="AM101" i="198" s="1"/>
  <c r="AM82" i="196"/>
  <c r="L279" i="192"/>
  <c r="L42" i="194" s="1"/>
  <c r="L87" i="194" s="1"/>
  <c r="L209" i="192"/>
  <c r="J209" i="192"/>
  <c r="J279" i="192"/>
  <c r="J42" i="194" s="1"/>
  <c r="J87" i="194" s="1"/>
  <c r="M276" i="192"/>
  <c r="M39" i="194" s="1"/>
  <c r="M84" i="194" s="1"/>
  <c r="M206" i="192"/>
  <c r="M257" i="192"/>
  <c r="M25" i="196" s="1"/>
  <c r="Q45" i="196" s="1"/>
  <c r="J285" i="192"/>
  <c r="J48" i="194" s="1"/>
  <c r="J93" i="194" s="1"/>
  <c r="J215" i="192"/>
  <c r="K285" i="192"/>
  <c r="K48" i="194" s="1"/>
  <c r="K93" i="194" s="1"/>
  <c r="K215" i="192"/>
  <c r="AH127" i="197"/>
  <c r="AH156" i="197" s="1"/>
  <c r="AH61" i="198" s="1"/>
  <c r="AH101" i="198" s="1"/>
  <c r="AH136" i="197"/>
  <c r="AH165" i="197" s="1"/>
  <c r="AH70" i="198" s="1"/>
  <c r="AH111" i="198" s="1"/>
  <c r="AH145" i="197"/>
  <c r="AH174" i="197" s="1"/>
  <c r="AH79" i="198" s="1"/>
  <c r="AH121" i="198" s="1"/>
  <c r="L210" i="192"/>
  <c r="L280" i="192"/>
  <c r="L43" i="194" s="1"/>
  <c r="L88" i="194" s="1"/>
  <c r="N41" i="196"/>
  <c r="O41" i="196"/>
  <c r="P41" i="196"/>
  <c r="L41" i="196"/>
  <c r="M41" i="196"/>
  <c r="L284" i="192"/>
  <c r="L47" i="194" s="1"/>
  <c r="L92" i="194" s="1"/>
  <c r="L214" i="192"/>
  <c r="P206" i="192"/>
  <c r="P276" i="192"/>
  <c r="P39" i="194" s="1"/>
  <c r="P84" i="194" s="1"/>
  <c r="V219" i="191"/>
  <c r="V22" i="196" s="1"/>
  <c r="AL42" i="196" s="1"/>
  <c r="R36" i="191"/>
  <c r="R141" i="191" s="1"/>
  <c r="R217" i="191" s="1"/>
  <c r="R20" i="196" s="1"/>
  <c r="AH40" i="196" s="1"/>
  <c r="R239" i="189"/>
  <c r="AJ82" i="196"/>
  <c r="AJ26" i="197"/>
  <c r="AJ116" i="197" s="1"/>
  <c r="P210" i="192"/>
  <c r="P280" i="192"/>
  <c r="P43" i="194" s="1"/>
  <c r="P88" i="194" s="1"/>
  <c r="K212" i="192"/>
  <c r="K282" i="192"/>
  <c r="K45" i="194" s="1"/>
  <c r="K90" i="194" s="1"/>
  <c r="M282" i="192"/>
  <c r="M45" i="194" s="1"/>
  <c r="M90" i="194" s="1"/>
  <c r="M212" i="192"/>
  <c r="W36" i="191"/>
  <c r="W141" i="191" s="1"/>
  <c r="W217" i="191" s="1"/>
  <c r="W20" i="196" s="1"/>
  <c r="AM40" i="196" s="1"/>
  <c r="W239" i="189"/>
  <c r="U219" i="191"/>
  <c r="U22" i="196" s="1"/>
  <c r="AK42" i="196" s="1"/>
  <c r="S219" i="191"/>
  <c r="S22" i="196" s="1"/>
  <c r="AI42" i="196" s="1"/>
  <c r="S36" i="191"/>
  <c r="S141" i="191" s="1"/>
  <c r="S217" i="191" s="1"/>
  <c r="S20" i="196" s="1"/>
  <c r="AI40" i="196" s="1"/>
  <c r="S239" i="189"/>
  <c r="N219" i="191"/>
  <c r="N22" i="196" s="1"/>
  <c r="Y219" i="191"/>
  <c r="Y22" i="196" s="1"/>
  <c r="AO42" i="196" s="1"/>
  <c r="M208" i="192"/>
  <c r="M278" i="192"/>
  <c r="M41" i="194" s="1"/>
  <c r="M86" i="194" s="1"/>
  <c r="P278" i="192"/>
  <c r="P41" i="194" s="1"/>
  <c r="P86" i="194" s="1"/>
  <c r="P208" i="192"/>
  <c r="O279" i="192"/>
  <c r="O42" i="194" s="1"/>
  <c r="O87" i="194" s="1"/>
  <c r="O209" i="192"/>
  <c r="Q209" i="192"/>
  <c r="Q279" i="192"/>
  <c r="Q42" i="194" s="1"/>
  <c r="Q87" i="194" s="1"/>
  <c r="AL26" i="197"/>
  <c r="AL116" i="197" s="1"/>
  <c r="AL82" i="196"/>
  <c r="K277" i="192"/>
  <c r="K40" i="194" s="1"/>
  <c r="K85" i="194" s="1"/>
  <c r="K207" i="192"/>
  <c r="O206" i="192"/>
  <c r="O276" i="192"/>
  <c r="O39" i="194" s="1"/>
  <c r="O84" i="194" s="1"/>
  <c r="K257" i="192"/>
  <c r="K25" i="196" s="1"/>
  <c r="K45" i="196" s="1"/>
  <c r="Q285" i="192"/>
  <c r="Q48" i="194" s="1"/>
  <c r="Q93" i="194" s="1"/>
  <c r="Q215" i="192"/>
  <c r="P213" i="192"/>
  <c r="P283" i="192"/>
  <c r="P46" i="194" s="1"/>
  <c r="P91" i="194" s="1"/>
  <c r="L213" i="192"/>
  <c r="L283" i="192"/>
  <c r="L46" i="194" s="1"/>
  <c r="L91" i="194" s="1"/>
  <c r="AK26" i="197"/>
  <c r="AK116" i="197" s="1"/>
  <c r="AK127" i="197" s="1"/>
  <c r="AK156" i="197" s="1"/>
  <c r="AK61" i="198" s="1"/>
  <c r="AK101" i="198" s="1"/>
  <c r="AK82" i="196"/>
  <c r="AO77" i="196" l="1"/>
  <c r="H239" i="189"/>
  <c r="K256" i="192"/>
  <c r="K24" i="196" s="1"/>
  <c r="K44" i="196" s="1"/>
  <c r="M77" i="196"/>
  <c r="M21" i="197"/>
  <c r="V116" i="194"/>
  <c r="V148" i="194" s="1"/>
  <c r="W116" i="194"/>
  <c r="W148" i="194" s="1"/>
  <c r="O116" i="194"/>
  <c r="O148" i="194" s="1"/>
  <c r="S116" i="194"/>
  <c r="S148" i="194" s="1"/>
  <c r="N116" i="194"/>
  <c r="N148" i="194" s="1"/>
  <c r="R116" i="194"/>
  <c r="R148" i="194" s="1"/>
  <c r="U116" i="194"/>
  <c r="U148" i="194" s="1"/>
  <c r="K116" i="194"/>
  <c r="K148" i="194" s="1"/>
  <c r="T116" i="194"/>
  <c r="T148" i="194" s="1"/>
  <c r="P116" i="194"/>
  <c r="P148" i="194" s="1"/>
  <c r="M116" i="194"/>
  <c r="M148" i="194" s="1"/>
  <c r="X116" i="194"/>
  <c r="X148" i="194" s="1"/>
  <c r="Q116" i="194"/>
  <c r="Q148" i="194" s="1"/>
  <c r="Y116" i="194"/>
  <c r="Y148" i="194" s="1"/>
  <c r="AH77" i="196"/>
  <c r="AH21" i="197"/>
  <c r="P117" i="194"/>
  <c r="P149" i="194" s="1"/>
  <c r="N117" i="194"/>
  <c r="N149" i="194" s="1"/>
  <c r="V117" i="194"/>
  <c r="V149" i="194" s="1"/>
  <c r="T117" i="194"/>
  <c r="T149" i="194" s="1"/>
  <c r="O117" i="194"/>
  <c r="O149" i="194" s="1"/>
  <c r="X117" i="194"/>
  <c r="X149" i="194" s="1"/>
  <c r="Y117" i="194"/>
  <c r="Y149" i="194" s="1"/>
  <c r="K117" i="194"/>
  <c r="K149" i="194" s="1"/>
  <c r="Q117" i="194"/>
  <c r="Q149" i="194" s="1"/>
  <c r="S117" i="194"/>
  <c r="S149" i="194" s="1"/>
  <c r="R117" i="194"/>
  <c r="R149" i="194" s="1"/>
  <c r="M117" i="194"/>
  <c r="M149" i="194" s="1"/>
  <c r="U117" i="194"/>
  <c r="U149" i="194" s="1"/>
  <c r="W117" i="194"/>
  <c r="W149" i="194" s="1"/>
  <c r="Q22" i="197"/>
  <c r="Q78" i="196"/>
  <c r="AL76" i="196"/>
  <c r="AL20" i="197"/>
  <c r="AO20" i="197"/>
  <c r="AO76" i="196"/>
  <c r="X78" i="196"/>
  <c r="X22" i="197"/>
  <c r="J116" i="194"/>
  <c r="J148" i="194" s="1"/>
  <c r="L116" i="194"/>
  <c r="L148" i="194" s="1"/>
  <c r="AG20" i="197"/>
  <c r="AG76" i="196"/>
  <c r="J256" i="192"/>
  <c r="J24" i="196" s="1"/>
  <c r="J44" i="196" s="1"/>
  <c r="AK21" i="197"/>
  <c r="AK77" i="196"/>
  <c r="J55" i="55"/>
  <c r="A4" i="193"/>
  <c r="Z77" i="196"/>
  <c r="Z21" i="197"/>
  <c r="Y22" i="197"/>
  <c r="Y78" i="196"/>
  <c r="AF40" i="196"/>
  <c r="AD40" i="196"/>
  <c r="AE40" i="196"/>
  <c r="AB40" i="196"/>
  <c r="AC40" i="196"/>
  <c r="AB45" i="196"/>
  <c r="AC45" i="196"/>
  <c r="AD45" i="196"/>
  <c r="AE45" i="196"/>
  <c r="AF45" i="196"/>
  <c r="J77" i="196"/>
  <c r="J21" i="197"/>
  <c r="AI145" i="197"/>
  <c r="AI174" i="197" s="1"/>
  <c r="AI79" i="198" s="1"/>
  <c r="AI121" i="198" s="1"/>
  <c r="AI127" i="197"/>
  <c r="AI156" i="197" s="1"/>
  <c r="AI61" i="198" s="1"/>
  <c r="AI101" i="198" s="1"/>
  <c r="O46" i="196"/>
  <c r="P46" i="196"/>
  <c r="N46" i="196"/>
  <c r="M46" i="196"/>
  <c r="L46" i="196"/>
  <c r="M115" i="194"/>
  <c r="M147" i="194" s="1"/>
  <c r="R115" i="194"/>
  <c r="R147" i="194" s="1"/>
  <c r="S115" i="194"/>
  <c r="S147" i="194" s="1"/>
  <c r="V115" i="194"/>
  <c r="V147" i="194" s="1"/>
  <c r="K115" i="194"/>
  <c r="K147" i="194" s="1"/>
  <c r="X115" i="194"/>
  <c r="X147" i="194" s="1"/>
  <c r="Q115" i="194"/>
  <c r="Q147" i="194" s="1"/>
  <c r="U115" i="194"/>
  <c r="U147" i="194" s="1"/>
  <c r="Y115" i="194"/>
  <c r="Y147" i="194" s="1"/>
  <c r="T115" i="194"/>
  <c r="T147" i="194" s="1"/>
  <c r="O115" i="194"/>
  <c r="O147" i="194" s="1"/>
  <c r="W115" i="194"/>
  <c r="W147" i="194" s="1"/>
  <c r="P115" i="194"/>
  <c r="P147" i="194" s="1"/>
  <c r="N115" i="194"/>
  <c r="N147" i="194" s="1"/>
  <c r="Q81" i="196"/>
  <c r="Q25" i="197"/>
  <c r="Q115" i="197" s="1"/>
  <c r="S46" i="196"/>
  <c r="U46" i="196"/>
  <c r="T46" i="196"/>
  <c r="V46" i="196"/>
  <c r="R46" i="196"/>
  <c r="AB41" i="196"/>
  <c r="AE41" i="196"/>
  <c r="AF41" i="196"/>
  <c r="AD41" i="196"/>
  <c r="AC41" i="196"/>
  <c r="Z78" i="196"/>
  <c r="Z22" i="197"/>
  <c r="J84" i="194"/>
  <c r="AL127" i="197"/>
  <c r="AL156" i="197" s="1"/>
  <c r="AL61" i="198" s="1"/>
  <c r="AL101" i="198" s="1"/>
  <c r="AL145" i="197"/>
  <c r="AL174" i="197" s="1"/>
  <c r="AL79" i="198" s="1"/>
  <c r="AL121" i="198" s="1"/>
  <c r="K122" i="194"/>
  <c r="K154" i="194" s="1"/>
  <c r="V122" i="194"/>
  <c r="V154" i="194" s="1"/>
  <c r="Y122" i="194"/>
  <c r="Y154" i="194" s="1"/>
  <c r="U122" i="194"/>
  <c r="U154" i="194" s="1"/>
  <c r="M122" i="194"/>
  <c r="M154" i="194" s="1"/>
  <c r="R122" i="194"/>
  <c r="R154" i="194" s="1"/>
  <c r="O122" i="194"/>
  <c r="O154" i="194" s="1"/>
  <c r="Q122" i="194"/>
  <c r="Q154" i="194" s="1"/>
  <c r="X122" i="194"/>
  <c r="X154" i="194" s="1"/>
  <c r="N122" i="194"/>
  <c r="N154" i="194" s="1"/>
  <c r="S122" i="194"/>
  <c r="S154" i="194" s="1"/>
  <c r="W122" i="194"/>
  <c r="W154" i="194" s="1"/>
  <c r="P122" i="194"/>
  <c r="P154" i="194" s="1"/>
  <c r="T122" i="194"/>
  <c r="T154" i="194" s="1"/>
  <c r="AH76" i="196"/>
  <c r="AH20" i="197"/>
  <c r="P21" i="197"/>
  <c r="P77" i="196"/>
  <c r="AG81" i="196"/>
  <c r="AG25" i="197"/>
  <c r="AG115" i="197" s="1"/>
  <c r="J82" i="196"/>
  <c r="J26" i="197"/>
  <c r="J116" i="197" s="1"/>
  <c r="AG21" i="197"/>
  <c r="AG77" i="196"/>
  <c r="X21" i="197"/>
  <c r="X77" i="196"/>
  <c r="W78" i="196"/>
  <c r="W22" i="197"/>
  <c r="Q256" i="192"/>
  <c r="Q24" i="196" s="1"/>
  <c r="AG44" i="196" s="1"/>
  <c r="AI21" i="197"/>
  <c r="AI77" i="196"/>
  <c r="J81" i="196"/>
  <c r="J25" i="197"/>
  <c r="J115" i="197" s="1"/>
  <c r="J122" i="194"/>
  <c r="J154" i="194" s="1"/>
  <c r="L122" i="194"/>
  <c r="L154" i="194" s="1"/>
  <c r="AK22" i="197"/>
  <c r="AK78" i="196"/>
  <c r="K80" i="196"/>
  <c r="K24" i="197"/>
  <c r="K114" i="197" s="1"/>
  <c r="AA22" i="197"/>
  <c r="AA78" i="196"/>
  <c r="Q114" i="194"/>
  <c r="Q146" i="194" s="1"/>
  <c r="U114" i="194"/>
  <c r="U146" i="194" s="1"/>
  <c r="W114" i="194"/>
  <c r="W146" i="194" s="1"/>
  <c r="R114" i="194"/>
  <c r="R146" i="194" s="1"/>
  <c r="M114" i="194"/>
  <c r="M146" i="194" s="1"/>
  <c r="Y114" i="194"/>
  <c r="Y146" i="194" s="1"/>
  <c r="T114" i="194"/>
  <c r="T146" i="194" s="1"/>
  <c r="S114" i="194"/>
  <c r="S146" i="194" s="1"/>
  <c r="N114" i="194"/>
  <c r="N146" i="194" s="1"/>
  <c r="V114" i="194"/>
  <c r="V146" i="194" s="1"/>
  <c r="K114" i="194"/>
  <c r="K146" i="194" s="1"/>
  <c r="P114" i="194"/>
  <c r="P146" i="194" s="1"/>
  <c r="O114" i="194"/>
  <c r="O146" i="194" s="1"/>
  <c r="X114" i="194"/>
  <c r="X146" i="194" s="1"/>
  <c r="J141" i="191"/>
  <c r="J217" i="191" s="1"/>
  <c r="J20" i="196" s="1"/>
  <c r="J40" i="196" s="1"/>
  <c r="H223" i="191" a="1"/>
  <c r="H223" i="191" s="1"/>
  <c r="AJ22" i="197"/>
  <c r="AJ78" i="196"/>
  <c r="J117" i="194"/>
  <c r="J149" i="194" s="1"/>
  <c r="L117" i="194"/>
  <c r="L149" i="194" s="1"/>
  <c r="P120" i="194"/>
  <c r="P152" i="194" s="1"/>
  <c r="Y120" i="194"/>
  <c r="Y152" i="194" s="1"/>
  <c r="S120" i="194"/>
  <c r="S152" i="194" s="1"/>
  <c r="N120" i="194"/>
  <c r="N152" i="194" s="1"/>
  <c r="O120" i="194"/>
  <c r="O152" i="194" s="1"/>
  <c r="V120" i="194"/>
  <c r="V152" i="194" s="1"/>
  <c r="W120" i="194"/>
  <c r="W152" i="194" s="1"/>
  <c r="X120" i="194"/>
  <c r="X152" i="194" s="1"/>
  <c r="M120" i="194"/>
  <c r="M152" i="194" s="1"/>
  <c r="U120" i="194"/>
  <c r="U152" i="194" s="1"/>
  <c r="Q120" i="194"/>
  <c r="Q152" i="194" s="1"/>
  <c r="R120" i="194"/>
  <c r="R152" i="194" s="1"/>
  <c r="K120" i="194"/>
  <c r="K152" i="194" s="1"/>
  <c r="T120" i="194"/>
  <c r="T152" i="194" s="1"/>
  <c r="AL78" i="196"/>
  <c r="AL22" i="197"/>
  <c r="O21" i="197"/>
  <c r="O77" i="196"/>
  <c r="N123" i="194"/>
  <c r="N155" i="194" s="1"/>
  <c r="Y123" i="194"/>
  <c r="Y155" i="194" s="1"/>
  <c r="X123" i="194"/>
  <c r="X155" i="194" s="1"/>
  <c r="M123" i="194"/>
  <c r="M155" i="194" s="1"/>
  <c r="V123" i="194"/>
  <c r="V155" i="194" s="1"/>
  <c r="T123" i="194"/>
  <c r="T155" i="194" s="1"/>
  <c r="K123" i="194"/>
  <c r="K155" i="194" s="1"/>
  <c r="U123" i="194"/>
  <c r="U155" i="194" s="1"/>
  <c r="R123" i="194"/>
  <c r="R155" i="194" s="1"/>
  <c r="P123" i="194"/>
  <c r="P155" i="194" s="1"/>
  <c r="W123" i="194"/>
  <c r="W155" i="194" s="1"/>
  <c r="S123" i="194"/>
  <c r="S155" i="194" s="1"/>
  <c r="O123" i="194"/>
  <c r="O155" i="194" s="1"/>
  <c r="Q123" i="194"/>
  <c r="Q155" i="194" s="1"/>
  <c r="AD46" i="196"/>
  <c r="AE46" i="196"/>
  <c r="AC46" i="196"/>
  <c r="AB46" i="196"/>
  <c r="AF46" i="196"/>
  <c r="AN20" i="197"/>
  <c r="AN76" i="196"/>
  <c r="V45" i="196"/>
  <c r="R45" i="196"/>
  <c r="S45" i="196"/>
  <c r="U45" i="196"/>
  <c r="T45" i="196"/>
  <c r="AG26" i="197"/>
  <c r="AG116" i="197" s="1"/>
  <c r="AG82" i="196"/>
  <c r="L119" i="194"/>
  <c r="L151" i="194" s="1"/>
  <c r="J119" i="194"/>
  <c r="J151" i="194" s="1"/>
  <c r="W21" i="197"/>
  <c r="W77" i="196"/>
  <c r="P45" i="196"/>
  <c r="N45" i="196"/>
  <c r="O45" i="196"/>
  <c r="M45" i="196"/>
  <c r="L45" i="196"/>
  <c r="J78" i="196"/>
  <c r="J22" i="197"/>
  <c r="O40" i="196"/>
  <c r="M40" i="196"/>
  <c r="P40" i="196"/>
  <c r="N40" i="196"/>
  <c r="L40" i="196"/>
  <c r="R40" i="196"/>
  <c r="S40" i="196"/>
  <c r="U40" i="196"/>
  <c r="V40" i="196"/>
  <c r="T40" i="196"/>
  <c r="AA40" i="196"/>
  <c r="X40" i="196"/>
  <c r="W40" i="196"/>
  <c r="Y40" i="196"/>
  <c r="Z40" i="196"/>
  <c r="AJ20" i="197"/>
  <c r="AJ76" i="196"/>
  <c r="AJ136" i="197"/>
  <c r="AJ165" i="197" s="1"/>
  <c r="AJ70" i="198" s="1"/>
  <c r="AJ111" i="198" s="1"/>
  <c r="AJ145" i="197"/>
  <c r="AJ174" i="197" s="1"/>
  <c r="AJ79" i="198" s="1"/>
  <c r="AJ121" i="198" s="1"/>
  <c r="AJ127" i="197"/>
  <c r="AJ156" i="197" s="1"/>
  <c r="AJ61" i="198" s="1"/>
  <c r="AJ101" i="198" s="1"/>
  <c r="M256" i="192"/>
  <c r="M24" i="196" s="1"/>
  <c r="Q44" i="196" s="1"/>
  <c r="AN145" i="197"/>
  <c r="AN174" i="197" s="1"/>
  <c r="AN79" i="198" s="1"/>
  <c r="AN121" i="198" s="1"/>
  <c r="AN127" i="197"/>
  <c r="AN156" i="197" s="1"/>
  <c r="AN61" i="198" s="1"/>
  <c r="AN101" i="198" s="1"/>
  <c r="L118" i="194"/>
  <c r="L150" i="194" s="1"/>
  <c r="J118" i="194"/>
  <c r="J150" i="194" s="1"/>
  <c r="AO22" i="197"/>
  <c r="AO78" i="196"/>
  <c r="L21" i="197"/>
  <c r="L77" i="196"/>
  <c r="AL21" i="197"/>
  <c r="AL77" i="196"/>
  <c r="T42" i="196"/>
  <c r="R42" i="196"/>
  <c r="S42" i="196"/>
  <c r="U42" i="196"/>
  <c r="V42" i="196"/>
  <c r="AI20" i="197"/>
  <c r="AI76" i="196"/>
  <c r="N77" i="196"/>
  <c r="N21" i="197"/>
  <c r="K21" i="197"/>
  <c r="K77" i="196"/>
  <c r="K26" i="197"/>
  <c r="K116" i="197" s="1"/>
  <c r="K82" i="196"/>
  <c r="S121" i="194"/>
  <c r="S153" i="194" s="1"/>
  <c r="M121" i="194"/>
  <c r="M153" i="194" s="1"/>
  <c r="R121" i="194"/>
  <c r="R153" i="194" s="1"/>
  <c r="T121" i="194"/>
  <c r="T153" i="194" s="1"/>
  <c r="Y121" i="194"/>
  <c r="Y153" i="194" s="1"/>
  <c r="X121" i="194"/>
  <c r="X153" i="194" s="1"/>
  <c r="N121" i="194"/>
  <c r="N153" i="194" s="1"/>
  <c r="V121" i="194"/>
  <c r="V153" i="194" s="1"/>
  <c r="Q121" i="194"/>
  <c r="Q153" i="194" s="1"/>
  <c r="W121" i="194"/>
  <c r="W153" i="194" s="1"/>
  <c r="K121" i="194"/>
  <c r="K153" i="194" s="1"/>
  <c r="U121" i="194"/>
  <c r="U153" i="194" s="1"/>
  <c r="P121" i="194"/>
  <c r="P153" i="194" s="1"/>
  <c r="O121" i="194"/>
  <c r="O153" i="194" s="1"/>
  <c r="AA21" i="197"/>
  <c r="AA77" i="196"/>
  <c r="N42" i="196"/>
  <c r="L42" i="196"/>
  <c r="O42" i="196"/>
  <c r="M42" i="196"/>
  <c r="P42" i="196"/>
  <c r="AB42" i="196"/>
  <c r="AD42" i="196"/>
  <c r="AC42" i="196"/>
  <c r="AE42" i="196"/>
  <c r="AF42" i="196"/>
  <c r="K118" i="194"/>
  <c r="K150" i="194" s="1"/>
  <c r="S118" i="194"/>
  <c r="S150" i="194" s="1"/>
  <c r="U118" i="194"/>
  <c r="U150" i="194" s="1"/>
  <c r="T118" i="194"/>
  <c r="T150" i="194" s="1"/>
  <c r="V118" i="194"/>
  <c r="V150" i="194" s="1"/>
  <c r="R118" i="194"/>
  <c r="R150" i="194" s="1"/>
  <c r="W118" i="194"/>
  <c r="W150" i="194" s="1"/>
  <c r="O118" i="194"/>
  <c r="O150" i="194" s="1"/>
  <c r="M118" i="194"/>
  <c r="M150" i="194" s="1"/>
  <c r="X118" i="194"/>
  <c r="X150" i="194" s="1"/>
  <c r="Q118" i="194"/>
  <c r="Q150" i="194" s="1"/>
  <c r="Y118" i="194"/>
  <c r="Y150" i="194" s="1"/>
  <c r="N118" i="194"/>
  <c r="N150" i="194" s="1"/>
  <c r="P118" i="194"/>
  <c r="P150" i="194" s="1"/>
  <c r="AM22" i="197"/>
  <c r="AM78" i="196"/>
  <c r="J121" i="194"/>
  <c r="J153" i="194" s="1"/>
  <c r="L121" i="194"/>
  <c r="L153" i="194" s="1"/>
  <c r="H241" i="189"/>
  <c r="N256" i="192"/>
  <c r="N24" i="196" s="1"/>
  <c r="AN78" i="196"/>
  <c r="AN22" i="197"/>
  <c r="J120" i="194"/>
  <c r="J152" i="194" s="1"/>
  <c r="L120" i="194"/>
  <c r="L152" i="194" s="1"/>
  <c r="X45" i="196"/>
  <c r="AA45" i="196"/>
  <c r="Y45" i="196"/>
  <c r="Z45" i="196"/>
  <c r="W45" i="196"/>
  <c r="AN21" i="197"/>
  <c r="AN77" i="196"/>
  <c r="AM76" i="196"/>
  <c r="AM20" i="197"/>
  <c r="K25" i="197"/>
  <c r="K115" i="197" s="1"/>
  <c r="K81" i="196"/>
  <c r="O256" i="192"/>
  <c r="O24" i="196" s="1"/>
  <c r="AI22" i="197"/>
  <c r="AI78" i="196"/>
  <c r="P256" i="192"/>
  <c r="P24" i="196" s="1"/>
  <c r="J123" i="194"/>
  <c r="J155" i="194" s="1"/>
  <c r="L123" i="194"/>
  <c r="L155" i="194" s="1"/>
  <c r="AK76" i="196"/>
  <c r="AK20" i="197"/>
  <c r="Q82" i="196"/>
  <c r="Q26" i="197"/>
  <c r="Q116" i="197" s="1"/>
  <c r="P119" i="194"/>
  <c r="P151" i="194" s="1"/>
  <c r="X119" i="194"/>
  <c r="X151" i="194" s="1"/>
  <c r="R119" i="194"/>
  <c r="R151" i="194" s="1"/>
  <c r="K119" i="194"/>
  <c r="K151" i="194" s="1"/>
  <c r="W119" i="194"/>
  <c r="W151" i="194" s="1"/>
  <c r="T119" i="194"/>
  <c r="T151" i="194" s="1"/>
  <c r="V119" i="194"/>
  <c r="V151" i="194" s="1"/>
  <c r="U119" i="194"/>
  <c r="U151" i="194" s="1"/>
  <c r="S119" i="194"/>
  <c r="S151" i="194" s="1"/>
  <c r="Q119" i="194"/>
  <c r="Q151" i="194" s="1"/>
  <c r="M119" i="194"/>
  <c r="M151" i="194" s="1"/>
  <c r="N119" i="194"/>
  <c r="N151" i="194" s="1"/>
  <c r="Y119" i="194"/>
  <c r="Y151" i="194" s="1"/>
  <c r="O119" i="194"/>
  <c r="O151" i="194" s="1"/>
  <c r="U41" i="196"/>
  <c r="R41" i="196"/>
  <c r="T41" i="196"/>
  <c r="S41" i="196"/>
  <c r="V41" i="196"/>
  <c r="K76" i="196"/>
  <c r="K20" i="197"/>
  <c r="Y77" i="196"/>
  <c r="Y21" i="197"/>
  <c r="Q76" i="196"/>
  <c r="Q20" i="197"/>
  <c r="AG22" i="197"/>
  <c r="AG78" i="196"/>
  <c r="AH22" i="197"/>
  <c r="AH78" i="196"/>
  <c r="J115" i="194"/>
  <c r="J147" i="194" s="1"/>
  <c r="L115" i="194"/>
  <c r="L147" i="194" s="1"/>
  <c r="K78" i="196"/>
  <c r="K22" i="197"/>
  <c r="Y46" i="196"/>
  <c r="X46" i="196"/>
  <c r="Z46" i="196"/>
  <c r="W46" i="196"/>
  <c r="AA46" i="196"/>
  <c r="L256" i="192"/>
  <c r="L24" i="196" s="1"/>
  <c r="H291" i="192" a="1"/>
  <c r="H291" i="192" s="1"/>
  <c r="H295" i="192" s="1"/>
  <c r="O161" i="194" l="1"/>
  <c r="O23" i="196" s="1"/>
  <c r="A4" i="192"/>
  <c r="J54" i="55"/>
  <c r="K145" i="197"/>
  <c r="K174" i="197" s="1"/>
  <c r="K79" i="198" s="1"/>
  <c r="K121" i="198" s="1"/>
  <c r="K127" i="197"/>
  <c r="K156" i="197" s="1"/>
  <c r="K61" i="198" s="1"/>
  <c r="K101" i="198" s="1"/>
  <c r="K136" i="197"/>
  <c r="K165" i="197" s="1"/>
  <c r="K70" i="198" s="1"/>
  <c r="K111" i="198" s="1"/>
  <c r="AA76" i="196"/>
  <c r="AA20" i="197"/>
  <c r="AB26" i="197"/>
  <c r="AB116" i="197" s="1"/>
  <c r="AB82" i="196"/>
  <c r="O44" i="196"/>
  <c r="P44" i="196"/>
  <c r="N44" i="196"/>
  <c r="L44" i="196"/>
  <c r="M44" i="196"/>
  <c r="U77" i="196"/>
  <c r="U21" i="197"/>
  <c r="X44" i="196"/>
  <c r="W44" i="196"/>
  <c r="Y44" i="196"/>
  <c r="AA44" i="196"/>
  <c r="Z44" i="196"/>
  <c r="Z81" i="196"/>
  <c r="Z25" i="197"/>
  <c r="Z115" i="197" s="1"/>
  <c r="U44" i="196"/>
  <c r="V44" i="196"/>
  <c r="T44" i="196"/>
  <c r="S44" i="196"/>
  <c r="R44" i="196"/>
  <c r="AB22" i="197"/>
  <c r="AB78" i="196"/>
  <c r="S78" i="196"/>
  <c r="S22" i="197"/>
  <c r="T76" i="196"/>
  <c r="T20" i="197"/>
  <c r="M20" i="197"/>
  <c r="M76" i="196"/>
  <c r="P25" i="197"/>
  <c r="P115" i="197" s="1"/>
  <c r="P81" i="196"/>
  <c r="U81" i="196"/>
  <c r="U25" i="197"/>
  <c r="U115" i="197" s="1"/>
  <c r="AC26" i="197"/>
  <c r="AC116" i="197" s="1"/>
  <c r="AC82" i="196"/>
  <c r="J20" i="197"/>
  <c r="J76" i="196"/>
  <c r="T161" i="194"/>
  <c r="T23" i="196" s="1"/>
  <c r="AJ43" i="196" s="1"/>
  <c r="AF77" i="196"/>
  <c r="AF21" i="197"/>
  <c r="Q135" i="197"/>
  <c r="Q164" i="197" s="1"/>
  <c r="Q69" i="198" s="1"/>
  <c r="Q110" i="198" s="1"/>
  <c r="Q126" i="197"/>
  <c r="Q155" i="197" s="1"/>
  <c r="Q60" i="198" s="1"/>
  <c r="Q100" i="198" s="1"/>
  <c r="Q144" i="197"/>
  <c r="Q173" i="197" s="1"/>
  <c r="Q78" i="198" s="1"/>
  <c r="Q120" i="198" s="1"/>
  <c r="L26" i="197"/>
  <c r="L116" i="197" s="1"/>
  <c r="L82" i="196"/>
  <c r="AE20" i="197"/>
  <c r="AE76" i="196"/>
  <c r="U78" i="196"/>
  <c r="U22" i="197"/>
  <c r="T81" i="196"/>
  <c r="T25" i="197"/>
  <c r="T115" i="197" s="1"/>
  <c r="AA82" i="196"/>
  <c r="AA26" i="197"/>
  <c r="AA116" i="197" s="1"/>
  <c r="Y25" i="197"/>
  <c r="Y115" i="197" s="1"/>
  <c r="Y81" i="196"/>
  <c r="J51" i="55"/>
  <c r="A4" i="189"/>
  <c r="P22" i="197"/>
  <c r="P78" i="196"/>
  <c r="R78" i="196"/>
  <c r="R22" i="197"/>
  <c r="V20" i="197"/>
  <c r="V76" i="196"/>
  <c r="O76" i="196"/>
  <c r="O20" i="197"/>
  <c r="S25" i="197"/>
  <c r="S115" i="197" s="1"/>
  <c r="S81" i="196"/>
  <c r="AE26" i="197"/>
  <c r="AE116" i="197" s="1"/>
  <c r="AE82" i="196"/>
  <c r="X161" i="194"/>
  <c r="X23" i="196" s="1"/>
  <c r="AN43" i="196" s="1"/>
  <c r="Y161" i="194"/>
  <c r="Y23" i="196" s="1"/>
  <c r="AO43" i="196" s="1"/>
  <c r="K134" i="197"/>
  <c r="K163" i="197" s="1"/>
  <c r="K68" i="198" s="1"/>
  <c r="K109" i="198" s="1"/>
  <c r="K125" i="197"/>
  <c r="K154" i="197" s="1"/>
  <c r="K59" i="198" s="1"/>
  <c r="K99" i="198" s="1"/>
  <c r="K143" i="197"/>
  <c r="K172" i="197" s="1"/>
  <c r="K77" i="198" s="1"/>
  <c r="K119" i="198" s="1"/>
  <c r="AE21" i="197"/>
  <c r="AE77" i="196"/>
  <c r="M82" i="196"/>
  <c r="M26" i="197"/>
  <c r="M116" i="197" s="1"/>
  <c r="AF81" i="196"/>
  <c r="AF25" i="197"/>
  <c r="AF115" i="197" s="1"/>
  <c r="AD76" i="196"/>
  <c r="AD20" i="197"/>
  <c r="AB77" i="196"/>
  <c r="AB21" i="197"/>
  <c r="N26" i="197"/>
  <c r="N116" i="197" s="1"/>
  <c r="N82" i="196"/>
  <c r="AE25" i="197"/>
  <c r="AE115" i="197" s="1"/>
  <c r="AE81" i="196"/>
  <c r="AF20" i="197"/>
  <c r="AF76" i="196"/>
  <c r="AA81" i="196"/>
  <c r="AA25" i="197"/>
  <c r="AA115" i="197" s="1"/>
  <c r="T22" i="197"/>
  <c r="T78" i="196"/>
  <c r="R81" i="196"/>
  <c r="R25" i="197"/>
  <c r="R115" i="197" s="1"/>
  <c r="X81" i="196"/>
  <c r="X25" i="197"/>
  <c r="X115" i="197" s="1"/>
  <c r="O78" i="196"/>
  <c r="O22" i="197"/>
  <c r="Z76" i="196"/>
  <c r="Z20" i="197"/>
  <c r="S20" i="197"/>
  <c r="S76" i="196"/>
  <c r="V25" i="197"/>
  <c r="V115" i="197" s="1"/>
  <c r="V81" i="196"/>
  <c r="P161" i="194"/>
  <c r="P23" i="196" s="1"/>
  <c r="R161" i="194"/>
  <c r="R23" i="196" s="1"/>
  <c r="AH43" i="196" s="1"/>
  <c r="AG24" i="197"/>
  <c r="AG114" i="197" s="1"/>
  <c r="AG80" i="196"/>
  <c r="J114" i="194"/>
  <c r="L114" i="194"/>
  <c r="L146" i="194" s="1"/>
  <c r="L161" i="194" s="1"/>
  <c r="L23" i="196" s="1"/>
  <c r="R26" i="197"/>
  <c r="R116" i="197" s="1"/>
  <c r="R82" i="196"/>
  <c r="P26" i="197"/>
  <c r="P116" i="197" s="1"/>
  <c r="P82" i="196"/>
  <c r="AD25" i="197"/>
  <c r="AD115" i="197" s="1"/>
  <c r="AD81" i="196"/>
  <c r="J80" i="196"/>
  <c r="J24" i="197"/>
  <c r="J114" i="197" s="1"/>
  <c r="W82" i="196"/>
  <c r="W26" i="197"/>
  <c r="W116" i="197" s="1"/>
  <c r="U20" i="197"/>
  <c r="U76" i="196"/>
  <c r="AA43" i="196"/>
  <c r="W43" i="196"/>
  <c r="Z43" i="196"/>
  <c r="Y43" i="196"/>
  <c r="X43" i="196"/>
  <c r="X26" i="197"/>
  <c r="X116" i="197" s="1"/>
  <c r="X82" i="196"/>
  <c r="V21" i="197"/>
  <c r="V77" i="196"/>
  <c r="AF22" i="197"/>
  <c r="AF78" i="196"/>
  <c r="L22" i="197"/>
  <c r="L78" i="196"/>
  <c r="Y76" i="196"/>
  <c r="Y20" i="197"/>
  <c r="R76" i="196"/>
  <c r="R20" i="197"/>
  <c r="L25" i="197"/>
  <c r="L115" i="197" s="1"/>
  <c r="L81" i="196"/>
  <c r="K161" i="194"/>
  <c r="K23" i="196" s="1"/>
  <c r="K43" i="196" s="1"/>
  <c r="W161" i="194"/>
  <c r="W23" i="196" s="1"/>
  <c r="AM43" i="196" s="1"/>
  <c r="AG135" i="197"/>
  <c r="AG164" i="197" s="1"/>
  <c r="AG69" i="198" s="1"/>
  <c r="AG110" i="198" s="1"/>
  <c r="AG144" i="197"/>
  <c r="AG173" i="197" s="1"/>
  <c r="AG78" i="198" s="1"/>
  <c r="AG120" i="198" s="1"/>
  <c r="AG126" i="197"/>
  <c r="AG155" i="197" s="1"/>
  <c r="AG60" i="198" s="1"/>
  <c r="AG100" i="198" s="1"/>
  <c r="V82" i="196"/>
  <c r="V26" i="197"/>
  <c r="V116" i="197" s="1"/>
  <c r="O26" i="197"/>
  <c r="O116" i="197" s="1"/>
  <c r="O82" i="196"/>
  <c r="AC25" i="197"/>
  <c r="AC115" i="197" s="1"/>
  <c r="AC81" i="196"/>
  <c r="Q145" i="197"/>
  <c r="Q174" i="197" s="1"/>
  <c r="Q79" i="198" s="1"/>
  <c r="Q121" i="198" s="1"/>
  <c r="Q136" i="197"/>
  <c r="Q165" i="197" s="1"/>
  <c r="Q70" i="198" s="1"/>
  <c r="Q111" i="198" s="1"/>
  <c r="Q127" i="197"/>
  <c r="Q156" i="197" s="1"/>
  <c r="Q61" i="198" s="1"/>
  <c r="Q101" i="198" s="1"/>
  <c r="N81" i="196"/>
  <c r="N25" i="197"/>
  <c r="N115" i="197" s="1"/>
  <c r="M22" i="197"/>
  <c r="M78" i="196"/>
  <c r="M161" i="194"/>
  <c r="M23" i="196" s="1"/>
  <c r="Q43" i="196" s="1"/>
  <c r="J127" i="197"/>
  <c r="J156" i="197" s="1"/>
  <c r="J61" i="198" s="1"/>
  <c r="J101" i="198" s="1"/>
  <c r="J145" i="197"/>
  <c r="J174" i="197" s="1"/>
  <c r="J79" i="198" s="1"/>
  <c r="J121" i="198" s="1"/>
  <c r="J136" i="197"/>
  <c r="J165" i="197" s="1"/>
  <c r="J70" i="198" s="1"/>
  <c r="J111" i="198" s="1"/>
  <c r="Z26" i="197"/>
  <c r="Z116" i="197" s="1"/>
  <c r="Z82" i="196"/>
  <c r="Y26" i="197"/>
  <c r="Y116" i="197" s="1"/>
  <c r="Y82" i="196"/>
  <c r="S21" i="197"/>
  <c r="S77" i="196"/>
  <c r="AE44" i="196"/>
  <c r="AB44" i="196"/>
  <c r="AF44" i="196"/>
  <c r="AC44" i="196"/>
  <c r="AD44" i="196"/>
  <c r="AE78" i="196"/>
  <c r="AE22" i="197"/>
  <c r="N22" i="197"/>
  <c r="N78" i="196"/>
  <c r="Q80" i="196"/>
  <c r="Q24" i="197"/>
  <c r="Q114" i="197" s="1"/>
  <c r="W20" i="197"/>
  <c r="W76" i="196"/>
  <c r="L76" i="196"/>
  <c r="L20" i="197"/>
  <c r="M81" i="196"/>
  <c r="M25" i="197"/>
  <c r="M115" i="197" s="1"/>
  <c r="V161" i="194"/>
  <c r="V23" i="196" s="1"/>
  <c r="AL43" i="196" s="1"/>
  <c r="U161" i="194"/>
  <c r="U23" i="196" s="1"/>
  <c r="AK43" i="196" s="1"/>
  <c r="T82" i="196"/>
  <c r="T26" i="197"/>
  <c r="T116" i="197" s="1"/>
  <c r="AB25" i="197"/>
  <c r="AB115" i="197" s="1"/>
  <c r="AB81" i="196"/>
  <c r="R21" i="197"/>
  <c r="R77" i="196"/>
  <c r="W81" i="196"/>
  <c r="W25" i="197"/>
  <c r="W115" i="197" s="1"/>
  <c r="AD78" i="196"/>
  <c r="AD22" i="197"/>
  <c r="P20" i="197"/>
  <c r="P76" i="196"/>
  <c r="K144" i="197"/>
  <c r="K173" i="197" s="1"/>
  <c r="K78" i="198" s="1"/>
  <c r="K120" i="198" s="1"/>
  <c r="K135" i="197"/>
  <c r="K164" i="197" s="1"/>
  <c r="K69" i="198" s="1"/>
  <c r="K110" i="198" s="1"/>
  <c r="K126" i="197"/>
  <c r="K155" i="197" s="1"/>
  <c r="K60" i="198" s="1"/>
  <c r="K100" i="198" s="1"/>
  <c r="AD82" i="196"/>
  <c r="AD26" i="197"/>
  <c r="AD116" i="197" s="1"/>
  <c r="T77" i="196"/>
  <c r="T21" i="197"/>
  <c r="AC22" i="197"/>
  <c r="AC78" i="196"/>
  <c r="V22" i="197"/>
  <c r="V78" i="196"/>
  <c r="X76" i="196"/>
  <c r="X20" i="197"/>
  <c r="N76" i="196"/>
  <c r="N20" i="197"/>
  <c r="O81" i="196"/>
  <c r="O25" i="197"/>
  <c r="O115" i="197" s="1"/>
  <c r="AG127" i="197"/>
  <c r="AG156" i="197" s="1"/>
  <c r="AG61" i="198" s="1"/>
  <c r="AG101" i="198" s="1"/>
  <c r="AG145" i="197"/>
  <c r="AG174" i="197" s="1"/>
  <c r="AG79" i="198" s="1"/>
  <c r="AG121" i="198" s="1"/>
  <c r="AG136" i="197"/>
  <c r="AG165" i="197" s="1"/>
  <c r="AG70" i="198" s="1"/>
  <c r="AG111" i="198" s="1"/>
  <c r="AF26" i="197"/>
  <c r="AF116" i="197" s="1"/>
  <c r="AF82" i="196"/>
  <c r="N161" i="194"/>
  <c r="N23" i="196" s="1"/>
  <c r="Q161" i="194"/>
  <c r="Q23" i="196" s="1"/>
  <c r="AG43" i="196" s="1"/>
  <c r="AC77" i="196"/>
  <c r="AC21" i="197"/>
  <c r="U26" i="197"/>
  <c r="U116" i="197" s="1"/>
  <c r="U82" i="196"/>
  <c r="AC76" i="196"/>
  <c r="AC20" i="197"/>
  <c r="A4" i="191"/>
  <c r="J53" i="55"/>
  <c r="S161" i="194"/>
  <c r="S23" i="196" s="1"/>
  <c r="AI43" i="196" s="1"/>
  <c r="J144" i="197"/>
  <c r="J173" i="197" s="1"/>
  <c r="J78" i="198" s="1"/>
  <c r="J120" i="198" s="1"/>
  <c r="J126" i="197"/>
  <c r="J155" i="197" s="1"/>
  <c r="J60" i="198" s="1"/>
  <c r="J100" i="198" s="1"/>
  <c r="J135" i="197"/>
  <c r="J164" i="197" s="1"/>
  <c r="J69" i="198" s="1"/>
  <c r="J110" i="198" s="1"/>
  <c r="AD21" i="197"/>
  <c r="AD77" i="196"/>
  <c r="S82" i="196"/>
  <c r="S26" i="197"/>
  <c r="S116" i="197" s="1"/>
  <c r="AB76" i="196"/>
  <c r="AB20" i="197"/>
  <c r="H82" i="196" l="1"/>
  <c r="H81" i="196"/>
  <c r="H77" i="196"/>
  <c r="H78" i="196"/>
  <c r="S43" i="196"/>
  <c r="R43" i="196"/>
  <c r="T43" i="196"/>
  <c r="U43" i="196"/>
  <c r="V43" i="196"/>
  <c r="M144" i="197"/>
  <c r="M173" i="197" s="1"/>
  <c r="M78" i="198" s="1"/>
  <c r="M120" i="198" s="1"/>
  <c r="M126" i="197"/>
  <c r="M155" i="197" s="1"/>
  <c r="M60" i="198" s="1"/>
  <c r="M100" i="198" s="1"/>
  <c r="M135" i="197"/>
  <c r="M164" i="197" s="1"/>
  <c r="M69" i="198" s="1"/>
  <c r="M110" i="198" s="1"/>
  <c r="AE80" i="196"/>
  <c r="AE24" i="197"/>
  <c r="AE114" i="197" s="1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M136" i="197"/>
  <c r="M165" i="197" s="1"/>
  <c r="M70" i="198" s="1"/>
  <c r="M111" i="198" s="1"/>
  <c r="M145" i="197"/>
  <c r="M174" i="197" s="1"/>
  <c r="M79" i="198" s="1"/>
  <c r="M121" i="198" s="1"/>
  <c r="M127" i="197"/>
  <c r="M156" i="197" s="1"/>
  <c r="M61" i="198" s="1"/>
  <c r="M101" i="198" s="1"/>
  <c r="AN23" i="197"/>
  <c r="AN79" i="196"/>
  <c r="AN83" i="196" s="1"/>
  <c r="Y144" i="197"/>
  <c r="Y173" i="197" s="1"/>
  <c r="Y78" i="198" s="1"/>
  <c r="Y120" i="198" s="1"/>
  <c r="Y126" i="197"/>
  <c r="Y155" i="197" s="1"/>
  <c r="Y60" i="198" s="1"/>
  <c r="Y100" i="198" s="1"/>
  <c r="U144" i="197"/>
  <c r="U173" i="197" s="1"/>
  <c r="U78" i="198" s="1"/>
  <c r="U120" i="198" s="1"/>
  <c r="U135" i="197"/>
  <c r="U164" i="197" s="1"/>
  <c r="U69" i="198" s="1"/>
  <c r="U110" i="198" s="1"/>
  <c r="U126" i="197"/>
  <c r="U155" i="197" s="1"/>
  <c r="U60" i="198" s="1"/>
  <c r="U100" i="198" s="1"/>
  <c r="U80" i="196"/>
  <c r="U24" i="197"/>
  <c r="U114" i="197" s="1"/>
  <c r="AB145" i="197"/>
  <c r="AB174" i="197" s="1"/>
  <c r="AB79" i="198" s="1"/>
  <c r="AB121" i="198" s="1"/>
  <c r="AB127" i="197"/>
  <c r="AB156" i="197" s="1"/>
  <c r="AB61" i="198" s="1"/>
  <c r="AB101" i="198" s="1"/>
  <c r="AC144" i="197"/>
  <c r="AC173" i="197" s="1"/>
  <c r="AC78" i="198" s="1"/>
  <c r="AC120" i="198" s="1"/>
  <c r="AC126" i="197"/>
  <c r="AC155" i="197" s="1"/>
  <c r="AC60" i="198" s="1"/>
  <c r="AC100" i="198" s="1"/>
  <c r="R145" i="197"/>
  <c r="R174" i="197" s="1"/>
  <c r="R79" i="198" s="1"/>
  <c r="R121" i="198" s="1"/>
  <c r="R127" i="197"/>
  <c r="R156" i="197" s="1"/>
  <c r="R61" i="198" s="1"/>
  <c r="R101" i="198" s="1"/>
  <c r="R136" i="197"/>
  <c r="R165" i="197" s="1"/>
  <c r="R70" i="198" s="1"/>
  <c r="R111" i="198" s="1"/>
  <c r="O144" i="197"/>
  <c r="O173" i="197" s="1"/>
  <c r="O78" i="198" s="1"/>
  <c r="O120" i="198" s="1"/>
  <c r="O135" i="197"/>
  <c r="O164" i="197" s="1"/>
  <c r="O69" i="198" s="1"/>
  <c r="O110" i="198" s="1"/>
  <c r="O126" i="197"/>
  <c r="O155" i="197" s="1"/>
  <c r="O60" i="198" s="1"/>
  <c r="O100" i="198" s="1"/>
  <c r="P127" i="197"/>
  <c r="P156" i="197" s="1"/>
  <c r="P61" i="198" s="1"/>
  <c r="P101" i="198" s="1"/>
  <c r="P145" i="197"/>
  <c r="P174" i="197" s="1"/>
  <c r="P79" i="198" s="1"/>
  <c r="P121" i="198" s="1"/>
  <c r="P136" i="197"/>
  <c r="P165" i="197" s="1"/>
  <c r="P70" i="198" s="1"/>
  <c r="P111" i="198" s="1"/>
  <c r="AH79" i="196"/>
  <c r="AH83" i="196" s="1"/>
  <c r="AH23" i="197"/>
  <c r="N127" i="197"/>
  <c r="N156" i="197" s="1"/>
  <c r="N61" i="198" s="1"/>
  <c r="N101" i="198" s="1"/>
  <c r="N145" i="197"/>
  <c r="N174" i="197" s="1"/>
  <c r="N79" i="198" s="1"/>
  <c r="N121" i="198" s="1"/>
  <c r="N136" i="197"/>
  <c r="N165" i="197" s="1"/>
  <c r="N70" i="198" s="1"/>
  <c r="N111" i="198" s="1"/>
  <c r="AA145" i="197"/>
  <c r="AA174" i="197" s="1"/>
  <c r="AA79" i="198" s="1"/>
  <c r="AA121" i="198" s="1"/>
  <c r="AA127" i="197"/>
  <c r="AA156" i="197" s="1"/>
  <c r="AA61" i="198" s="1"/>
  <c r="AA101" i="198" s="1"/>
  <c r="Z126" i="197"/>
  <c r="Z155" i="197" s="1"/>
  <c r="Z60" i="198" s="1"/>
  <c r="Z100" i="198" s="1"/>
  <c r="Z144" i="197"/>
  <c r="Z173" i="197" s="1"/>
  <c r="Z78" i="198" s="1"/>
  <c r="Z120" i="198" s="1"/>
  <c r="AB126" i="197"/>
  <c r="AB155" i="197" s="1"/>
  <c r="AB60" i="198" s="1"/>
  <c r="AB100" i="198" s="1"/>
  <c r="AB144" i="197"/>
  <c r="AB173" i="197" s="1"/>
  <c r="AB78" i="198" s="1"/>
  <c r="AB120" i="198" s="1"/>
  <c r="AI23" i="197"/>
  <c r="AI79" i="196"/>
  <c r="AI83" i="196" s="1"/>
  <c r="S136" i="197"/>
  <c r="S165" i="197" s="1"/>
  <c r="S70" i="198" s="1"/>
  <c r="S111" i="198" s="1"/>
  <c r="S127" i="197"/>
  <c r="S156" i="197" s="1"/>
  <c r="S61" i="198" s="1"/>
  <c r="S101" i="198" s="1"/>
  <c r="S145" i="197"/>
  <c r="S174" i="197" s="1"/>
  <c r="S79" i="198" s="1"/>
  <c r="S121" i="198" s="1"/>
  <c r="AG79" i="196"/>
  <c r="AG83" i="196" s="1"/>
  <c r="AG23" i="197"/>
  <c r="Q79" i="196"/>
  <c r="Q83" i="196" s="1"/>
  <c r="Q23" i="197"/>
  <c r="X145" i="197"/>
  <c r="X174" i="197" s="1"/>
  <c r="X79" i="198" s="1"/>
  <c r="X121" i="198" s="1"/>
  <c r="X127" i="197"/>
  <c r="X156" i="197" s="1"/>
  <c r="X61" i="198" s="1"/>
  <c r="X101" i="198" s="1"/>
  <c r="W145" i="197"/>
  <c r="W174" i="197" s="1"/>
  <c r="W79" i="198" s="1"/>
  <c r="W121" i="198" s="1"/>
  <c r="W127" i="197"/>
  <c r="W156" i="197" s="1"/>
  <c r="W61" i="198" s="1"/>
  <c r="W101" i="198" s="1"/>
  <c r="AB43" i="196"/>
  <c r="AF43" i="196"/>
  <c r="AC43" i="196"/>
  <c r="AD43" i="196"/>
  <c r="AE43" i="196"/>
  <c r="AA144" i="197"/>
  <c r="AA173" i="197" s="1"/>
  <c r="AA78" i="198" s="1"/>
  <c r="AA120" i="198" s="1"/>
  <c r="AA126" i="197"/>
  <c r="AA155" i="197" s="1"/>
  <c r="AA60" i="198" s="1"/>
  <c r="AA100" i="198" s="1"/>
  <c r="AE127" i="197"/>
  <c r="AE156" i="197" s="1"/>
  <c r="AE61" i="198" s="1"/>
  <c r="AE101" i="198" s="1"/>
  <c r="AE145" i="197"/>
  <c r="AE174" i="197" s="1"/>
  <c r="AE79" i="198" s="1"/>
  <c r="AE121" i="198" s="1"/>
  <c r="AJ23" i="197"/>
  <c r="AJ79" i="196"/>
  <c r="AJ83" i="196" s="1"/>
  <c r="M24" i="197"/>
  <c r="M114" i="197" s="1"/>
  <c r="M80" i="196"/>
  <c r="P126" i="197"/>
  <c r="P155" i="197" s="1"/>
  <c r="P60" i="198" s="1"/>
  <c r="P100" i="198" s="1"/>
  <c r="P144" i="197"/>
  <c r="P173" i="197" s="1"/>
  <c r="P78" i="198" s="1"/>
  <c r="P120" i="198" s="1"/>
  <c r="P135" i="197"/>
  <c r="P164" i="197" s="1"/>
  <c r="P69" i="198" s="1"/>
  <c r="P110" i="198" s="1"/>
  <c r="Z80" i="196"/>
  <c r="Z24" i="197"/>
  <c r="Z114" i="197" s="1"/>
  <c r="L80" i="196"/>
  <c r="L24" i="197"/>
  <c r="L114" i="197" s="1"/>
  <c r="T126" i="197"/>
  <c r="T155" i="197" s="1"/>
  <c r="T60" i="198" s="1"/>
  <c r="T100" i="198" s="1"/>
  <c r="T135" i="197"/>
  <c r="T164" i="197" s="1"/>
  <c r="T69" i="198" s="1"/>
  <c r="T110" i="198" s="1"/>
  <c r="T144" i="197"/>
  <c r="T173" i="197" s="1"/>
  <c r="T78" i="198" s="1"/>
  <c r="T120" i="198" s="1"/>
  <c r="T136" i="197"/>
  <c r="T165" i="197" s="1"/>
  <c r="T70" i="198" s="1"/>
  <c r="T111" i="198" s="1"/>
  <c r="T127" i="197"/>
  <c r="T156" i="197" s="1"/>
  <c r="T61" i="198" s="1"/>
  <c r="T101" i="198" s="1"/>
  <c r="T145" i="197"/>
  <c r="T174" i="197" s="1"/>
  <c r="T79" i="198" s="1"/>
  <c r="T121" i="198" s="1"/>
  <c r="AD80" i="196"/>
  <c r="AD24" i="197"/>
  <c r="AD114" i="197" s="1"/>
  <c r="Y145" i="197"/>
  <c r="Y174" i="197" s="1"/>
  <c r="Y79" i="198" s="1"/>
  <c r="Y121" i="198" s="1"/>
  <c r="Y127" i="197"/>
  <c r="Y156" i="197" s="1"/>
  <c r="Y61" i="198" s="1"/>
  <c r="Y101" i="198" s="1"/>
  <c r="K23" i="197"/>
  <c r="K79" i="196"/>
  <c r="K83" i="196" s="1"/>
  <c r="Y23" i="197"/>
  <c r="Y79" i="196"/>
  <c r="J143" i="197"/>
  <c r="J172" i="197" s="1"/>
  <c r="J77" i="198" s="1"/>
  <c r="J119" i="198" s="1"/>
  <c r="J134" i="197"/>
  <c r="J163" i="197" s="1"/>
  <c r="J68" i="198" s="1"/>
  <c r="J109" i="198" s="1"/>
  <c r="J125" i="197"/>
  <c r="J154" i="197" s="1"/>
  <c r="J59" i="198" s="1"/>
  <c r="J99" i="198" s="1"/>
  <c r="L43" i="196"/>
  <c r="N43" i="196"/>
  <c r="M43" i="196"/>
  <c r="P43" i="196"/>
  <c r="O43" i="196"/>
  <c r="V135" i="197"/>
  <c r="V164" i="197" s="1"/>
  <c r="V69" i="198" s="1"/>
  <c r="V110" i="198" s="1"/>
  <c r="V126" i="197"/>
  <c r="V155" i="197" s="1"/>
  <c r="V60" i="198" s="1"/>
  <c r="V100" i="198" s="1"/>
  <c r="V144" i="197"/>
  <c r="V173" i="197" s="1"/>
  <c r="V78" i="198" s="1"/>
  <c r="V120" i="198" s="1"/>
  <c r="X144" i="197"/>
  <c r="X173" i="197" s="1"/>
  <c r="X78" i="198" s="1"/>
  <c r="X120" i="198" s="1"/>
  <c r="X126" i="197"/>
  <c r="X155" i="197" s="1"/>
  <c r="X60" i="198" s="1"/>
  <c r="X100" i="198" s="1"/>
  <c r="S135" i="197"/>
  <c r="S164" i="197" s="1"/>
  <c r="S69" i="198" s="1"/>
  <c r="S110" i="198" s="1"/>
  <c r="S126" i="197"/>
  <c r="S155" i="197" s="1"/>
  <c r="S60" i="198" s="1"/>
  <c r="S100" i="198" s="1"/>
  <c r="S144" i="197"/>
  <c r="S173" i="197" s="1"/>
  <c r="S78" i="198" s="1"/>
  <c r="S120" i="198" s="1"/>
  <c r="H76" i="196"/>
  <c r="R80" i="196"/>
  <c r="R24" i="197"/>
  <c r="R114" i="197" s="1"/>
  <c r="AA80" i="196"/>
  <c r="AA24" i="197"/>
  <c r="AA114" i="197" s="1"/>
  <c r="N80" i="196"/>
  <c r="N24" i="197"/>
  <c r="N114" i="197" s="1"/>
  <c r="L145" i="197"/>
  <c r="L174" i="197" s="1"/>
  <c r="L79" i="198" s="1"/>
  <c r="L121" i="198" s="1"/>
  <c r="L127" i="197"/>
  <c r="L156" i="197" s="1"/>
  <c r="L61" i="198" s="1"/>
  <c r="L101" i="198" s="1"/>
  <c r="L136" i="197"/>
  <c r="L165" i="197" s="1"/>
  <c r="L70" i="198" s="1"/>
  <c r="L111" i="198" s="1"/>
  <c r="AF145" i="197"/>
  <c r="AF174" i="197" s="1"/>
  <c r="AF79" i="198" s="1"/>
  <c r="AF121" i="198" s="1"/>
  <c r="AF127" i="197"/>
  <c r="AF156" i="197" s="1"/>
  <c r="AF61" i="198" s="1"/>
  <c r="AF101" i="198" s="1"/>
  <c r="AD145" i="197"/>
  <c r="AD174" i="197" s="1"/>
  <c r="AD79" i="198" s="1"/>
  <c r="AD121" i="198" s="1"/>
  <c r="AD127" i="197"/>
  <c r="AD156" i="197" s="1"/>
  <c r="AD61" i="198" s="1"/>
  <c r="AD101" i="198" s="1"/>
  <c r="AC80" i="196"/>
  <c r="AC24" i="197"/>
  <c r="AC114" i="197" s="1"/>
  <c r="N135" i="197"/>
  <c r="N164" i="197" s="1"/>
  <c r="N69" i="198" s="1"/>
  <c r="N110" i="198" s="1"/>
  <c r="N144" i="197"/>
  <c r="N173" i="197" s="1"/>
  <c r="N78" i="198" s="1"/>
  <c r="N120" i="198" s="1"/>
  <c r="N126" i="197"/>
  <c r="N155" i="197" s="1"/>
  <c r="N60" i="198" s="1"/>
  <c r="N100" i="198" s="1"/>
  <c r="O145" i="197"/>
  <c r="O174" i="197" s="1"/>
  <c r="O79" i="198" s="1"/>
  <c r="O121" i="198" s="1"/>
  <c r="O136" i="197"/>
  <c r="O165" i="197" s="1"/>
  <c r="O70" i="198" s="1"/>
  <c r="O111" i="198" s="1"/>
  <c r="O127" i="197"/>
  <c r="O156" i="197" s="1"/>
  <c r="O61" i="198" s="1"/>
  <c r="O101" i="198" s="1"/>
  <c r="Z23" i="197"/>
  <c r="Z79" i="196"/>
  <c r="Z83" i="196" s="1"/>
  <c r="J146" i="194"/>
  <c r="J161" i="194" s="1"/>
  <c r="J23" i="196" s="1"/>
  <c r="J43" i="196" s="1"/>
  <c r="H165" i="194" a="1"/>
  <c r="H165" i="194" s="1"/>
  <c r="S24" i="197"/>
  <c r="S114" i="197" s="1"/>
  <c r="S80" i="196"/>
  <c r="Y24" i="197"/>
  <c r="Y114" i="197" s="1"/>
  <c r="Y80" i="196"/>
  <c r="P24" i="197"/>
  <c r="P114" i="197" s="1"/>
  <c r="P80" i="196"/>
  <c r="AM79" i="196"/>
  <c r="AM83" i="196" s="1"/>
  <c r="AM23" i="197"/>
  <c r="W126" i="197"/>
  <c r="W155" i="197" s="1"/>
  <c r="W60" i="198" s="1"/>
  <c r="W100" i="198" s="1"/>
  <c r="W144" i="197"/>
  <c r="W173" i="197" s="1"/>
  <c r="W78" i="198" s="1"/>
  <c r="W120" i="198" s="1"/>
  <c r="AK79" i="196"/>
  <c r="AK83" i="196" s="1"/>
  <c r="AK23" i="197"/>
  <c r="Q143" i="197"/>
  <c r="Q172" i="197" s="1"/>
  <c r="Q77" i="198" s="1"/>
  <c r="Q119" i="198" s="1"/>
  <c r="Q134" i="197"/>
  <c r="Q163" i="197" s="1"/>
  <c r="Q68" i="198" s="1"/>
  <c r="Q109" i="198" s="1"/>
  <c r="Q125" i="197"/>
  <c r="Q154" i="197" s="1"/>
  <c r="Q59" i="198" s="1"/>
  <c r="Q99" i="198" s="1"/>
  <c r="AF80" i="196"/>
  <c r="AF24" i="197"/>
  <c r="AF114" i="197" s="1"/>
  <c r="Z145" i="197"/>
  <c r="Z174" i="197" s="1"/>
  <c r="Z79" i="198" s="1"/>
  <c r="Z121" i="198" s="1"/>
  <c r="Z127" i="197"/>
  <c r="Z156" i="197" s="1"/>
  <c r="Z61" i="198" s="1"/>
  <c r="Z101" i="198" s="1"/>
  <c r="V127" i="197"/>
  <c r="V156" i="197" s="1"/>
  <c r="V61" i="198" s="1"/>
  <c r="V101" i="198" s="1"/>
  <c r="V136" i="197"/>
  <c r="V165" i="197" s="1"/>
  <c r="V70" i="198" s="1"/>
  <c r="V111" i="198" s="1"/>
  <c r="V145" i="197"/>
  <c r="V174" i="197" s="1"/>
  <c r="V79" i="198" s="1"/>
  <c r="V121" i="198" s="1"/>
  <c r="L135" i="197"/>
  <c r="L164" i="197" s="1"/>
  <c r="L69" i="198" s="1"/>
  <c r="L110" i="198" s="1"/>
  <c r="L144" i="197"/>
  <c r="L173" i="197" s="1"/>
  <c r="L78" i="198" s="1"/>
  <c r="L120" i="198" s="1"/>
  <c r="L126" i="197"/>
  <c r="L155" i="197" s="1"/>
  <c r="L60" i="198" s="1"/>
  <c r="L100" i="198" s="1"/>
  <c r="W79" i="196"/>
  <c r="W83" i="196" s="1"/>
  <c r="W23" i="197"/>
  <c r="R144" i="197"/>
  <c r="R173" i="197" s="1"/>
  <c r="R78" i="198" s="1"/>
  <c r="R120" i="198" s="1"/>
  <c r="R126" i="197"/>
  <c r="R155" i="197" s="1"/>
  <c r="R60" i="198" s="1"/>
  <c r="R100" i="198" s="1"/>
  <c r="R135" i="197"/>
  <c r="R164" i="197" s="1"/>
  <c r="R69" i="198" s="1"/>
  <c r="R110" i="198" s="1"/>
  <c r="AF126" i="197"/>
  <c r="AF155" i="197" s="1"/>
  <c r="AF60" i="198" s="1"/>
  <c r="AF100" i="198" s="1"/>
  <c r="AF144" i="197"/>
  <c r="AF173" i="197" s="1"/>
  <c r="AF78" i="198" s="1"/>
  <c r="AF120" i="198" s="1"/>
  <c r="T24" i="197"/>
  <c r="T114" i="197" s="1"/>
  <c r="T80" i="196"/>
  <c r="W80" i="196"/>
  <c r="W24" i="197"/>
  <c r="W114" i="197" s="1"/>
  <c r="O80" i="196"/>
  <c r="O24" i="197"/>
  <c r="O114" i="197" s="1"/>
  <c r="X23" i="197"/>
  <c r="X79" i="196"/>
  <c r="U145" i="197"/>
  <c r="U174" i="197" s="1"/>
  <c r="U79" i="198" s="1"/>
  <c r="U121" i="198" s="1"/>
  <c r="U136" i="197"/>
  <c r="U165" i="197" s="1"/>
  <c r="U70" i="198" s="1"/>
  <c r="U111" i="198" s="1"/>
  <c r="U127" i="197"/>
  <c r="U156" i="197" s="1"/>
  <c r="U61" i="198" s="1"/>
  <c r="U101" i="198" s="1"/>
  <c r="AL79" i="196"/>
  <c r="AL83" i="196" s="1"/>
  <c r="AL23" i="197"/>
  <c r="AB80" i="196"/>
  <c r="AB24" i="197"/>
  <c r="AB114" i="197" s="1"/>
  <c r="AA23" i="197"/>
  <c r="AA79" i="196"/>
  <c r="AD126" i="197"/>
  <c r="AD155" i="197" s="1"/>
  <c r="AD60" i="198" s="1"/>
  <c r="AD100" i="198" s="1"/>
  <c r="AD144" i="197"/>
  <c r="AD173" i="197" s="1"/>
  <c r="AD78" i="198" s="1"/>
  <c r="AD120" i="198" s="1"/>
  <c r="AE126" i="197"/>
  <c r="AE155" i="197" s="1"/>
  <c r="AE60" i="198" s="1"/>
  <c r="AE100" i="198" s="1"/>
  <c r="AE144" i="197"/>
  <c r="AE173" i="197" s="1"/>
  <c r="AE78" i="198" s="1"/>
  <c r="AE120" i="198" s="1"/>
  <c r="AO23" i="197"/>
  <c r="AO79" i="196"/>
  <c r="AO83" i="196" s="1"/>
  <c r="AC145" i="197"/>
  <c r="AC174" i="197" s="1"/>
  <c r="AC79" i="198" s="1"/>
  <c r="AC121" i="198" s="1"/>
  <c r="AC127" i="197"/>
  <c r="AC156" i="197" s="1"/>
  <c r="AC61" i="198" s="1"/>
  <c r="AC101" i="198" s="1"/>
  <c r="V24" i="197"/>
  <c r="V114" i="197" s="1"/>
  <c r="V80" i="196"/>
  <c r="X24" i="197"/>
  <c r="X114" i="197" s="1"/>
  <c r="X80" i="196"/>
  <c r="AA83" i="196" l="1"/>
  <c r="H100" i="198"/>
  <c r="H120" i="198"/>
  <c r="H101" i="198"/>
  <c r="H121" i="198"/>
  <c r="H80" i="196"/>
  <c r="H110" i="198"/>
  <c r="H111" i="198"/>
  <c r="X143" i="197"/>
  <c r="X172" i="197" s="1"/>
  <c r="X77" i="198" s="1"/>
  <c r="X119" i="198" s="1"/>
  <c r="X125" i="197"/>
  <c r="X154" i="197" s="1"/>
  <c r="X59" i="198" s="1"/>
  <c r="X99" i="198" s="1"/>
  <c r="O125" i="197"/>
  <c r="O154" i="197" s="1"/>
  <c r="O59" i="198" s="1"/>
  <c r="O99" i="198" s="1"/>
  <c r="O143" i="197"/>
  <c r="O172" i="197" s="1"/>
  <c r="O77" i="198" s="1"/>
  <c r="O119" i="198" s="1"/>
  <c r="O134" i="197"/>
  <c r="O163" i="197" s="1"/>
  <c r="O68" i="198" s="1"/>
  <c r="O109" i="198" s="1"/>
  <c r="AA125" i="197"/>
  <c r="AA154" i="197" s="1"/>
  <c r="AA59" i="198" s="1"/>
  <c r="AA99" i="198" s="1"/>
  <c r="AA143" i="197"/>
  <c r="AA172" i="197" s="1"/>
  <c r="AA77" i="198" s="1"/>
  <c r="AA119" i="198" s="1"/>
  <c r="N23" i="197"/>
  <c r="N79" i="196"/>
  <c r="N83" i="196" s="1"/>
  <c r="J56" i="55"/>
  <c r="A4" i="194"/>
  <c r="L79" i="196"/>
  <c r="L83" i="196" s="1"/>
  <c r="L23" i="197"/>
  <c r="W143" i="197"/>
  <c r="W172" i="197" s="1"/>
  <c r="W77" i="198" s="1"/>
  <c r="W119" i="198" s="1"/>
  <c r="W125" i="197"/>
  <c r="W154" i="197" s="1"/>
  <c r="W59" i="198" s="1"/>
  <c r="W99" i="198" s="1"/>
  <c r="P134" i="197"/>
  <c r="P163" i="197" s="1"/>
  <c r="P68" i="198" s="1"/>
  <c r="P109" i="198" s="1"/>
  <c r="P125" i="197"/>
  <c r="P154" i="197" s="1"/>
  <c r="P59" i="198" s="1"/>
  <c r="P99" i="198" s="1"/>
  <c r="P143" i="197"/>
  <c r="P172" i="197" s="1"/>
  <c r="P77" i="198" s="1"/>
  <c r="P119" i="198" s="1"/>
  <c r="J23" i="197"/>
  <c r="J79" i="196"/>
  <c r="T223" i="196" a="1"/>
  <c r="T223" i="196" s="1"/>
  <c r="R223" i="196" a="1"/>
  <c r="R223" i="196" s="1"/>
  <c r="R225" i="196" s="1"/>
  <c r="AC223" i="196" a="1"/>
  <c r="AC223" i="196" s="1"/>
  <c r="J223" i="196" a="1"/>
  <c r="J223" i="196" s="1"/>
  <c r="AA223" i="196" a="1"/>
  <c r="AA223" i="196" s="1"/>
  <c r="Z223" i="196" a="1"/>
  <c r="Z223" i="196" s="1"/>
  <c r="L223" i="196" a="1"/>
  <c r="L223" i="196" s="1"/>
  <c r="L225" i="196" s="1"/>
  <c r="AH223" i="196" a="1"/>
  <c r="AH223" i="196" s="1"/>
  <c r="AH225" i="196" s="1"/>
  <c r="O223" i="196" a="1"/>
  <c r="O223" i="196" s="1"/>
  <c r="AI223" i="196" a="1"/>
  <c r="AI223" i="196" s="1"/>
  <c r="AI225" i="196" s="1"/>
  <c r="AF223" i="196" a="1"/>
  <c r="AF223" i="196" s="1"/>
  <c r="W223" i="196" a="1"/>
  <c r="W223" i="196" s="1"/>
  <c r="W225" i="196" s="1"/>
  <c r="S223" i="196" a="1"/>
  <c r="S223" i="196" s="1"/>
  <c r="AE223" i="196" a="1"/>
  <c r="AE223" i="196" s="1"/>
  <c r="U223" i="196" a="1"/>
  <c r="U223" i="196" s="1"/>
  <c r="AJ223" i="196" a="1"/>
  <c r="AJ223" i="196" s="1"/>
  <c r="AJ225" i="196" s="1"/>
  <c r="Y223" i="196" a="1"/>
  <c r="Y223" i="196" s="1"/>
  <c r="X223" i="196" a="1"/>
  <c r="X223" i="196" s="1"/>
  <c r="AM223" i="196" a="1"/>
  <c r="AM223" i="196" s="1"/>
  <c r="AM225" i="196" s="1"/>
  <c r="K223" i="196" a="1"/>
  <c r="K223" i="196" s="1"/>
  <c r="K225" i="196" s="1"/>
  <c r="AG223" i="196" a="1"/>
  <c r="AG223" i="196" s="1"/>
  <c r="AG225" i="196" s="1"/>
  <c r="P223" i="196" a="1"/>
  <c r="P223" i="196" s="1"/>
  <c r="AD223" i="196" a="1"/>
  <c r="AD223" i="196" s="1"/>
  <c r="AN223" i="196" a="1"/>
  <c r="AN223" i="196" s="1"/>
  <c r="AN225" i="196" s="1"/>
  <c r="AO223" i="196" a="1"/>
  <c r="AO223" i="196" s="1"/>
  <c r="AO225" i="196" s="1"/>
  <c r="M223" i="196" a="1"/>
  <c r="M223" i="196" s="1"/>
  <c r="Q223" i="196" a="1"/>
  <c r="Q223" i="196" s="1"/>
  <c r="Q225" i="196" s="1"/>
  <c r="AK223" i="196" a="1"/>
  <c r="AK223" i="196" s="1"/>
  <c r="AK225" i="196" s="1"/>
  <c r="AB223" i="196" a="1"/>
  <c r="AB223" i="196" s="1"/>
  <c r="AB225" i="196" s="1"/>
  <c r="AL223" i="196" a="1"/>
  <c r="AL223" i="196" s="1"/>
  <c r="AL225" i="196" s="1"/>
  <c r="V223" i="196" a="1"/>
  <c r="V223" i="196" s="1"/>
  <c r="N223" i="196" a="1"/>
  <c r="N223" i="196" s="1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AE79" i="196"/>
  <c r="AE83" i="196" s="1"/>
  <c r="AE23" i="197"/>
  <c r="V134" i="197"/>
  <c r="V163" i="197" s="1"/>
  <c r="V68" i="198" s="1"/>
  <c r="V109" i="198" s="1"/>
  <c r="V125" i="197"/>
  <c r="V154" i="197" s="1"/>
  <c r="V59" i="198" s="1"/>
  <c r="V99" i="198" s="1"/>
  <c r="V143" i="197"/>
  <c r="V172" i="197" s="1"/>
  <c r="V77" i="198" s="1"/>
  <c r="V119" i="198" s="1"/>
  <c r="AD125" i="197"/>
  <c r="AD154" i="197" s="1"/>
  <c r="AD59" i="198" s="1"/>
  <c r="AD99" i="198" s="1"/>
  <c r="AD143" i="197"/>
  <c r="AD172" i="197" s="1"/>
  <c r="AD77" i="198" s="1"/>
  <c r="AD119" i="198" s="1"/>
  <c r="L134" i="197"/>
  <c r="L163" i="197" s="1"/>
  <c r="L68" i="198" s="1"/>
  <c r="L109" i="198" s="1"/>
  <c r="L143" i="197"/>
  <c r="L172" i="197" s="1"/>
  <c r="L77" i="198" s="1"/>
  <c r="L119" i="198" s="1"/>
  <c r="L125" i="197"/>
  <c r="L154" i="197" s="1"/>
  <c r="L59" i="198" s="1"/>
  <c r="L99" i="198" s="1"/>
  <c r="M125" i="197"/>
  <c r="M154" i="197" s="1"/>
  <c r="M59" i="198" s="1"/>
  <c r="M99" i="198" s="1"/>
  <c r="M143" i="197"/>
  <c r="M172" i="197" s="1"/>
  <c r="M77" i="198" s="1"/>
  <c r="M119" i="198" s="1"/>
  <c r="M134" i="197"/>
  <c r="M163" i="197" s="1"/>
  <c r="M68" i="198" s="1"/>
  <c r="M109" i="198" s="1"/>
  <c r="AD79" i="196"/>
  <c r="AD83" i="196" s="1"/>
  <c r="AD23" i="197"/>
  <c r="V23" i="197"/>
  <c r="V79" i="196"/>
  <c r="V83" i="196" s="1"/>
  <c r="Y143" i="197"/>
  <c r="Y172" i="197" s="1"/>
  <c r="Y77" i="198" s="1"/>
  <c r="Y119" i="198" s="1"/>
  <c r="Y125" i="197"/>
  <c r="Y154" i="197" s="1"/>
  <c r="Y59" i="198" s="1"/>
  <c r="Y99" i="198" s="1"/>
  <c r="AC79" i="196"/>
  <c r="AC83" i="196" s="1"/>
  <c r="AC23" i="197"/>
  <c r="U79" i="196"/>
  <c r="U83" i="196" s="1"/>
  <c r="U23" i="197"/>
  <c r="T143" i="197"/>
  <c r="T172" i="197" s="1"/>
  <c r="T77" i="198" s="1"/>
  <c r="T119" i="198" s="1"/>
  <c r="T134" i="197"/>
  <c r="T163" i="197" s="1"/>
  <c r="T68" i="198" s="1"/>
  <c r="T109" i="198" s="1"/>
  <c r="T125" i="197"/>
  <c r="T154" i="197" s="1"/>
  <c r="T59" i="198" s="1"/>
  <c r="T99" i="198" s="1"/>
  <c r="AF125" i="197"/>
  <c r="AF154" i="197" s="1"/>
  <c r="AF59" i="198" s="1"/>
  <c r="AF99" i="198" s="1"/>
  <c r="AF143" i="197"/>
  <c r="AF172" i="197" s="1"/>
  <c r="AF77" i="198" s="1"/>
  <c r="AF119" i="198" s="1"/>
  <c r="AC143" i="197"/>
  <c r="AC172" i="197" s="1"/>
  <c r="AC77" i="198" s="1"/>
  <c r="AC119" i="198" s="1"/>
  <c r="AC125" i="197"/>
  <c r="AC154" i="197" s="1"/>
  <c r="AC59" i="198" s="1"/>
  <c r="AC99" i="198" s="1"/>
  <c r="O79" i="196"/>
  <c r="O83" i="196" s="1"/>
  <c r="O23" i="197"/>
  <c r="Y83" i="196"/>
  <c r="Z125" i="197"/>
  <c r="Z154" i="197" s="1"/>
  <c r="Z59" i="198" s="1"/>
  <c r="Z99" i="198" s="1"/>
  <c r="Z143" i="197"/>
  <c r="Z172" i="197" s="1"/>
  <c r="Z77" i="198" s="1"/>
  <c r="Z119" i="198" s="1"/>
  <c r="AF23" i="197"/>
  <c r="AF79" i="196"/>
  <c r="AF83" i="196" s="1"/>
  <c r="U134" i="197"/>
  <c r="U163" i="197" s="1"/>
  <c r="U68" i="198" s="1"/>
  <c r="U109" i="198" s="1"/>
  <c r="U143" i="197"/>
  <c r="U172" i="197" s="1"/>
  <c r="U77" i="198" s="1"/>
  <c r="U119" i="198" s="1"/>
  <c r="U125" i="197"/>
  <c r="U154" i="197" s="1"/>
  <c r="U59" i="198" s="1"/>
  <c r="U99" i="198" s="1"/>
  <c r="AE125" i="197"/>
  <c r="AE154" i="197" s="1"/>
  <c r="AE59" i="198" s="1"/>
  <c r="AE99" i="198" s="1"/>
  <c r="AE143" i="197"/>
  <c r="AE172" i="197" s="1"/>
  <c r="AE77" i="198" s="1"/>
  <c r="AE119" i="198" s="1"/>
  <c r="T79" i="196"/>
  <c r="T83" i="196" s="1"/>
  <c r="T23" i="197"/>
  <c r="AB143" i="197"/>
  <c r="AB172" i="197" s="1"/>
  <c r="AB77" i="198" s="1"/>
  <c r="AB119" i="198" s="1"/>
  <c r="AB125" i="197"/>
  <c r="AB154" i="197" s="1"/>
  <c r="AB59" i="198" s="1"/>
  <c r="AB99" i="198" s="1"/>
  <c r="X83" i="196"/>
  <c r="S143" i="197"/>
  <c r="S172" i="197" s="1"/>
  <c r="S77" i="198" s="1"/>
  <c r="S119" i="198" s="1"/>
  <c r="S134" i="197"/>
  <c r="S163" i="197" s="1"/>
  <c r="S68" i="198" s="1"/>
  <c r="S109" i="198" s="1"/>
  <c r="S125" i="197"/>
  <c r="S154" i="197" s="1"/>
  <c r="S59" i="198" s="1"/>
  <c r="S99" i="198" s="1"/>
  <c r="N143" i="197"/>
  <c r="N172" i="197" s="1"/>
  <c r="N77" i="198" s="1"/>
  <c r="N119" i="198" s="1"/>
  <c r="N134" i="197"/>
  <c r="N163" i="197" s="1"/>
  <c r="N68" i="198" s="1"/>
  <c r="N109" i="198" s="1"/>
  <c r="N125" i="197"/>
  <c r="N154" i="197" s="1"/>
  <c r="N59" i="198" s="1"/>
  <c r="N99" i="198" s="1"/>
  <c r="P23" i="197"/>
  <c r="P79" i="196"/>
  <c r="P83" i="196" s="1"/>
  <c r="AB23" i="197"/>
  <c r="AB79" i="196"/>
  <c r="AB83" i="196" s="1"/>
  <c r="R23" i="197"/>
  <c r="R79" i="196"/>
  <c r="R83" i="196" s="1"/>
  <c r="M79" i="196"/>
  <c r="M83" i="196" s="1"/>
  <c r="M23" i="197"/>
  <c r="S23" i="197"/>
  <c r="S79" i="196"/>
  <c r="S83" i="196" s="1"/>
  <c r="H119" i="198" l="1"/>
  <c r="H109" i="198"/>
  <c r="H99" i="198"/>
  <c r="AK227" i="196"/>
  <c r="AK229" i="196" s="1"/>
  <c r="AK416" i="196"/>
  <c r="AK35" i="197" s="1"/>
  <c r="AK113" i="197" s="1"/>
  <c r="AK124" i="197" s="1"/>
  <c r="AK153" i="197" s="1"/>
  <c r="AK58" i="198" s="1"/>
  <c r="AK98" i="198" s="1"/>
  <c r="K227" i="196"/>
  <c r="K229" i="196" s="1"/>
  <c r="K416" i="196"/>
  <c r="K35" i="197" s="1"/>
  <c r="K113" i="197" s="1"/>
  <c r="W227" i="196"/>
  <c r="W229" i="196" s="1"/>
  <c r="W416" i="196"/>
  <c r="W35" i="197" s="1"/>
  <c r="W113" i="197" s="1"/>
  <c r="Q227" i="196"/>
  <c r="Q229" i="196" s="1"/>
  <c r="Q416" i="196"/>
  <c r="Q35" i="197" s="1"/>
  <c r="Q113" i="197" s="1"/>
  <c r="AM416" i="196"/>
  <c r="AM35" i="197" s="1"/>
  <c r="AM113" i="197" s="1"/>
  <c r="AM124" i="197" s="1"/>
  <c r="AM153" i="197" s="1"/>
  <c r="AM58" i="198" s="1"/>
  <c r="AM98" i="198" s="1"/>
  <c r="AM227" i="196"/>
  <c r="AM229" i="196" s="1"/>
  <c r="AI227" i="196"/>
  <c r="AI229" i="196" s="1"/>
  <c r="AI416" i="196"/>
  <c r="AI35" i="197" s="1"/>
  <c r="AI113" i="197" s="1"/>
  <c r="R227" i="196"/>
  <c r="R229" i="196" s="1"/>
  <c r="R416" i="196"/>
  <c r="R35" i="197" s="1"/>
  <c r="R113" i="197" s="1"/>
  <c r="AO416" i="196"/>
  <c r="AO35" i="197" s="1"/>
  <c r="AO113" i="197" s="1"/>
  <c r="AO124" i="197" s="1"/>
  <c r="AO153" i="197" s="1"/>
  <c r="AO58" i="198" s="1"/>
  <c r="AO98" i="198" s="1"/>
  <c r="AO227" i="196"/>
  <c r="AO229" i="196" s="1"/>
  <c r="AN416" i="196"/>
  <c r="AN35" i="197" s="1"/>
  <c r="AN113" i="197" s="1"/>
  <c r="AN227" i="196"/>
  <c r="AN229" i="196" s="1"/>
  <c r="AJ416" i="196"/>
  <c r="AJ35" i="197" s="1"/>
  <c r="AJ113" i="197" s="1"/>
  <c r="AJ227" i="196"/>
  <c r="AJ229" i="196" s="1"/>
  <c r="AH227" i="196"/>
  <c r="AH229" i="196" s="1"/>
  <c r="AH416" i="196"/>
  <c r="AH35" i="197" s="1"/>
  <c r="AH113" i="197" s="1"/>
  <c r="H79" i="196"/>
  <c r="J83" i="196"/>
  <c r="H83" i="196" s="1"/>
  <c r="L416" i="196"/>
  <c r="L35" i="197" s="1"/>
  <c r="L113" i="197" s="1"/>
  <c r="L227" i="196"/>
  <c r="L229" i="196" s="1"/>
  <c r="AL227" i="196"/>
  <c r="AL229" i="196" s="1"/>
  <c r="AL416" i="196"/>
  <c r="AL35" i="197" s="1"/>
  <c r="AL113" i="197" s="1"/>
  <c r="AB416" i="196"/>
  <c r="AB35" i="197" s="1"/>
  <c r="AB113" i="197" s="1"/>
  <c r="AB227" i="196"/>
  <c r="AB229" i="196" s="1"/>
  <c r="AG227" i="196"/>
  <c r="AG229" i="196" s="1"/>
  <c r="AG416" i="196"/>
  <c r="AG35" i="197" s="1"/>
  <c r="AG113" i="197" s="1"/>
  <c r="AG133" i="197" l="1"/>
  <c r="AG162" i="197" s="1"/>
  <c r="AG67" i="198" s="1"/>
  <c r="AG108" i="198" s="1"/>
  <c r="AG142" i="197"/>
  <c r="AG171" i="197" s="1"/>
  <c r="AG76" i="198" s="1"/>
  <c r="AG118" i="198" s="1"/>
  <c r="AG124" i="197"/>
  <c r="AG153" i="197" s="1"/>
  <c r="AG58" i="198" s="1"/>
  <c r="AG98" i="198" s="1"/>
  <c r="AL142" i="197"/>
  <c r="AL171" i="197" s="1"/>
  <c r="AL76" i="198" s="1"/>
  <c r="AL118" i="198" s="1"/>
  <c r="AL124" i="197"/>
  <c r="AL153" i="197" s="1"/>
  <c r="AL58" i="198" s="1"/>
  <c r="AL98" i="198" s="1"/>
  <c r="AH425" i="196"/>
  <c r="AH238" i="196"/>
  <c r="AG425" i="196"/>
  <c r="AG238" i="196"/>
  <c r="AG294" i="196"/>
  <c r="AG296" i="196" s="1"/>
  <c r="AL238" i="196"/>
  <c r="AL425" i="196"/>
  <c r="AJ238" i="196"/>
  <c r="AJ425" i="196"/>
  <c r="AO425" i="196"/>
  <c r="AO238" i="196"/>
  <c r="W142" i="197"/>
  <c r="W171" i="197" s="1"/>
  <c r="W76" i="198" s="1"/>
  <c r="W118" i="198" s="1"/>
  <c r="W124" i="197"/>
  <c r="W153" i="197" s="1"/>
  <c r="W58" i="198" s="1"/>
  <c r="W98" i="198" s="1"/>
  <c r="AB238" i="196"/>
  <c r="AB425" i="196"/>
  <c r="L425" i="196"/>
  <c r="L238" i="196"/>
  <c r="AJ142" i="197"/>
  <c r="AJ171" i="197" s="1"/>
  <c r="AJ76" i="198" s="1"/>
  <c r="AJ118" i="198" s="1"/>
  <c r="AJ124" i="197"/>
  <c r="AJ153" i="197" s="1"/>
  <c r="AJ58" i="198" s="1"/>
  <c r="AJ98" i="198" s="1"/>
  <c r="AJ133" i="197"/>
  <c r="AJ162" i="197" s="1"/>
  <c r="AJ67" i="198" s="1"/>
  <c r="AJ108" i="198" s="1"/>
  <c r="W425" i="196"/>
  <c r="W238" i="196"/>
  <c r="AB124" i="197"/>
  <c r="AB153" i="197" s="1"/>
  <c r="AB58" i="198" s="1"/>
  <c r="AB98" i="198" s="1"/>
  <c r="AB142" i="197"/>
  <c r="AB171" i="197" s="1"/>
  <c r="AB76" i="198" s="1"/>
  <c r="AB118" i="198" s="1"/>
  <c r="L124" i="197"/>
  <c r="L153" i="197" s="1"/>
  <c r="L58" i="198" s="1"/>
  <c r="L98" i="198" s="1"/>
  <c r="L142" i="197"/>
  <c r="L171" i="197" s="1"/>
  <c r="L76" i="198" s="1"/>
  <c r="L118" i="198" s="1"/>
  <c r="L133" i="197"/>
  <c r="L162" i="197" s="1"/>
  <c r="L67" i="198" s="1"/>
  <c r="L108" i="198" s="1"/>
  <c r="AN238" i="196"/>
  <c r="AN425" i="196"/>
  <c r="R142" i="197"/>
  <c r="R171" i="197" s="1"/>
  <c r="R76" i="198" s="1"/>
  <c r="R118" i="198" s="1"/>
  <c r="R124" i="197"/>
  <c r="R153" i="197" s="1"/>
  <c r="R58" i="198" s="1"/>
  <c r="R98" i="198" s="1"/>
  <c r="R133" i="197"/>
  <c r="R162" i="197" s="1"/>
  <c r="R67" i="198" s="1"/>
  <c r="R108" i="198" s="1"/>
  <c r="AM238" i="196"/>
  <c r="AM425" i="196"/>
  <c r="K124" i="197"/>
  <c r="K153" i="197" s="1"/>
  <c r="K58" i="198" s="1"/>
  <c r="K98" i="198" s="1"/>
  <c r="K142" i="197"/>
  <c r="K171" i="197" s="1"/>
  <c r="K76" i="198" s="1"/>
  <c r="K118" i="198" s="1"/>
  <c r="K133" i="197"/>
  <c r="K162" i="197" s="1"/>
  <c r="K67" i="198" s="1"/>
  <c r="K108" i="198" s="1"/>
  <c r="AN124" i="197"/>
  <c r="AN153" i="197" s="1"/>
  <c r="AN58" i="198" s="1"/>
  <c r="AN98" i="198" s="1"/>
  <c r="AN142" i="197"/>
  <c r="AN171" i="197" s="1"/>
  <c r="AN76" i="198" s="1"/>
  <c r="AN118" i="198" s="1"/>
  <c r="R425" i="196"/>
  <c r="R238" i="196"/>
  <c r="AK294" i="196"/>
  <c r="AK296" i="196" s="1"/>
  <c r="AL294" i="196"/>
  <c r="AL296" i="196" s="1"/>
  <c r="AJ294" i="196"/>
  <c r="AJ296" i="196" s="1"/>
  <c r="K425" i="196"/>
  <c r="AN294" i="196"/>
  <c r="AN296" i="196" s="1"/>
  <c r="K238" i="196"/>
  <c r="AH294" i="196"/>
  <c r="AH296" i="196" s="1"/>
  <c r="L294" i="196"/>
  <c r="L296" i="196" s="1"/>
  <c r="AO294" i="196"/>
  <c r="AO296" i="196" s="1"/>
  <c r="K294" i="196"/>
  <c r="K296" i="196" s="1"/>
  <c r="AI294" i="196"/>
  <c r="AI296" i="196" s="1"/>
  <c r="R294" i="196"/>
  <c r="R296" i="196" s="1"/>
  <c r="W294" i="196"/>
  <c r="W296" i="196" s="1"/>
  <c r="Q294" i="196"/>
  <c r="Q296" i="196" s="1"/>
  <c r="AM294" i="196"/>
  <c r="AM296" i="196" s="1"/>
  <c r="AB294" i="196"/>
  <c r="AB296" i="196" s="1"/>
  <c r="H85" i="198"/>
  <c r="H128" i="198" s="1"/>
  <c r="H85" i="196"/>
  <c r="AI124" i="197"/>
  <c r="AI153" i="197" s="1"/>
  <c r="AI58" i="198" s="1"/>
  <c r="AI98" i="198" s="1"/>
  <c r="AI142" i="197"/>
  <c r="AI171" i="197" s="1"/>
  <c r="AI76" i="198" s="1"/>
  <c r="AI118" i="198" s="1"/>
  <c r="Q124" i="197"/>
  <c r="Q153" i="197" s="1"/>
  <c r="Q58" i="198" s="1"/>
  <c r="Q98" i="198" s="1"/>
  <c r="Q142" i="197"/>
  <c r="Q171" i="197" s="1"/>
  <c r="Q76" i="198" s="1"/>
  <c r="Q118" i="198" s="1"/>
  <c r="Q133" i="197"/>
  <c r="Q162" i="197" s="1"/>
  <c r="Q67" i="198" s="1"/>
  <c r="Q108" i="198" s="1"/>
  <c r="AI425" i="196"/>
  <c r="AI238" i="196"/>
  <c r="Q425" i="196"/>
  <c r="Q238" i="196"/>
  <c r="AK425" i="196"/>
  <c r="AK238" i="196"/>
  <c r="AH142" i="197"/>
  <c r="AH171" i="197" s="1"/>
  <c r="AH76" i="198" s="1"/>
  <c r="AH118" i="198" s="1"/>
  <c r="AH124" i="197"/>
  <c r="AH153" i="197" s="1"/>
  <c r="AH58" i="198" s="1"/>
  <c r="AH98" i="198" s="1"/>
  <c r="AH133" i="197"/>
  <c r="AH162" i="197" s="1"/>
  <c r="AH67" i="198" s="1"/>
  <c r="AH108" i="198" s="1"/>
  <c r="AI269" i="196" l="1"/>
  <c r="AI275" i="196"/>
  <c r="AI405" i="196"/>
  <c r="AI414" i="196" s="1"/>
  <c r="AI33" i="197" s="1"/>
  <c r="AI111" i="197" s="1"/>
  <c r="AI274" i="196"/>
  <c r="AI250" i="196"/>
  <c r="AI406" i="196"/>
  <c r="AI415" i="196" s="1"/>
  <c r="AI34" i="197" s="1"/>
  <c r="AI112" i="197" s="1"/>
  <c r="AI270" i="196"/>
  <c r="AI268" i="196"/>
  <c r="AI252" i="196"/>
  <c r="AI251" i="196"/>
  <c r="AI273" i="196"/>
  <c r="AI404" i="196"/>
  <c r="AI413" i="196" s="1"/>
  <c r="AI32" i="197" s="1"/>
  <c r="AI110" i="197" s="1"/>
  <c r="U191" i="196"/>
  <c r="U197" i="196" s="1"/>
  <c r="U199" i="196" s="1"/>
  <c r="AL191" i="196"/>
  <c r="X191" i="196"/>
  <c r="X197" i="196" s="1"/>
  <c r="X199" i="196" s="1"/>
  <c r="J191" i="196"/>
  <c r="AJ191" i="196"/>
  <c r="AK191" i="196"/>
  <c r="H88" i="198"/>
  <c r="H131" i="198" s="1"/>
  <c r="AB191" i="196"/>
  <c r="P191" i="196"/>
  <c r="P197" i="196" s="1"/>
  <c r="P199" i="196" s="1"/>
  <c r="R191" i="196"/>
  <c r="AF191" i="196"/>
  <c r="AF197" i="196" s="1"/>
  <c r="AF199" i="196" s="1"/>
  <c r="O191" i="196"/>
  <c r="O197" i="196" s="1"/>
  <c r="O199" i="196" s="1"/>
  <c r="AH191" i="196"/>
  <c r="AE191" i="196"/>
  <c r="AE197" i="196" s="1"/>
  <c r="AE199" i="196" s="1"/>
  <c r="Z191" i="196"/>
  <c r="Z197" i="196" s="1"/>
  <c r="Z199" i="196" s="1"/>
  <c r="V191" i="196"/>
  <c r="V197" i="196" s="1"/>
  <c r="V199" i="196" s="1"/>
  <c r="L191" i="196"/>
  <c r="N191" i="196"/>
  <c r="N197" i="196" s="1"/>
  <c r="N199" i="196" s="1"/>
  <c r="Y191" i="196"/>
  <c r="Y197" i="196" s="1"/>
  <c r="Y199" i="196" s="1"/>
  <c r="M191" i="196"/>
  <c r="M197" i="196" s="1"/>
  <c r="M199" i="196" s="1"/>
  <c r="W191" i="196"/>
  <c r="AA191" i="196"/>
  <c r="AA197" i="196" s="1"/>
  <c r="AA199" i="196" s="1"/>
  <c r="Q191" i="196"/>
  <c r="AN191" i="196"/>
  <c r="AO191" i="196"/>
  <c r="AC191" i="196"/>
  <c r="AC197" i="196" s="1"/>
  <c r="AC199" i="196" s="1"/>
  <c r="AM191" i="196"/>
  <c r="T191" i="196"/>
  <c r="T197" i="196" s="1"/>
  <c r="T199" i="196" s="1"/>
  <c r="AD191" i="196"/>
  <c r="AD197" i="196" s="1"/>
  <c r="AD199" i="196" s="1"/>
  <c r="S191" i="196"/>
  <c r="S197" i="196" s="1"/>
  <c r="S199" i="196" s="1"/>
  <c r="AI191" i="196"/>
  <c r="AG191" i="196"/>
  <c r="AG206" i="196" s="1"/>
  <c r="AG208" i="196" s="1"/>
  <c r="K191" i="196"/>
  <c r="AO405" i="196"/>
  <c r="AO414" i="196" s="1"/>
  <c r="AO33" i="197" s="1"/>
  <c r="AO111" i="197" s="1"/>
  <c r="AO122" i="197" s="1"/>
  <c r="AO151" i="197" s="1"/>
  <c r="AO56" i="198" s="1"/>
  <c r="AO96" i="198" s="1"/>
  <c r="AO404" i="196"/>
  <c r="AO413" i="196" s="1"/>
  <c r="AO32" i="197" s="1"/>
  <c r="AO110" i="197" s="1"/>
  <c r="AO121" i="197" s="1"/>
  <c r="AO150" i="197" s="1"/>
  <c r="AO55" i="198" s="1"/>
  <c r="AO95" i="198" s="1"/>
  <c r="AO268" i="196"/>
  <c r="AO252" i="196"/>
  <c r="AO274" i="196"/>
  <c r="AO251" i="196"/>
  <c r="AO273" i="196"/>
  <c r="AO250" i="196"/>
  <c r="AO406" i="196"/>
  <c r="AO415" i="196" s="1"/>
  <c r="AO34" i="197" s="1"/>
  <c r="AO112" i="197" s="1"/>
  <c r="AO123" i="197" s="1"/>
  <c r="AO152" i="197" s="1"/>
  <c r="AO57" i="198" s="1"/>
  <c r="AO97" i="198" s="1"/>
  <c r="AO269" i="196"/>
  <c r="AO275" i="196"/>
  <c r="AO270" i="196"/>
  <c r="Q404" i="196"/>
  <c r="Q413" i="196" s="1"/>
  <c r="Q32" i="197" s="1"/>
  <c r="Q110" i="197" s="1"/>
  <c r="Q252" i="196"/>
  <c r="Q269" i="196"/>
  <c r="Q275" i="196"/>
  <c r="Q270" i="196"/>
  <c r="Q405" i="196"/>
  <c r="Q414" i="196" s="1"/>
  <c r="Q33" i="197" s="1"/>
  <c r="Q111" i="197" s="1"/>
  <c r="Q268" i="196"/>
  <c r="Q250" i="196"/>
  <c r="Q251" i="196"/>
  <c r="Q273" i="196"/>
  <c r="Q274" i="196"/>
  <c r="Q406" i="196"/>
  <c r="Q415" i="196" s="1"/>
  <c r="Q34" i="197" s="1"/>
  <c r="Q112" i="197" s="1"/>
  <c r="AH250" i="196"/>
  <c r="AH404" i="196"/>
  <c r="AH413" i="196" s="1"/>
  <c r="AH32" i="197" s="1"/>
  <c r="AH110" i="197" s="1"/>
  <c r="AH405" i="196"/>
  <c r="AH414" i="196" s="1"/>
  <c r="AH33" i="197" s="1"/>
  <c r="AH111" i="197" s="1"/>
  <c r="AH251" i="196"/>
  <c r="AH275" i="196"/>
  <c r="AH269" i="196"/>
  <c r="AH274" i="196"/>
  <c r="AH406" i="196"/>
  <c r="AH415" i="196" s="1"/>
  <c r="AH34" i="197" s="1"/>
  <c r="AH112" i="197" s="1"/>
  <c r="AH270" i="196"/>
  <c r="AH273" i="196"/>
  <c r="AH268" i="196"/>
  <c r="AH252" i="196"/>
  <c r="R404" i="196"/>
  <c r="R413" i="196" s="1"/>
  <c r="R32" i="197" s="1"/>
  <c r="R110" i="197" s="1"/>
  <c r="R268" i="196"/>
  <c r="R274" i="196"/>
  <c r="R252" i="196"/>
  <c r="R269" i="196"/>
  <c r="R405" i="196"/>
  <c r="R414" i="196" s="1"/>
  <c r="R33" i="197" s="1"/>
  <c r="R111" i="197" s="1"/>
  <c r="R406" i="196"/>
  <c r="R415" i="196" s="1"/>
  <c r="R34" i="197" s="1"/>
  <c r="R112" i="197" s="1"/>
  <c r="R250" i="196"/>
  <c r="R270" i="196"/>
  <c r="R275" i="196"/>
  <c r="R251" i="196"/>
  <c r="R273" i="196"/>
  <c r="AM274" i="196"/>
  <c r="AM404" i="196"/>
  <c r="AM413" i="196" s="1"/>
  <c r="AM32" i="197" s="1"/>
  <c r="AM110" i="197" s="1"/>
  <c r="AM121" i="197" s="1"/>
  <c r="AM150" i="197" s="1"/>
  <c r="AM55" i="198" s="1"/>
  <c r="AM95" i="198" s="1"/>
  <c r="AM275" i="196"/>
  <c r="AM405" i="196"/>
  <c r="AM414" i="196" s="1"/>
  <c r="AM33" i="197" s="1"/>
  <c r="AM111" i="197" s="1"/>
  <c r="AM122" i="197" s="1"/>
  <c r="AM151" i="197" s="1"/>
  <c r="AM56" i="198" s="1"/>
  <c r="AM96" i="198" s="1"/>
  <c r="AM252" i="196"/>
  <c r="AM268" i="196"/>
  <c r="AM250" i="196"/>
  <c r="AM251" i="196"/>
  <c r="AM406" i="196"/>
  <c r="AM415" i="196" s="1"/>
  <c r="AM34" i="197" s="1"/>
  <c r="AM112" i="197" s="1"/>
  <c r="AM123" i="197" s="1"/>
  <c r="AM152" i="197" s="1"/>
  <c r="AM57" i="198" s="1"/>
  <c r="AM97" i="198" s="1"/>
  <c r="AM270" i="196"/>
  <c r="AM273" i="196"/>
  <c r="AM269" i="196"/>
  <c r="L250" i="196"/>
  <c r="L275" i="196"/>
  <c r="L274" i="196"/>
  <c r="L405" i="196"/>
  <c r="L414" i="196" s="1"/>
  <c r="L33" i="197" s="1"/>
  <c r="L111" i="197" s="1"/>
  <c r="L273" i="196"/>
  <c r="L268" i="196"/>
  <c r="L404" i="196"/>
  <c r="L413" i="196" s="1"/>
  <c r="L32" i="197" s="1"/>
  <c r="L110" i="197" s="1"/>
  <c r="L269" i="196"/>
  <c r="L252" i="196"/>
  <c r="L406" i="196"/>
  <c r="L415" i="196" s="1"/>
  <c r="L34" i="197" s="1"/>
  <c r="L112" i="197" s="1"/>
  <c r="L251" i="196"/>
  <c r="L270" i="196"/>
  <c r="AK273" i="196"/>
  <c r="AK268" i="196"/>
  <c r="AK252" i="196"/>
  <c r="AK269" i="196"/>
  <c r="AK250" i="196"/>
  <c r="AK406" i="196"/>
  <c r="AK415" i="196" s="1"/>
  <c r="AK34" i="197" s="1"/>
  <c r="AK112" i="197" s="1"/>
  <c r="AK123" i="197" s="1"/>
  <c r="AK152" i="197" s="1"/>
  <c r="AK57" i="198" s="1"/>
  <c r="AK97" i="198" s="1"/>
  <c r="AK275" i="196"/>
  <c r="AK270" i="196"/>
  <c r="AK251" i="196"/>
  <c r="AK404" i="196"/>
  <c r="AK413" i="196" s="1"/>
  <c r="AK32" i="197" s="1"/>
  <c r="AK110" i="197" s="1"/>
  <c r="AK121" i="197" s="1"/>
  <c r="AK150" i="197" s="1"/>
  <c r="AK55" i="198" s="1"/>
  <c r="AK95" i="198" s="1"/>
  <c r="AK405" i="196"/>
  <c r="AK414" i="196" s="1"/>
  <c r="AK33" i="197" s="1"/>
  <c r="AK111" i="197" s="1"/>
  <c r="AK122" i="197" s="1"/>
  <c r="AK151" i="197" s="1"/>
  <c r="AK56" i="198" s="1"/>
  <c r="AK96" i="198" s="1"/>
  <c r="AK274" i="196"/>
  <c r="K275" i="196"/>
  <c r="K251" i="196"/>
  <c r="K268" i="196"/>
  <c r="K252" i="196"/>
  <c r="K406" i="196"/>
  <c r="K415" i="196" s="1"/>
  <c r="K34" i="197" s="1"/>
  <c r="K112" i="197" s="1"/>
  <c r="K274" i="196"/>
  <c r="K250" i="196"/>
  <c r="K404" i="196"/>
  <c r="K413" i="196" s="1"/>
  <c r="K32" i="197" s="1"/>
  <c r="K110" i="197" s="1"/>
  <c r="K270" i="196"/>
  <c r="K273" i="196"/>
  <c r="K269" i="196"/>
  <c r="K405" i="196"/>
  <c r="K414" i="196" s="1"/>
  <c r="K33" i="197" s="1"/>
  <c r="K111" i="197" s="1"/>
  <c r="AJ270" i="196"/>
  <c r="AJ405" i="196"/>
  <c r="AJ414" i="196" s="1"/>
  <c r="AJ33" i="197" s="1"/>
  <c r="AJ111" i="197" s="1"/>
  <c r="AJ406" i="196"/>
  <c r="AJ415" i="196" s="1"/>
  <c r="AJ34" i="197" s="1"/>
  <c r="AJ112" i="197" s="1"/>
  <c r="AJ273" i="196"/>
  <c r="AJ404" i="196"/>
  <c r="AJ413" i="196" s="1"/>
  <c r="AJ32" i="197" s="1"/>
  <c r="AJ110" i="197" s="1"/>
  <c r="AJ274" i="196"/>
  <c r="AJ251" i="196"/>
  <c r="AJ275" i="196"/>
  <c r="AJ252" i="196"/>
  <c r="AJ268" i="196"/>
  <c r="AJ250" i="196"/>
  <c r="AJ269" i="196"/>
  <c r="W269" i="196"/>
  <c r="W268" i="196"/>
  <c r="W274" i="196"/>
  <c r="W404" i="196"/>
  <c r="W413" i="196" s="1"/>
  <c r="W32" i="197" s="1"/>
  <c r="W110" i="197" s="1"/>
  <c r="W250" i="196"/>
  <c r="W270" i="196"/>
  <c r="W275" i="196"/>
  <c r="W251" i="196"/>
  <c r="W406" i="196"/>
  <c r="W415" i="196" s="1"/>
  <c r="W34" i="197" s="1"/>
  <c r="W112" i="197" s="1"/>
  <c r="W273" i="196"/>
  <c r="W405" i="196"/>
  <c r="W414" i="196" s="1"/>
  <c r="W33" i="197" s="1"/>
  <c r="W111" i="197" s="1"/>
  <c r="W252" i="196"/>
  <c r="AB273" i="196"/>
  <c r="AB274" i="196"/>
  <c r="AB269" i="196"/>
  <c r="AB251" i="196"/>
  <c r="AB270" i="196"/>
  <c r="AB405" i="196"/>
  <c r="AB414" i="196" s="1"/>
  <c r="AB33" i="197" s="1"/>
  <c r="AB111" i="197" s="1"/>
  <c r="AB250" i="196"/>
  <c r="AB252" i="196"/>
  <c r="AB268" i="196"/>
  <c r="AB275" i="196"/>
  <c r="AB406" i="196"/>
  <c r="AB415" i="196" s="1"/>
  <c r="AB34" i="197" s="1"/>
  <c r="AB112" i="197" s="1"/>
  <c r="AB404" i="196"/>
  <c r="AB413" i="196" s="1"/>
  <c r="AB32" i="197" s="1"/>
  <c r="AB110" i="197" s="1"/>
  <c r="AL404" i="196"/>
  <c r="AL413" i="196" s="1"/>
  <c r="AL32" i="197" s="1"/>
  <c r="AL110" i="197" s="1"/>
  <c r="AL270" i="196"/>
  <c r="AL405" i="196"/>
  <c r="AL414" i="196" s="1"/>
  <c r="AL33" i="197" s="1"/>
  <c r="AL111" i="197" s="1"/>
  <c r="AL269" i="196"/>
  <c r="AL252" i="196"/>
  <c r="AL250" i="196"/>
  <c r="AL268" i="196"/>
  <c r="AL273" i="196"/>
  <c r="AL406" i="196"/>
  <c r="AL415" i="196" s="1"/>
  <c r="AL34" i="197" s="1"/>
  <c r="AL112" i="197" s="1"/>
  <c r="AL274" i="196"/>
  <c r="AL251" i="196"/>
  <c r="AL275" i="196"/>
  <c r="AN273" i="196"/>
  <c r="AN252" i="196"/>
  <c r="AN275" i="196"/>
  <c r="AN250" i="196"/>
  <c r="AN268" i="196"/>
  <c r="AN274" i="196"/>
  <c r="AN406" i="196"/>
  <c r="AN415" i="196" s="1"/>
  <c r="AN34" i="197" s="1"/>
  <c r="AN112" i="197" s="1"/>
  <c r="AN270" i="196"/>
  <c r="AN405" i="196"/>
  <c r="AN414" i="196" s="1"/>
  <c r="AN33" i="197" s="1"/>
  <c r="AN111" i="197" s="1"/>
  <c r="AN251" i="196"/>
  <c r="AN404" i="196"/>
  <c r="AN413" i="196" s="1"/>
  <c r="AN32" i="197" s="1"/>
  <c r="AN110" i="197" s="1"/>
  <c r="AN269" i="196"/>
  <c r="AG405" i="196"/>
  <c r="AG414" i="196" s="1"/>
  <c r="AG33" i="197" s="1"/>
  <c r="AG111" i="197" s="1"/>
  <c r="AG251" i="196"/>
  <c r="AG406" i="196"/>
  <c r="AG415" i="196" s="1"/>
  <c r="AG34" i="197" s="1"/>
  <c r="AG112" i="197" s="1"/>
  <c r="AG404" i="196"/>
  <c r="AG413" i="196" s="1"/>
  <c r="AG32" i="197" s="1"/>
  <c r="AG110" i="197" s="1"/>
  <c r="AG274" i="196"/>
  <c r="AG279" i="196" s="1"/>
  <c r="AG284" i="196" s="1"/>
  <c r="AG252" i="196"/>
  <c r="AG270" i="196"/>
  <c r="AG275" i="196"/>
  <c r="AG280" i="196" s="1"/>
  <c r="AG285" i="196" s="1"/>
  <c r="AG363" i="196" s="1"/>
  <c r="AG365" i="196" s="1"/>
  <c r="AG367" i="196" s="1"/>
  <c r="AG369" i="196" s="1"/>
  <c r="AG394" i="196" s="1"/>
  <c r="AG269" i="196"/>
  <c r="AG273" i="196"/>
  <c r="AG278" i="196" s="1"/>
  <c r="AG283" i="196" s="1"/>
  <c r="AG268" i="196"/>
  <c r="AG250" i="196"/>
  <c r="AM102" i="198" l="1"/>
  <c r="AO102" i="198"/>
  <c r="AG331" i="196"/>
  <c r="AG333" i="196" s="1"/>
  <c r="AG335" i="196" s="1"/>
  <c r="AG337" i="196" s="1"/>
  <c r="AG393" i="196" s="1"/>
  <c r="AN139" i="197"/>
  <c r="AN168" i="197" s="1"/>
  <c r="AN73" i="198" s="1"/>
  <c r="AN115" i="198" s="1"/>
  <c r="AN121" i="197"/>
  <c r="AN150" i="197" s="1"/>
  <c r="AN55" i="198" s="1"/>
  <c r="AN95" i="198" s="1"/>
  <c r="R141" i="197"/>
  <c r="R170" i="197" s="1"/>
  <c r="R75" i="198" s="1"/>
  <c r="R117" i="198" s="1"/>
  <c r="R123" i="197"/>
  <c r="R152" i="197" s="1"/>
  <c r="R57" i="198" s="1"/>
  <c r="R97" i="198" s="1"/>
  <c r="R132" i="197"/>
  <c r="R161" i="197" s="1"/>
  <c r="R66" i="198" s="1"/>
  <c r="R107" i="198" s="1"/>
  <c r="T225" i="196"/>
  <c r="T416" i="196" s="1"/>
  <c r="T35" i="197" s="1"/>
  <c r="T113" i="197" s="1"/>
  <c r="AJ140" i="197"/>
  <c r="AJ169" i="197" s="1"/>
  <c r="AJ74" i="198" s="1"/>
  <c r="AJ116" i="198" s="1"/>
  <c r="AJ131" i="197"/>
  <c r="AJ160" i="197" s="1"/>
  <c r="AJ65" i="198" s="1"/>
  <c r="AJ106" i="198" s="1"/>
  <c r="AJ122" i="197"/>
  <c r="AJ151" i="197" s="1"/>
  <c r="AJ56" i="198" s="1"/>
  <c r="AJ96" i="198" s="1"/>
  <c r="R131" i="197"/>
  <c r="R160" i="197" s="1"/>
  <c r="R65" i="198" s="1"/>
  <c r="R106" i="198" s="1"/>
  <c r="R122" i="197"/>
  <c r="R151" i="197" s="1"/>
  <c r="R56" i="198" s="1"/>
  <c r="R96" i="198" s="1"/>
  <c r="R140" i="197"/>
  <c r="R169" i="197" s="1"/>
  <c r="R74" i="198" s="1"/>
  <c r="R116" i="198" s="1"/>
  <c r="AH139" i="197"/>
  <c r="AH168" i="197" s="1"/>
  <c r="AH73" i="198" s="1"/>
  <c r="AH115" i="198" s="1"/>
  <c r="AH130" i="197"/>
  <c r="AH159" i="197" s="1"/>
  <c r="AH64" i="198" s="1"/>
  <c r="AH105" i="198" s="1"/>
  <c r="AH121" i="197"/>
  <c r="AH150" i="197" s="1"/>
  <c r="AH55" i="198" s="1"/>
  <c r="AH95" i="198" s="1"/>
  <c r="Q122" i="197"/>
  <c r="Q151" i="197" s="1"/>
  <c r="Q56" i="198" s="1"/>
  <c r="Q96" i="198" s="1"/>
  <c r="Q140" i="197"/>
  <c r="Q169" i="197" s="1"/>
  <c r="Q74" i="198" s="1"/>
  <c r="Q116" i="198" s="1"/>
  <c r="Q131" i="197"/>
  <c r="Q160" i="197" s="1"/>
  <c r="Q65" i="198" s="1"/>
  <c r="Q106" i="198" s="1"/>
  <c r="Y225" i="196"/>
  <c r="Y416" i="196" s="1"/>
  <c r="Y35" i="197" s="1"/>
  <c r="Y113" i="197" s="1"/>
  <c r="AF225" i="196"/>
  <c r="AF416" i="196" s="1"/>
  <c r="AF35" i="197" s="1"/>
  <c r="AF113" i="197" s="1"/>
  <c r="X227" i="196"/>
  <c r="X229" i="196" s="1"/>
  <c r="X225" i="196"/>
  <c r="X416" i="196" s="1"/>
  <c r="X35" i="197" s="1"/>
  <c r="X113" i="197" s="1"/>
  <c r="AJ141" i="197"/>
  <c r="AJ170" i="197" s="1"/>
  <c r="AJ75" i="198" s="1"/>
  <c r="AJ117" i="198" s="1"/>
  <c r="AJ123" i="197"/>
  <c r="AJ152" i="197" s="1"/>
  <c r="AJ57" i="198" s="1"/>
  <c r="AJ97" i="198" s="1"/>
  <c r="AJ132" i="197"/>
  <c r="AJ161" i="197" s="1"/>
  <c r="AJ66" i="198" s="1"/>
  <c r="AJ107" i="198" s="1"/>
  <c r="AH140" i="197"/>
  <c r="AH169" i="197" s="1"/>
  <c r="AH74" i="198" s="1"/>
  <c r="AH116" i="198" s="1"/>
  <c r="AH131" i="197"/>
  <c r="AH160" i="197" s="1"/>
  <c r="AH65" i="198" s="1"/>
  <c r="AH106" i="198" s="1"/>
  <c r="AH122" i="197"/>
  <c r="AH151" i="197" s="1"/>
  <c r="AH56" i="198" s="1"/>
  <c r="AH96" i="198" s="1"/>
  <c r="J197" i="196"/>
  <c r="J199" i="196" s="1"/>
  <c r="AO279" i="196"/>
  <c r="AO284" i="196" s="1"/>
  <c r="K279" i="196"/>
  <c r="K284" i="196" s="1"/>
  <c r="AI279" i="196"/>
  <c r="AI284" i="196" s="1"/>
  <c r="AH279" i="196"/>
  <c r="AH284" i="196" s="1"/>
  <c r="Q279" i="196"/>
  <c r="Q284" i="196" s="1"/>
  <c r="AB279" i="196"/>
  <c r="AB284" i="196" s="1"/>
  <c r="AM279" i="196"/>
  <c r="AM284" i="196" s="1"/>
  <c r="AL279" i="196"/>
  <c r="AL284" i="196" s="1"/>
  <c r="AK279" i="196"/>
  <c r="AK284" i="196" s="1"/>
  <c r="AN279" i="196"/>
  <c r="AN284" i="196" s="1"/>
  <c r="W279" i="196"/>
  <c r="W284" i="196" s="1"/>
  <c r="AJ279" i="196"/>
  <c r="AJ284" i="196" s="1"/>
  <c r="L279" i="196"/>
  <c r="L284" i="196" s="1"/>
  <c r="R279" i="196"/>
  <c r="R284" i="196" s="1"/>
  <c r="K123" i="197"/>
  <c r="K152" i="197" s="1"/>
  <c r="K57" i="198" s="1"/>
  <c r="K97" i="198" s="1"/>
  <c r="K141" i="197"/>
  <c r="K170" i="197" s="1"/>
  <c r="K75" i="198" s="1"/>
  <c r="K117" i="198" s="1"/>
  <c r="K132" i="197"/>
  <c r="K161" i="197" s="1"/>
  <c r="K66" i="198" s="1"/>
  <c r="K107" i="198" s="1"/>
  <c r="AC225" i="196"/>
  <c r="AC416" i="196" s="1"/>
  <c r="AC35" i="197" s="1"/>
  <c r="AC113" i="197" s="1"/>
  <c r="N225" i="196"/>
  <c r="N416" i="196" s="1"/>
  <c r="N35" i="197" s="1"/>
  <c r="N113" i="197" s="1"/>
  <c r="AI123" i="197"/>
  <c r="AI152" i="197" s="1"/>
  <c r="AI57" i="198" s="1"/>
  <c r="AI97" i="198" s="1"/>
  <c r="AI141" i="197"/>
  <c r="AI170" i="197" s="1"/>
  <c r="AI75" i="198" s="1"/>
  <c r="AI117" i="198" s="1"/>
  <c r="M225" i="196"/>
  <c r="M416" i="196" s="1"/>
  <c r="M35" i="197" s="1"/>
  <c r="M113" i="197" s="1"/>
  <c r="AN140" i="197"/>
  <c r="AN169" i="197" s="1"/>
  <c r="AN74" i="198" s="1"/>
  <c r="AN116" i="198" s="1"/>
  <c r="AN122" i="197"/>
  <c r="AN151" i="197" s="1"/>
  <c r="AN56" i="198" s="1"/>
  <c r="AN96" i="198" s="1"/>
  <c r="AG139" i="197"/>
  <c r="AG168" i="197" s="1"/>
  <c r="AG73" i="198" s="1"/>
  <c r="AG115" i="198" s="1"/>
  <c r="AG130" i="197"/>
  <c r="AG159" i="197" s="1"/>
  <c r="AG64" i="198" s="1"/>
  <c r="AG105" i="198" s="1"/>
  <c r="AG121" i="197"/>
  <c r="AG150" i="197" s="1"/>
  <c r="AG55" i="198" s="1"/>
  <c r="AG95" i="198" s="1"/>
  <c r="W121" i="197"/>
  <c r="W150" i="197" s="1"/>
  <c r="W55" i="198" s="1"/>
  <c r="W95" i="198" s="1"/>
  <c r="W139" i="197"/>
  <c r="W168" i="197" s="1"/>
  <c r="W73" i="198" s="1"/>
  <c r="W115" i="198" s="1"/>
  <c r="K131" i="197"/>
  <c r="K160" i="197" s="1"/>
  <c r="K65" i="198" s="1"/>
  <c r="K106" i="198" s="1"/>
  <c r="K122" i="197"/>
  <c r="K151" i="197" s="1"/>
  <c r="K56" i="198" s="1"/>
  <c r="K96" i="198" s="1"/>
  <c r="K140" i="197"/>
  <c r="K169" i="197" s="1"/>
  <c r="K74" i="198" s="1"/>
  <c r="K116" i="198" s="1"/>
  <c r="L131" i="197"/>
  <c r="L160" i="197" s="1"/>
  <c r="L65" i="198" s="1"/>
  <c r="L106" i="198" s="1"/>
  <c r="L122" i="197"/>
  <c r="L151" i="197" s="1"/>
  <c r="L56" i="198" s="1"/>
  <c r="L96" i="198" s="1"/>
  <c r="L140" i="197"/>
  <c r="L169" i="197" s="1"/>
  <c r="L74" i="198" s="1"/>
  <c r="L116" i="198" s="1"/>
  <c r="AH141" i="197"/>
  <c r="AH170" i="197" s="1"/>
  <c r="AH75" i="198" s="1"/>
  <c r="AH117" i="198" s="1"/>
  <c r="AH123" i="197"/>
  <c r="AH152" i="197" s="1"/>
  <c r="AH57" i="198" s="1"/>
  <c r="AH97" i="198" s="1"/>
  <c r="AH132" i="197"/>
  <c r="AH161" i="197" s="1"/>
  <c r="AH66" i="198" s="1"/>
  <c r="AH107" i="198" s="1"/>
  <c r="Q132" i="197"/>
  <c r="Q161" i="197" s="1"/>
  <c r="Q66" i="198" s="1"/>
  <c r="Q107" i="198" s="1"/>
  <c r="Q141" i="197"/>
  <c r="Q170" i="197" s="1"/>
  <c r="Q75" i="198" s="1"/>
  <c r="Q117" i="198" s="1"/>
  <c r="Q123" i="197"/>
  <c r="Q152" i="197" s="1"/>
  <c r="Q57" i="198" s="1"/>
  <c r="Q97" i="198" s="1"/>
  <c r="P225" i="196"/>
  <c r="P416" i="196" s="1"/>
  <c r="P35" i="197" s="1"/>
  <c r="P113" i="197" s="1"/>
  <c r="U225" i="196"/>
  <c r="U416" i="196" s="1"/>
  <c r="U35" i="197" s="1"/>
  <c r="U113" i="197" s="1"/>
  <c r="AG123" i="197"/>
  <c r="AG152" i="197" s="1"/>
  <c r="AG57" i="198" s="1"/>
  <c r="AG97" i="198" s="1"/>
  <c r="AG132" i="197"/>
  <c r="AG161" i="197" s="1"/>
  <c r="AG66" i="198" s="1"/>
  <c r="AG107" i="198" s="1"/>
  <c r="AG141" i="197"/>
  <c r="AG170" i="197" s="1"/>
  <c r="AG75" i="198" s="1"/>
  <c r="AG117" i="198" s="1"/>
  <c r="AN141" i="197"/>
  <c r="AN170" i="197" s="1"/>
  <c r="AN75" i="198" s="1"/>
  <c r="AN117" i="198" s="1"/>
  <c r="AN123" i="197"/>
  <c r="AN152" i="197" s="1"/>
  <c r="AN57" i="198" s="1"/>
  <c r="AN97" i="198" s="1"/>
  <c r="AL122" i="197"/>
  <c r="AL151" i="197" s="1"/>
  <c r="AL56" i="198" s="1"/>
  <c r="AL96" i="198" s="1"/>
  <c r="AL140" i="197"/>
  <c r="AL169" i="197" s="1"/>
  <c r="AL74" i="198" s="1"/>
  <c r="AL116" i="198" s="1"/>
  <c r="W122" i="197"/>
  <c r="W151" i="197" s="1"/>
  <c r="W56" i="198" s="1"/>
  <c r="W96" i="198" s="1"/>
  <c r="W140" i="197"/>
  <c r="W169" i="197" s="1"/>
  <c r="W74" i="198" s="1"/>
  <c r="W116" i="198" s="1"/>
  <c r="V225" i="196"/>
  <c r="V416" i="196" s="1"/>
  <c r="V35" i="197" s="1"/>
  <c r="V113" i="197" s="1"/>
  <c r="AI121" i="197"/>
  <c r="AI150" i="197" s="1"/>
  <c r="AI55" i="198" s="1"/>
  <c r="AI95" i="198" s="1"/>
  <c r="AI139" i="197"/>
  <c r="AI168" i="197" s="1"/>
  <c r="AI73" i="198" s="1"/>
  <c r="AI115" i="198" s="1"/>
  <c r="AB123" i="197"/>
  <c r="AB152" i="197" s="1"/>
  <c r="AB57" i="198" s="1"/>
  <c r="AB97" i="198" s="1"/>
  <c r="AB141" i="197"/>
  <c r="AB170" i="197" s="1"/>
  <c r="AB75" i="198" s="1"/>
  <c r="AB117" i="198" s="1"/>
  <c r="AG299" i="196"/>
  <c r="AB140" i="197"/>
  <c r="AB169" i="197" s="1"/>
  <c r="AB74" i="198" s="1"/>
  <c r="AB116" i="198" s="1"/>
  <c r="AB122" i="197"/>
  <c r="AB151" i="197" s="1"/>
  <c r="AB56" i="198" s="1"/>
  <c r="AB96" i="198" s="1"/>
  <c r="AL278" i="196"/>
  <c r="AL283" i="196" s="1"/>
  <c r="AO278" i="196"/>
  <c r="AO283" i="196" s="1"/>
  <c r="K278" i="196"/>
  <c r="K283" i="196" s="1"/>
  <c r="R278" i="196"/>
  <c r="R283" i="196" s="1"/>
  <c r="AI278" i="196"/>
  <c r="AI283" i="196" s="1"/>
  <c r="AH278" i="196"/>
  <c r="AH283" i="196" s="1"/>
  <c r="L278" i="196"/>
  <c r="L283" i="196" s="1"/>
  <c r="Q278" i="196"/>
  <c r="Q283" i="196" s="1"/>
  <c r="AM278" i="196"/>
  <c r="AM283" i="196" s="1"/>
  <c r="AB278" i="196"/>
  <c r="AB283" i="196" s="1"/>
  <c r="AN278" i="196"/>
  <c r="AN283" i="196" s="1"/>
  <c r="AK278" i="196"/>
  <c r="AK283" i="196" s="1"/>
  <c r="AJ278" i="196"/>
  <c r="AJ283" i="196" s="1"/>
  <c r="W278" i="196"/>
  <c r="W283" i="196" s="1"/>
  <c r="L132" i="197"/>
  <c r="L161" i="197" s="1"/>
  <c r="L66" i="198" s="1"/>
  <c r="L107" i="198" s="1"/>
  <c r="L123" i="197"/>
  <c r="L152" i="197" s="1"/>
  <c r="L57" i="198" s="1"/>
  <c r="L97" i="198" s="1"/>
  <c r="L141" i="197"/>
  <c r="L170" i="197" s="1"/>
  <c r="L75" i="198" s="1"/>
  <c r="L117" i="198" s="1"/>
  <c r="Z225" i="196"/>
  <c r="Z416" i="196" s="1"/>
  <c r="Z35" i="197" s="1"/>
  <c r="Z113" i="197" s="1"/>
  <c r="AI122" i="197"/>
  <c r="AI151" i="197" s="1"/>
  <c r="AI56" i="198" s="1"/>
  <c r="AI96" i="198" s="1"/>
  <c r="AI140" i="197"/>
  <c r="AI169" i="197" s="1"/>
  <c r="AI74" i="198" s="1"/>
  <c r="AI116" i="198" s="1"/>
  <c r="AK102" i="198"/>
  <c r="AG122" i="197"/>
  <c r="AG151" i="197" s="1"/>
  <c r="AG56" i="198" s="1"/>
  <c r="AG96" i="198" s="1"/>
  <c r="AG140" i="197"/>
  <c r="AG169" i="197" s="1"/>
  <c r="AG74" i="198" s="1"/>
  <c r="AG116" i="198" s="1"/>
  <c r="AG131" i="197"/>
  <c r="AG160" i="197" s="1"/>
  <c r="AG65" i="198" s="1"/>
  <c r="AG106" i="198" s="1"/>
  <c r="AL123" i="197"/>
  <c r="AL152" i="197" s="1"/>
  <c r="AL57" i="198" s="1"/>
  <c r="AL97" i="198" s="1"/>
  <c r="AL141" i="197"/>
  <c r="AL170" i="197" s="1"/>
  <c r="AL75" i="198" s="1"/>
  <c r="AL117" i="198" s="1"/>
  <c r="AL139" i="197"/>
  <c r="AL168" i="197" s="1"/>
  <c r="AL73" i="198" s="1"/>
  <c r="AL115" i="198" s="1"/>
  <c r="AL121" i="197"/>
  <c r="AL150" i="197" s="1"/>
  <c r="AL55" i="198" s="1"/>
  <c r="AL95" i="198" s="1"/>
  <c r="W141" i="197"/>
  <c r="W170" i="197" s="1"/>
  <c r="W75" i="198" s="1"/>
  <c r="W117" i="198" s="1"/>
  <c r="W123" i="197"/>
  <c r="W152" i="197" s="1"/>
  <c r="W57" i="198" s="1"/>
  <c r="W97" i="198" s="1"/>
  <c r="AJ130" i="197"/>
  <c r="AJ159" i="197" s="1"/>
  <c r="AJ64" i="198" s="1"/>
  <c r="AJ105" i="198" s="1"/>
  <c r="AJ112" i="198" s="1"/>
  <c r="AJ141" i="198" s="1"/>
  <c r="AJ139" i="197"/>
  <c r="AJ168" i="197" s="1"/>
  <c r="AJ73" i="198" s="1"/>
  <c r="AJ115" i="198" s="1"/>
  <c r="AJ121" i="197"/>
  <c r="AJ150" i="197" s="1"/>
  <c r="AJ55" i="198" s="1"/>
  <c r="AJ95" i="198" s="1"/>
  <c r="AJ102" i="198" s="1"/>
  <c r="AJ140" i="198" s="1"/>
  <c r="AL280" i="196"/>
  <c r="AL285" i="196" s="1"/>
  <c r="AL363" i="196" s="1"/>
  <c r="L280" i="196"/>
  <c r="L285" i="196" s="1"/>
  <c r="L363" i="196" s="1"/>
  <c r="K280" i="196"/>
  <c r="K285" i="196" s="1"/>
  <c r="K363" i="196" s="1"/>
  <c r="AI280" i="196"/>
  <c r="AI285" i="196" s="1"/>
  <c r="AI363" i="196" s="1"/>
  <c r="Q280" i="196"/>
  <c r="Q285" i="196" s="1"/>
  <c r="Q363" i="196" s="1"/>
  <c r="AM280" i="196"/>
  <c r="AM285" i="196" s="1"/>
  <c r="AM363" i="196" s="1"/>
  <c r="AN280" i="196"/>
  <c r="AN285" i="196" s="1"/>
  <c r="AN363" i="196" s="1"/>
  <c r="W280" i="196"/>
  <c r="W285" i="196" s="1"/>
  <c r="W363" i="196" s="1"/>
  <c r="AJ280" i="196"/>
  <c r="AJ285" i="196" s="1"/>
  <c r="AJ363" i="196" s="1"/>
  <c r="AK280" i="196"/>
  <c r="AK285" i="196" s="1"/>
  <c r="AK363" i="196" s="1"/>
  <c r="AB280" i="196"/>
  <c r="AB285" i="196" s="1"/>
  <c r="AB363" i="196" s="1"/>
  <c r="R280" i="196"/>
  <c r="R285" i="196" s="1"/>
  <c r="R363" i="196" s="1"/>
  <c r="AO280" i="196"/>
  <c r="AO285" i="196" s="1"/>
  <c r="AO363" i="196" s="1"/>
  <c r="AH280" i="196"/>
  <c r="AH285" i="196" s="1"/>
  <c r="AH363" i="196" s="1"/>
  <c r="R130" i="197"/>
  <c r="R159" i="197" s="1"/>
  <c r="R64" i="198" s="1"/>
  <c r="R105" i="198" s="1"/>
  <c r="R121" i="197"/>
  <c r="R150" i="197" s="1"/>
  <c r="R55" i="198" s="1"/>
  <c r="R95" i="198" s="1"/>
  <c r="R102" i="198" s="1"/>
  <c r="R140" i="198" s="1"/>
  <c r="R139" i="197"/>
  <c r="R168" i="197" s="1"/>
  <c r="R73" i="198" s="1"/>
  <c r="R115" i="198" s="1"/>
  <c r="R122" i="198" s="1"/>
  <c r="Q139" i="197"/>
  <c r="Q168" i="197" s="1"/>
  <c r="Q73" i="198" s="1"/>
  <c r="Q115" i="198" s="1"/>
  <c r="Q121" i="197"/>
  <c r="Q150" i="197" s="1"/>
  <c r="Q55" i="198" s="1"/>
  <c r="Q95" i="198" s="1"/>
  <c r="Q102" i="198" s="1"/>
  <c r="Q140" i="198" s="1"/>
  <c r="Q130" i="197"/>
  <c r="Q159" i="197" s="1"/>
  <c r="Q64" i="198" s="1"/>
  <c r="Q105" i="198" s="1"/>
  <c r="Q112" i="198" s="1"/>
  <c r="S225" i="196"/>
  <c r="S416" i="196" s="1"/>
  <c r="S35" i="197" s="1"/>
  <c r="S113" i="197" s="1"/>
  <c r="AA225" i="196"/>
  <c r="AA416" i="196" s="1"/>
  <c r="AA35" i="197" s="1"/>
  <c r="AA113" i="197" s="1"/>
  <c r="AE225" i="196"/>
  <c r="AE416" i="196" s="1"/>
  <c r="AE35" i="197" s="1"/>
  <c r="AE113" i="197" s="1"/>
  <c r="L121" i="197"/>
  <c r="L150" i="197" s="1"/>
  <c r="L55" i="198" s="1"/>
  <c r="L95" i="198" s="1"/>
  <c r="L102" i="198" s="1"/>
  <c r="L140" i="198" s="1"/>
  <c r="L139" i="197"/>
  <c r="L168" i="197" s="1"/>
  <c r="L73" i="198" s="1"/>
  <c r="L115" i="198" s="1"/>
  <c r="L122" i="198" s="1"/>
  <c r="L130" i="197"/>
  <c r="L159" i="197" s="1"/>
  <c r="L64" i="198" s="1"/>
  <c r="L105" i="198" s="1"/>
  <c r="L112" i="198" s="1"/>
  <c r="O225" i="196"/>
  <c r="O416" i="196" s="1"/>
  <c r="O35" i="197" s="1"/>
  <c r="O113" i="197" s="1"/>
  <c r="AB121" i="197"/>
  <c r="AB150" i="197" s="1"/>
  <c r="AB55" i="198" s="1"/>
  <c r="AB95" i="198" s="1"/>
  <c r="AB139" i="197"/>
  <c r="AB168" i="197" s="1"/>
  <c r="AB73" i="198" s="1"/>
  <c r="AB115" i="198" s="1"/>
  <c r="K130" i="197"/>
  <c r="K159" i="197" s="1"/>
  <c r="K64" i="198" s="1"/>
  <c r="K105" i="198" s="1"/>
  <c r="K112" i="198" s="1"/>
  <c r="K141" i="198" s="1"/>
  <c r="K121" i="197"/>
  <c r="K150" i="197" s="1"/>
  <c r="K55" i="198" s="1"/>
  <c r="K95" i="198" s="1"/>
  <c r="K102" i="198" s="1"/>
  <c r="K140" i="198" s="1"/>
  <c r="K139" i="197"/>
  <c r="K168" i="197" s="1"/>
  <c r="K73" i="198" s="1"/>
  <c r="K115" i="198" s="1"/>
  <c r="AD225" i="196"/>
  <c r="AD416" i="196" s="1"/>
  <c r="AD35" i="197" s="1"/>
  <c r="AD113" i="197" s="1"/>
  <c r="Q122" i="198" l="1"/>
  <c r="R112" i="198"/>
  <c r="K122" i="198"/>
  <c r="K142" i="198" s="1"/>
  <c r="AB102" i="198"/>
  <c r="AB140" i="198" s="1"/>
  <c r="Z227" i="196"/>
  <c r="Z229" i="196" s="1"/>
  <c r="AL102" i="198"/>
  <c r="AL140" i="198" s="1"/>
  <c r="AL331" i="196"/>
  <c r="M227" i="196"/>
  <c r="M229" i="196" s="1"/>
  <c r="M238" i="196" s="1"/>
  <c r="AM331" i="196"/>
  <c r="S227" i="196"/>
  <c r="S229" i="196" s="1"/>
  <c r="W299" i="196"/>
  <c r="W305" i="196" s="1"/>
  <c r="W392" i="196" s="1"/>
  <c r="W396" i="196" s="1"/>
  <c r="AH299" i="196"/>
  <c r="AH305" i="196" s="1"/>
  <c r="AH392" i="196" s="1"/>
  <c r="AH396" i="196" s="1"/>
  <c r="AJ299" i="196"/>
  <c r="AJ305" i="196" s="1"/>
  <c r="AJ392" i="196" s="1"/>
  <c r="AJ396" i="196" s="1"/>
  <c r="N227" i="196"/>
  <c r="N229" i="196" s="1"/>
  <c r="N425" i="196" s="1"/>
  <c r="AD227" i="196"/>
  <c r="AD229" i="196" s="1"/>
  <c r="AG301" i="196"/>
  <c r="AG303" i="196" s="1"/>
  <c r="AG305" i="196"/>
  <c r="AG392" i="196" s="1"/>
  <c r="AI299" i="196"/>
  <c r="AI305" i="196" s="1"/>
  <c r="AI392" i="196" s="1"/>
  <c r="AI396" i="196" s="1"/>
  <c r="AE142" i="197"/>
  <c r="AE171" i="197" s="1"/>
  <c r="AE76" i="198" s="1"/>
  <c r="AE118" i="198" s="1"/>
  <c r="AE124" i="197"/>
  <c r="AE153" i="197" s="1"/>
  <c r="AE58" i="198" s="1"/>
  <c r="AE98" i="198" s="1"/>
  <c r="AL122" i="198"/>
  <c r="AK299" i="196"/>
  <c r="AK305" i="196" s="1"/>
  <c r="AK392" i="196" s="1"/>
  <c r="AK396" i="196" s="1"/>
  <c r="R299" i="196"/>
  <c r="R305" i="196" s="1"/>
  <c r="R392" i="196" s="1"/>
  <c r="R396" i="196" s="1"/>
  <c r="P133" i="197"/>
  <c r="P162" i="197" s="1"/>
  <c r="P67" i="198" s="1"/>
  <c r="P108" i="198" s="1"/>
  <c r="P142" i="197"/>
  <c r="P171" i="197" s="1"/>
  <c r="P76" i="198" s="1"/>
  <c r="P118" i="198" s="1"/>
  <c r="P124" i="197"/>
  <c r="P153" i="197" s="1"/>
  <c r="P58" i="198" s="1"/>
  <c r="P98" i="198" s="1"/>
  <c r="AG102" i="198"/>
  <c r="AG140" i="198" s="1"/>
  <c r="R331" i="196"/>
  <c r="AB331" i="196"/>
  <c r="AF142" i="197"/>
  <c r="AF171" i="197" s="1"/>
  <c r="AF76" i="198" s="1"/>
  <c r="AF118" i="198" s="1"/>
  <c r="AF124" i="197"/>
  <c r="AF153" i="197" s="1"/>
  <c r="AF58" i="198" s="1"/>
  <c r="AF98" i="198" s="1"/>
  <c r="AH112" i="198"/>
  <c r="AH141" i="198" s="1"/>
  <c r="T133" i="197"/>
  <c r="T162" i="197" s="1"/>
  <c r="T67" i="198" s="1"/>
  <c r="T108" i="198" s="1"/>
  <c r="T124" i="197"/>
  <c r="T153" i="197" s="1"/>
  <c r="T58" i="198" s="1"/>
  <c r="T98" i="198" s="1"/>
  <c r="T142" i="197"/>
  <c r="T171" i="197" s="1"/>
  <c r="T76" i="198" s="1"/>
  <c r="T118" i="198" s="1"/>
  <c r="AB122" i="198"/>
  <c r="AE227" i="196"/>
  <c r="AE229" i="196" s="1"/>
  <c r="Z124" i="197"/>
  <c r="Z153" i="197" s="1"/>
  <c r="Z58" i="198" s="1"/>
  <c r="Z98" i="198" s="1"/>
  <c r="Z142" i="197"/>
  <c r="Z171" i="197" s="1"/>
  <c r="Z76" i="198" s="1"/>
  <c r="Z118" i="198" s="1"/>
  <c r="AN299" i="196"/>
  <c r="AN305" i="196" s="1"/>
  <c r="AN392" i="196" s="1"/>
  <c r="AN396" i="196" s="1"/>
  <c r="K299" i="196"/>
  <c r="AI122" i="198"/>
  <c r="AI142" i="198" s="1"/>
  <c r="P227" i="196"/>
  <c r="P229" i="196" s="1"/>
  <c r="AG112" i="198"/>
  <c r="AG141" i="198" s="1"/>
  <c r="N142" i="197"/>
  <c r="N171" i="197" s="1"/>
  <c r="N76" i="198" s="1"/>
  <c r="N118" i="198" s="1"/>
  <c r="N124" i="197"/>
  <c r="N153" i="197" s="1"/>
  <c r="N58" i="198" s="1"/>
  <c r="N98" i="198" s="1"/>
  <c r="N133" i="197"/>
  <c r="N162" i="197" s="1"/>
  <c r="N67" i="198" s="1"/>
  <c r="N108" i="198" s="1"/>
  <c r="L331" i="196"/>
  <c r="Q331" i="196"/>
  <c r="AF227" i="196"/>
  <c r="AF229" i="196" s="1"/>
  <c r="AH122" i="198"/>
  <c r="AH142" i="198" s="1"/>
  <c r="T227" i="196"/>
  <c r="T229" i="196" s="1"/>
  <c r="W122" i="198"/>
  <c r="M294" i="196"/>
  <c r="M296" i="196" s="1"/>
  <c r="Z238" i="196"/>
  <c r="Z425" i="196"/>
  <c r="AB299" i="196"/>
  <c r="AB305" i="196" s="1"/>
  <c r="AB392" i="196" s="1"/>
  <c r="AB396" i="196" s="1"/>
  <c r="AO299" i="196"/>
  <c r="AO305" i="196" s="1"/>
  <c r="AO392" i="196" s="1"/>
  <c r="AO396" i="196" s="1"/>
  <c r="AI102" i="198"/>
  <c r="AI140" i="198" s="1"/>
  <c r="AG122" i="198"/>
  <c r="AG142" i="198" s="1"/>
  <c r="AJ331" i="196"/>
  <c r="AH331" i="196"/>
  <c r="Y124" i="197"/>
  <c r="Y153" i="197" s="1"/>
  <c r="Y58" i="198" s="1"/>
  <c r="Y98" i="198" s="1"/>
  <c r="Y142" i="197"/>
  <c r="Y171" i="197" s="1"/>
  <c r="Y76" i="198" s="1"/>
  <c r="Y118" i="198" s="1"/>
  <c r="W102" i="198"/>
  <c r="W140" i="198" s="1"/>
  <c r="J225" i="196"/>
  <c r="O142" i="197"/>
  <c r="O171" i="197" s="1"/>
  <c r="O76" i="198" s="1"/>
  <c r="O118" i="198" s="1"/>
  <c r="O124" i="197"/>
  <c r="O153" i="197" s="1"/>
  <c r="O58" i="198" s="1"/>
  <c r="O98" i="198" s="1"/>
  <c r="O133" i="197"/>
  <c r="O162" i="197" s="1"/>
  <c r="O67" i="198" s="1"/>
  <c r="O108" i="198" s="1"/>
  <c r="AA227" i="196"/>
  <c r="AA229" i="196" s="1"/>
  <c r="AJ122" i="198"/>
  <c r="AM299" i="196"/>
  <c r="AM305" i="196" s="1"/>
  <c r="AM392" i="196" s="1"/>
  <c r="AM396" i="196" s="1"/>
  <c r="AL299" i="196"/>
  <c r="AL305" i="196" s="1"/>
  <c r="AL392" i="196" s="1"/>
  <c r="AL396" i="196" s="1"/>
  <c r="V142" i="197"/>
  <c r="V171" i="197" s="1"/>
  <c r="V76" i="198" s="1"/>
  <c r="V118" i="198" s="1"/>
  <c r="V124" i="197"/>
  <c r="V153" i="197" s="1"/>
  <c r="V58" i="198" s="1"/>
  <c r="V98" i="198" s="1"/>
  <c r="V133" i="197"/>
  <c r="V162" i="197" s="1"/>
  <c r="V67" i="198" s="1"/>
  <c r="V108" i="198" s="1"/>
  <c r="AC142" i="197"/>
  <c r="AC171" i="197" s="1"/>
  <c r="AC76" i="198" s="1"/>
  <c r="AC118" i="198" s="1"/>
  <c r="AC124" i="197"/>
  <c r="AC153" i="197" s="1"/>
  <c r="AC58" i="198" s="1"/>
  <c r="AC98" i="198" s="1"/>
  <c r="W331" i="196"/>
  <c r="AI331" i="196"/>
  <c r="Y227" i="196"/>
  <c r="Y229" i="196" s="1"/>
  <c r="U142" i="197"/>
  <c r="U171" i="197" s="1"/>
  <c r="U76" i="198" s="1"/>
  <c r="U118" i="198" s="1"/>
  <c r="U124" i="197"/>
  <c r="U153" i="197" s="1"/>
  <c r="U58" i="198" s="1"/>
  <c r="U98" i="198" s="1"/>
  <c r="U133" i="197"/>
  <c r="U162" i="197" s="1"/>
  <c r="U67" i="198" s="1"/>
  <c r="U108" i="198" s="1"/>
  <c r="AI365" i="196"/>
  <c r="AI367" i="196" s="1"/>
  <c r="AI369" i="196" s="1"/>
  <c r="AI394" i="196" s="1"/>
  <c r="AM365" i="196"/>
  <c r="AM367" i="196" s="1"/>
  <c r="AM369" i="196" s="1"/>
  <c r="AM394" i="196" s="1"/>
  <c r="R365" i="196"/>
  <c r="R367" i="196" s="1"/>
  <c r="R369" i="196" s="1"/>
  <c r="R394" i="196" s="1"/>
  <c r="AL365" i="196"/>
  <c r="AL367" i="196" s="1"/>
  <c r="AL369" i="196" s="1"/>
  <c r="AL394" i="196" s="1"/>
  <c r="AJ365" i="196"/>
  <c r="AJ367" i="196" s="1"/>
  <c r="AJ369" i="196" s="1"/>
  <c r="AJ394" i="196" s="1"/>
  <c r="K365" i="196"/>
  <c r="K367" i="196" s="1"/>
  <c r="K369" i="196" s="1"/>
  <c r="K394" i="196" s="1"/>
  <c r="AK365" i="196"/>
  <c r="AK367" i="196" s="1"/>
  <c r="AK369" i="196" s="1"/>
  <c r="AK394" i="196" s="1"/>
  <c r="AN365" i="196"/>
  <c r="AN367" i="196" s="1"/>
  <c r="AN369" i="196" s="1"/>
  <c r="AN394" i="196" s="1"/>
  <c r="AH365" i="196"/>
  <c r="AH367" i="196" s="1"/>
  <c r="AH369" i="196" s="1"/>
  <c r="AH394" i="196" s="1"/>
  <c r="AB365" i="196"/>
  <c r="AB367" i="196" s="1"/>
  <c r="AB369" i="196" s="1"/>
  <c r="AB394" i="196" s="1"/>
  <c r="Q365" i="196"/>
  <c r="Q367" i="196" s="1"/>
  <c r="Q369" i="196" s="1"/>
  <c r="Q394" i="196" s="1"/>
  <c r="AO365" i="196"/>
  <c r="AO367" i="196" s="1"/>
  <c r="AO369" i="196" s="1"/>
  <c r="AO394" i="196" s="1"/>
  <c r="W365" i="196"/>
  <c r="W367" i="196" s="1"/>
  <c r="W369" i="196" s="1"/>
  <c r="W394" i="196" s="1"/>
  <c r="L365" i="196"/>
  <c r="L367" i="196" s="1"/>
  <c r="L369" i="196" s="1"/>
  <c r="L394" i="196" s="1"/>
  <c r="U227" i="196"/>
  <c r="U229" i="196" s="1"/>
  <c r="AH102" i="198"/>
  <c r="AH140" i="198" s="1"/>
  <c r="AA142" i="197"/>
  <c r="AA171" i="197" s="1"/>
  <c r="AA76" i="198" s="1"/>
  <c r="AA118" i="198" s="1"/>
  <c r="AA124" i="197"/>
  <c r="AA153" i="197" s="1"/>
  <c r="AA58" i="198" s="1"/>
  <c r="AA98" i="198" s="1"/>
  <c r="AD124" i="197"/>
  <c r="AD153" i="197" s="1"/>
  <c r="AD58" i="198" s="1"/>
  <c r="AD98" i="198" s="1"/>
  <c r="AD142" i="197"/>
  <c r="AD171" i="197" s="1"/>
  <c r="AD76" i="198" s="1"/>
  <c r="AD118" i="198" s="1"/>
  <c r="O227" i="196"/>
  <c r="O229" i="196" s="1"/>
  <c r="S142" i="197"/>
  <c r="S171" i="197" s="1"/>
  <c r="S76" i="198" s="1"/>
  <c r="S118" i="198" s="1"/>
  <c r="S124" i="197"/>
  <c r="S153" i="197" s="1"/>
  <c r="S58" i="198" s="1"/>
  <c r="S98" i="198" s="1"/>
  <c r="S133" i="197"/>
  <c r="S162" i="197" s="1"/>
  <c r="S67" i="198" s="1"/>
  <c r="S108" i="198" s="1"/>
  <c r="Q299" i="196"/>
  <c r="Q305" i="196" s="1"/>
  <c r="Q392" i="196" s="1"/>
  <c r="Q396" i="196" s="1"/>
  <c r="V227" i="196"/>
  <c r="V229" i="196" s="1"/>
  <c r="AC227" i="196"/>
  <c r="AC229" i="196" s="1"/>
  <c r="AN331" i="196"/>
  <c r="K331" i="196"/>
  <c r="X238" i="196"/>
  <c r="X425" i="196"/>
  <c r="AD294" i="196"/>
  <c r="AD296" i="196" s="1"/>
  <c r="AD238" i="196"/>
  <c r="AD425" i="196"/>
  <c r="S294" i="196"/>
  <c r="S296" i="196" s="1"/>
  <c r="S238" i="196"/>
  <c r="X294" i="196"/>
  <c r="X296" i="196" s="1"/>
  <c r="S425" i="196"/>
  <c r="L299" i="196"/>
  <c r="L305" i="196" s="1"/>
  <c r="L392" i="196" s="1"/>
  <c r="L396" i="196" s="1"/>
  <c r="M142" i="197"/>
  <c r="M171" i="197" s="1"/>
  <c r="M76" i="198" s="1"/>
  <c r="M118" i="198" s="1"/>
  <c r="M133" i="197"/>
  <c r="M162" i="197" s="1"/>
  <c r="M67" i="198" s="1"/>
  <c r="M108" i="198" s="1"/>
  <c r="M124" i="197"/>
  <c r="M153" i="197" s="1"/>
  <c r="M58" i="198" s="1"/>
  <c r="M98" i="198" s="1"/>
  <c r="AK331" i="196"/>
  <c r="AO331" i="196"/>
  <c r="AN102" i="198"/>
  <c r="AN140" i="198" s="1"/>
  <c r="X142" i="197"/>
  <c r="X171" i="197" s="1"/>
  <c r="X76" i="198" s="1"/>
  <c r="X118" i="198" s="1"/>
  <c r="X124" i="197"/>
  <c r="X153" i="197" s="1"/>
  <c r="X58" i="198" s="1"/>
  <c r="X98" i="198" s="1"/>
  <c r="AN122" i="198"/>
  <c r="M425" i="196" l="1"/>
  <c r="N294" i="196"/>
  <c r="N296" i="196" s="1"/>
  <c r="N238" i="196"/>
  <c r="M274" i="196"/>
  <c r="M279" i="196" s="1"/>
  <c r="M284" i="196" s="1"/>
  <c r="M275" i="196"/>
  <c r="M280" i="196" s="1"/>
  <c r="M285" i="196" s="1"/>
  <c r="M363" i="196" s="1"/>
  <c r="M365" i="196" s="1"/>
  <c r="M367" i="196" s="1"/>
  <c r="M250" i="196"/>
  <c r="M406" i="196"/>
  <c r="M415" i="196" s="1"/>
  <c r="M34" i="197" s="1"/>
  <c r="M112" i="197" s="1"/>
  <c r="M252" i="196"/>
  <c r="M268" i="196"/>
  <c r="M273" i="196" s="1"/>
  <c r="M278" i="196" s="1"/>
  <c r="M283" i="196" s="1"/>
  <c r="M251" i="196"/>
  <c r="M269" i="196"/>
  <c r="M270" i="196"/>
  <c r="AD273" i="196"/>
  <c r="AD278" i="196" s="1"/>
  <c r="AD283" i="196" s="1"/>
  <c r="AD251" i="196"/>
  <c r="AD274" i="196"/>
  <c r="AD279" i="196" s="1"/>
  <c r="AD284" i="196" s="1"/>
  <c r="AD275" i="196"/>
  <c r="AD280" i="196" s="1"/>
  <c r="AD285" i="196" s="1"/>
  <c r="AD363" i="196" s="1"/>
  <c r="AD365" i="196" s="1"/>
  <c r="AD367" i="196" s="1"/>
  <c r="AD406" i="196"/>
  <c r="AD415" i="196" s="1"/>
  <c r="AD34" i="197" s="1"/>
  <c r="AD112" i="197" s="1"/>
  <c r="AD250" i="196"/>
  <c r="AD268" i="196" s="1"/>
  <c r="AD269" i="196"/>
  <c r="AD252" i="196"/>
  <c r="AD270" i="196"/>
  <c r="AC294" i="196"/>
  <c r="AC296" i="196" s="1"/>
  <c r="AC425" i="196"/>
  <c r="AC238" i="196"/>
  <c r="AE425" i="196"/>
  <c r="AE238" i="196"/>
  <c r="AE294" i="196"/>
  <c r="AE296" i="196" s="1"/>
  <c r="V425" i="196"/>
  <c r="V238" i="196"/>
  <c r="AA294" i="196"/>
  <c r="AA296" i="196" s="1"/>
  <c r="V294" i="196"/>
  <c r="V296" i="196" s="1"/>
  <c r="AA238" i="196"/>
  <c r="AA425" i="196"/>
  <c r="T238" i="196"/>
  <c r="Y294" i="196"/>
  <c r="Y296" i="196" s="1"/>
  <c r="T425" i="196"/>
  <c r="T294" i="196"/>
  <c r="T296" i="196" s="1"/>
  <c r="P425" i="196"/>
  <c r="P238" i="196"/>
  <c r="P294" i="196"/>
  <c r="P296" i="196" s="1"/>
  <c r="X275" i="196"/>
  <c r="X406" i="196"/>
  <c r="X415" i="196" s="1"/>
  <c r="X34" i="197" s="1"/>
  <c r="X112" i="197" s="1"/>
  <c r="X250" i="196"/>
  <c r="X268" i="196" s="1"/>
  <c r="X251" i="196"/>
  <c r="X269" i="196" s="1"/>
  <c r="X252" i="196"/>
  <c r="X270" i="196" s="1"/>
  <c r="X274" i="196"/>
  <c r="X273" i="196"/>
  <c r="AF238" i="196"/>
  <c r="AF425" i="196"/>
  <c r="AF294" i="196"/>
  <c r="AF296" i="196" s="1"/>
  <c r="U425" i="196"/>
  <c r="U238" i="196"/>
  <c r="U294" i="196"/>
  <c r="U296" i="196" s="1"/>
  <c r="Z294" i="196"/>
  <c r="Z296" i="196" s="1"/>
  <c r="Z268" i="196"/>
  <c r="Z269" i="196"/>
  <c r="Z274" i="196" s="1"/>
  <c r="Z252" i="196"/>
  <c r="Z270" i="196" s="1"/>
  <c r="Z273" i="196"/>
  <c r="Z275" i="196"/>
  <c r="Z250" i="196"/>
  <c r="Z251" i="196"/>
  <c r="Z406" i="196"/>
  <c r="Z415" i="196" s="1"/>
  <c r="Z34" i="197" s="1"/>
  <c r="Z112" i="197" s="1"/>
  <c r="K305" i="196"/>
  <c r="K392" i="196" s="1"/>
  <c r="K396" i="196" s="1"/>
  <c r="AJ301" i="196"/>
  <c r="AJ303" i="196" s="1"/>
  <c r="AH301" i="196"/>
  <c r="AH303" i="196" s="1"/>
  <c r="AL301" i="196"/>
  <c r="AL303" i="196" s="1"/>
  <c r="L301" i="196"/>
  <c r="L303" i="196" s="1"/>
  <c r="AN301" i="196"/>
  <c r="AN303" i="196" s="1"/>
  <c r="R301" i="196"/>
  <c r="R303" i="196" s="1"/>
  <c r="Q301" i="196"/>
  <c r="Q303" i="196" s="1"/>
  <c r="W301" i="196"/>
  <c r="W303" i="196" s="1"/>
  <c r="AO301" i="196"/>
  <c r="AO303" i="196" s="1"/>
  <c r="AB301" i="196"/>
  <c r="AB303" i="196" s="1"/>
  <c r="AK301" i="196"/>
  <c r="AK303" i="196" s="1"/>
  <c r="K301" i="196"/>
  <c r="K303" i="196" s="1"/>
  <c r="AI301" i="196"/>
  <c r="AI303" i="196" s="1"/>
  <c r="AM301" i="196"/>
  <c r="AM303" i="196" s="1"/>
  <c r="S273" i="196"/>
  <c r="S274" i="196"/>
  <c r="S250" i="196"/>
  <c r="S406" i="196"/>
  <c r="S415" i="196" s="1"/>
  <c r="S34" i="197" s="1"/>
  <c r="S112" i="197" s="1"/>
  <c r="S268" i="196"/>
  <c r="S270" i="196"/>
  <c r="S275" i="196" s="1"/>
  <c r="S269" i="196"/>
  <c r="S252" i="196"/>
  <c r="S251" i="196"/>
  <c r="J416" i="196"/>
  <c r="J35" i="197" s="1"/>
  <c r="J113" i="197" s="1"/>
  <c r="N268" i="196"/>
  <c r="N273" i="196" s="1"/>
  <c r="N278" i="196" s="1"/>
  <c r="N283" i="196" s="1"/>
  <c r="N299" i="196" s="1"/>
  <c r="N301" i="196" s="1"/>
  <c r="N303" i="196" s="1"/>
  <c r="N305" i="196" s="1"/>
  <c r="N392" i="196" s="1"/>
  <c r="N269" i="196"/>
  <c r="N252" i="196"/>
  <c r="N270" i="196" s="1"/>
  <c r="N274" i="196"/>
  <c r="N279" i="196" s="1"/>
  <c r="N284" i="196" s="1"/>
  <c r="N331" i="196" s="1"/>
  <c r="N333" i="196" s="1"/>
  <c r="N335" i="196" s="1"/>
  <c r="N275" i="196"/>
  <c r="N280" i="196" s="1"/>
  <c r="N285" i="196" s="1"/>
  <c r="N363" i="196" s="1"/>
  <c r="N365" i="196" s="1"/>
  <c r="N367" i="196" s="1"/>
  <c r="N406" i="196"/>
  <c r="N415" i="196" s="1"/>
  <c r="N34" i="197" s="1"/>
  <c r="N112" i="197" s="1"/>
  <c r="N251" i="196"/>
  <c r="N250" i="196"/>
  <c r="AJ333" i="196"/>
  <c r="AJ335" i="196" s="1"/>
  <c r="AJ337" i="196" s="1"/>
  <c r="AJ393" i="196" s="1"/>
  <c r="W333" i="196"/>
  <c r="W335" i="196" s="1"/>
  <c r="W337" i="196" s="1"/>
  <c r="W393" i="196" s="1"/>
  <c r="AH333" i="196"/>
  <c r="AH335" i="196" s="1"/>
  <c r="AH337" i="196" s="1"/>
  <c r="AH393" i="196" s="1"/>
  <c r="L333" i="196"/>
  <c r="L335" i="196" s="1"/>
  <c r="L337" i="196" s="1"/>
  <c r="L393" i="196" s="1"/>
  <c r="R333" i="196"/>
  <c r="R335" i="196" s="1"/>
  <c r="R337" i="196" s="1"/>
  <c r="R393" i="196" s="1"/>
  <c r="K333" i="196"/>
  <c r="K335" i="196" s="1"/>
  <c r="K337" i="196" s="1"/>
  <c r="K393" i="196" s="1"/>
  <c r="Q333" i="196"/>
  <c r="Q335" i="196" s="1"/>
  <c r="Q337" i="196" s="1"/>
  <c r="Q393" i="196" s="1"/>
  <c r="AL333" i="196"/>
  <c r="AL335" i="196" s="1"/>
  <c r="AL337" i="196" s="1"/>
  <c r="AL393" i="196" s="1"/>
  <c r="AN333" i="196"/>
  <c r="AN335" i="196" s="1"/>
  <c r="AN337" i="196" s="1"/>
  <c r="AN393" i="196" s="1"/>
  <c r="AI333" i="196"/>
  <c r="AI335" i="196" s="1"/>
  <c r="AI337" i="196" s="1"/>
  <c r="AI393" i="196" s="1"/>
  <c r="AM333" i="196"/>
  <c r="AM335" i="196" s="1"/>
  <c r="AM337" i="196" s="1"/>
  <c r="AM393" i="196" s="1"/>
  <c r="AO333" i="196"/>
  <c r="AO335" i="196" s="1"/>
  <c r="AO337" i="196" s="1"/>
  <c r="AO393" i="196" s="1"/>
  <c r="AB333" i="196"/>
  <c r="AB335" i="196" s="1"/>
  <c r="AB337" i="196" s="1"/>
  <c r="AB393" i="196" s="1"/>
  <c r="AK333" i="196"/>
  <c r="AK335" i="196" s="1"/>
  <c r="AK337" i="196" s="1"/>
  <c r="AK393" i="196" s="1"/>
  <c r="O425" i="196"/>
  <c r="O294" i="196"/>
  <c r="O296" i="196" s="1"/>
  <c r="O238" i="196"/>
  <c r="Y238" i="196"/>
  <c r="Y425" i="196"/>
  <c r="J227" i="196"/>
  <c r="J229" i="196" s="1"/>
  <c r="M299" i="196" l="1"/>
  <c r="U252" i="196"/>
  <c r="U250" i="196"/>
  <c r="U268" i="196" s="1"/>
  <c r="U274" i="196"/>
  <c r="U275" i="196"/>
  <c r="U251" i="196"/>
  <c r="U269" i="196" s="1"/>
  <c r="U273" i="196"/>
  <c r="U406" i="196"/>
  <c r="U415" i="196" s="1"/>
  <c r="U34" i="197" s="1"/>
  <c r="U112" i="197" s="1"/>
  <c r="U270" i="196"/>
  <c r="AD123" i="197"/>
  <c r="AD152" i="197" s="1"/>
  <c r="AD57" i="198" s="1"/>
  <c r="AD97" i="198" s="1"/>
  <c r="AD141" i="197"/>
  <c r="AD170" i="197" s="1"/>
  <c r="AD75" i="198" s="1"/>
  <c r="AD117" i="198" s="1"/>
  <c r="Y275" i="196"/>
  <c r="Y273" i="196"/>
  <c r="Y406" i="196"/>
  <c r="Y415" i="196" s="1"/>
  <c r="Y34" i="197" s="1"/>
  <c r="Y112" i="197" s="1"/>
  <c r="Y252" i="196"/>
  <c r="Y270" i="196" s="1"/>
  <c r="Y251" i="196"/>
  <c r="Y269" i="196" s="1"/>
  <c r="Y274" i="196" s="1"/>
  <c r="Y250" i="196"/>
  <c r="Y268" i="196" s="1"/>
  <c r="X280" i="196"/>
  <c r="X285" i="196" s="1"/>
  <c r="X363" i="196" s="1"/>
  <c r="S280" i="196"/>
  <c r="S285" i="196" s="1"/>
  <c r="S363" i="196" s="1"/>
  <c r="AA268" i="196"/>
  <c r="AA252" i="196"/>
  <c r="AA270" i="196"/>
  <c r="AA251" i="196"/>
  <c r="AA269" i="196" s="1"/>
  <c r="AA274" i="196"/>
  <c r="AA273" i="196"/>
  <c r="AA250" i="196"/>
  <c r="AA406" i="196"/>
  <c r="AA415" i="196" s="1"/>
  <c r="AA34" i="197" s="1"/>
  <c r="AA112" i="197" s="1"/>
  <c r="AA275" i="196"/>
  <c r="AC250" i="196"/>
  <c r="AC269" i="196"/>
  <c r="AC274" i="196" s="1"/>
  <c r="AC279" i="196" s="1"/>
  <c r="AC284" i="196" s="1"/>
  <c r="AC270" i="196"/>
  <c r="AC275" i="196"/>
  <c r="AC280" i="196" s="1"/>
  <c r="AC285" i="196" s="1"/>
  <c r="AC363" i="196" s="1"/>
  <c r="AC365" i="196" s="1"/>
  <c r="AC367" i="196" s="1"/>
  <c r="AC406" i="196"/>
  <c r="AC415" i="196" s="1"/>
  <c r="AC34" i="197" s="1"/>
  <c r="AC112" i="197" s="1"/>
  <c r="AC273" i="196"/>
  <c r="AC278" i="196" s="1"/>
  <c r="AC283" i="196" s="1"/>
  <c r="AC268" i="196"/>
  <c r="AC251" i="196"/>
  <c r="AC252" i="196"/>
  <c r="M305" i="196"/>
  <c r="M392" i="196" s="1"/>
  <c r="M301" i="196"/>
  <c r="M303" i="196" s="1"/>
  <c r="O250" i="196"/>
  <c r="O268" i="196" s="1"/>
  <c r="O251" i="196"/>
  <c r="O269" i="196" s="1"/>
  <c r="O274" i="196"/>
  <c r="O279" i="196" s="1"/>
  <c r="O284" i="196" s="1"/>
  <c r="O275" i="196"/>
  <c r="O280" i="196" s="1"/>
  <c r="O285" i="196" s="1"/>
  <c r="O363" i="196" s="1"/>
  <c r="O365" i="196" s="1"/>
  <c r="O367" i="196" s="1"/>
  <c r="O273" i="196"/>
  <c r="O278" i="196" s="1"/>
  <c r="O283" i="196" s="1"/>
  <c r="O406" i="196"/>
  <c r="O415" i="196" s="1"/>
  <c r="O34" i="197" s="1"/>
  <c r="O112" i="197" s="1"/>
  <c r="O252" i="196"/>
  <c r="O270" i="196" s="1"/>
  <c r="AD331" i="196"/>
  <c r="AD333" i="196" s="1"/>
  <c r="AD335" i="196" s="1"/>
  <c r="S123" i="197"/>
  <c r="S152" i="197" s="1"/>
  <c r="S57" i="198" s="1"/>
  <c r="S97" i="198" s="1"/>
  <c r="S141" i="197"/>
  <c r="S170" i="197" s="1"/>
  <c r="S75" i="198" s="1"/>
  <c r="S117" i="198" s="1"/>
  <c r="S132" i="197"/>
  <c r="S161" i="197" s="1"/>
  <c r="S66" i="198" s="1"/>
  <c r="S107" i="198" s="1"/>
  <c r="X123" i="197"/>
  <c r="X152" i="197" s="1"/>
  <c r="X57" i="198" s="1"/>
  <c r="X97" i="198" s="1"/>
  <c r="X141" i="197"/>
  <c r="X170" i="197" s="1"/>
  <c r="X75" i="198" s="1"/>
  <c r="X117" i="198" s="1"/>
  <c r="M123" i="197"/>
  <c r="M152" i="197" s="1"/>
  <c r="M57" i="198" s="1"/>
  <c r="M97" i="198" s="1"/>
  <c r="M141" i="197"/>
  <c r="M170" i="197" s="1"/>
  <c r="M75" i="198" s="1"/>
  <c r="M117" i="198" s="1"/>
  <c r="M132" i="197"/>
  <c r="M161" i="197" s="1"/>
  <c r="M66" i="198" s="1"/>
  <c r="M107" i="198" s="1"/>
  <c r="V251" i="196"/>
  <c r="V275" i="196"/>
  <c r="V274" i="196"/>
  <c r="V273" i="196"/>
  <c r="V406" i="196"/>
  <c r="V415" i="196" s="1"/>
  <c r="V34" i="197" s="1"/>
  <c r="V112" i="197" s="1"/>
  <c r="V250" i="196"/>
  <c r="V268" i="196" s="1"/>
  <c r="V252" i="196"/>
  <c r="V270" i="196" s="1"/>
  <c r="V269" i="196"/>
  <c r="AD299" i="196"/>
  <c r="AD301" i="196" s="1"/>
  <c r="AD303" i="196" s="1"/>
  <c r="AD305" i="196" s="1"/>
  <c r="AD392" i="196" s="1"/>
  <c r="J133" i="197"/>
  <c r="J162" i="197" s="1"/>
  <c r="J67" i="198" s="1"/>
  <c r="J108" i="198" s="1"/>
  <c r="H108" i="198" s="1"/>
  <c r="J124" i="197"/>
  <c r="J153" i="197" s="1"/>
  <c r="J58" i="198" s="1"/>
  <c r="J98" i="198" s="1"/>
  <c r="H98" i="198" s="1"/>
  <c r="J142" i="197"/>
  <c r="J171" i="197" s="1"/>
  <c r="J76" i="198" s="1"/>
  <c r="J118" i="198" s="1"/>
  <c r="H118" i="198" s="1"/>
  <c r="X279" i="196"/>
  <c r="X284" i="196" s="1"/>
  <c r="X331" i="196" s="1"/>
  <c r="S279" i="196"/>
  <c r="S284" i="196" s="1"/>
  <c r="S331" i="196" s="1"/>
  <c r="AF251" i="196"/>
  <c r="AF250" i="196"/>
  <c r="AF268" i="196" s="1"/>
  <c r="AF252" i="196"/>
  <c r="AF270" i="196" s="1"/>
  <c r="AF269" i="196"/>
  <c r="AF274" i="196"/>
  <c r="AF279" i="196" s="1"/>
  <c r="AF284" i="196" s="1"/>
  <c r="AF331" i="196" s="1"/>
  <c r="AF333" i="196" s="1"/>
  <c r="AF335" i="196" s="1"/>
  <c r="AF273" i="196"/>
  <c r="AF278" i="196" s="1"/>
  <c r="AF283" i="196" s="1"/>
  <c r="AF406" i="196"/>
  <c r="AF415" i="196" s="1"/>
  <c r="AF34" i="197" s="1"/>
  <c r="AF112" i="197" s="1"/>
  <c r="AF275" i="196"/>
  <c r="AF280" i="196" s="1"/>
  <c r="AF285" i="196" s="1"/>
  <c r="AF363" i="196" s="1"/>
  <c r="AF365" i="196" s="1"/>
  <c r="AF367" i="196" s="1"/>
  <c r="J425" i="196"/>
  <c r="H425" i="196" s="1"/>
  <c r="J238" i="196"/>
  <c r="J294" i="196"/>
  <c r="J296" i="196" s="1"/>
  <c r="H231" i="196"/>
  <c r="N123" i="197"/>
  <c r="N152" i="197" s="1"/>
  <c r="N57" i="198" s="1"/>
  <c r="N97" i="198" s="1"/>
  <c r="N132" i="197"/>
  <c r="N161" i="197" s="1"/>
  <c r="N66" i="198" s="1"/>
  <c r="N107" i="198" s="1"/>
  <c r="N141" i="197"/>
  <c r="N170" i="197" s="1"/>
  <c r="N75" i="198" s="1"/>
  <c r="N117" i="198" s="1"/>
  <c r="S278" i="196"/>
  <c r="S283" i="196" s="1"/>
  <c r="X278" i="196"/>
  <c r="X283" i="196" s="1"/>
  <c r="X299" i="196" s="1"/>
  <c r="Z141" i="197"/>
  <c r="Z170" i="197" s="1"/>
  <c r="Z75" i="198" s="1"/>
  <c r="Z117" i="198" s="1"/>
  <c r="Z123" i="197"/>
  <c r="Z152" i="197" s="1"/>
  <c r="Z57" i="198" s="1"/>
  <c r="Z97" i="198" s="1"/>
  <c r="P273" i="196"/>
  <c r="P278" i="196" s="1"/>
  <c r="P283" i="196" s="1"/>
  <c r="P275" i="196"/>
  <c r="P280" i="196" s="1"/>
  <c r="P285" i="196" s="1"/>
  <c r="P363" i="196" s="1"/>
  <c r="P365" i="196" s="1"/>
  <c r="P367" i="196" s="1"/>
  <c r="P369" i="196" s="1"/>
  <c r="P394" i="196" s="1"/>
  <c r="P250" i="196"/>
  <c r="P406" i="196"/>
  <c r="P415" i="196" s="1"/>
  <c r="P34" i="197" s="1"/>
  <c r="P112" i="197" s="1"/>
  <c r="P251" i="196"/>
  <c r="P274" i="196"/>
  <c r="P279" i="196" s="1"/>
  <c r="P284" i="196" s="1"/>
  <c r="P252" i="196"/>
  <c r="P270" i="196" s="1"/>
  <c r="P269" i="196"/>
  <c r="P268" i="196"/>
  <c r="T250" i="196"/>
  <c r="T270" i="196"/>
  <c r="T251" i="196"/>
  <c r="T275" i="196"/>
  <c r="T268" i="196"/>
  <c r="T273" i="196"/>
  <c r="T274" i="196"/>
  <c r="T269" i="196"/>
  <c r="T406" i="196"/>
  <c r="T415" i="196" s="1"/>
  <c r="T34" i="197" s="1"/>
  <c r="T112" i="197" s="1"/>
  <c r="T252" i="196"/>
  <c r="M331" i="196"/>
  <c r="M333" i="196" s="1"/>
  <c r="M335" i="196" s="1"/>
  <c r="M337" i="196" s="1"/>
  <c r="M393" i="196" s="1"/>
  <c r="AE269" i="196"/>
  <c r="AE274" i="196" s="1"/>
  <c r="AE279" i="196" s="1"/>
  <c r="AE284" i="196" s="1"/>
  <c r="AE273" i="196"/>
  <c r="AE278" i="196" s="1"/>
  <c r="AE283" i="196" s="1"/>
  <c r="AE275" i="196"/>
  <c r="AE280" i="196" s="1"/>
  <c r="AE285" i="196" s="1"/>
  <c r="AE363" i="196" s="1"/>
  <c r="AE365" i="196" s="1"/>
  <c r="AE367" i="196" s="1"/>
  <c r="AE406" i="196"/>
  <c r="AE415" i="196" s="1"/>
  <c r="AE34" i="197" s="1"/>
  <c r="AE112" i="197" s="1"/>
  <c r="AE251" i="196"/>
  <c r="AE250" i="196"/>
  <c r="AE268" i="196"/>
  <c r="AE252" i="196"/>
  <c r="AE270" i="196" s="1"/>
  <c r="P299" i="196" l="1"/>
  <c r="V278" i="196"/>
  <c r="V283" i="196" s="1"/>
  <c r="O331" i="196"/>
  <c r="O333" i="196" s="1"/>
  <c r="O335" i="196" s="1"/>
  <c r="O337" i="196" s="1"/>
  <c r="O393" i="196" s="1"/>
  <c r="P305" i="196"/>
  <c r="P392" i="196" s="1"/>
  <c r="P301" i="196"/>
  <c r="P303" i="196" s="1"/>
  <c r="T279" i="196"/>
  <c r="T284" i="196" s="1"/>
  <c r="Y279" i="196"/>
  <c r="Y284" i="196" s="1"/>
  <c r="J250" i="196"/>
  <c r="J268" i="196"/>
  <c r="J273" i="196"/>
  <c r="J278" i="196" s="1"/>
  <c r="J283" i="196" s="1"/>
  <c r="J406" i="196"/>
  <c r="J415" i="196" s="1"/>
  <c r="J34" i="197" s="1"/>
  <c r="J112" i="197" s="1"/>
  <c r="J251" i="196"/>
  <c r="J270" i="196"/>
  <c r="J275" i="196" s="1"/>
  <c r="J280" i="196" s="1"/>
  <c r="J285" i="196" s="1"/>
  <c r="J363" i="196" s="1"/>
  <c r="J365" i="196" s="1"/>
  <c r="J367" i="196" s="1"/>
  <c r="J252" i="196"/>
  <c r="J269" i="196"/>
  <c r="J274" i="196" s="1"/>
  <c r="J279" i="196" s="1"/>
  <c r="J284" i="196" s="1"/>
  <c r="U123" i="197"/>
  <c r="U152" i="197" s="1"/>
  <c r="U57" i="198" s="1"/>
  <c r="U97" i="198" s="1"/>
  <c r="U132" i="197"/>
  <c r="U161" i="197" s="1"/>
  <c r="U66" i="198" s="1"/>
  <c r="U107" i="198" s="1"/>
  <c r="U141" i="197"/>
  <c r="U170" i="197" s="1"/>
  <c r="U75" i="198" s="1"/>
  <c r="U117" i="198" s="1"/>
  <c r="AC141" i="197"/>
  <c r="AC170" i="197" s="1"/>
  <c r="AC75" i="198" s="1"/>
  <c r="AC117" i="198" s="1"/>
  <c r="AC123" i="197"/>
  <c r="AC152" i="197" s="1"/>
  <c r="AC57" i="198" s="1"/>
  <c r="AC97" i="198" s="1"/>
  <c r="AE299" i="196"/>
  <c r="AE301" i="196" s="1"/>
  <c r="AE303" i="196" s="1"/>
  <c r="AE305" i="196" s="1"/>
  <c r="AE392" i="196" s="1"/>
  <c r="P331" i="196"/>
  <c r="P333" i="196" s="1"/>
  <c r="P335" i="196" s="1"/>
  <c r="Z278" i="196"/>
  <c r="Z283" i="196" s="1"/>
  <c r="U278" i="196"/>
  <c r="U283" i="196" s="1"/>
  <c r="AE123" i="197"/>
  <c r="AE152" i="197" s="1"/>
  <c r="AE57" i="198" s="1"/>
  <c r="AE97" i="198" s="1"/>
  <c r="AE141" i="197"/>
  <c r="AE170" i="197" s="1"/>
  <c r="AE75" i="198" s="1"/>
  <c r="AE117" i="198" s="1"/>
  <c r="V280" i="196"/>
  <c r="V285" i="196" s="1"/>
  <c r="V363" i="196" s="1"/>
  <c r="AA280" i="196"/>
  <c r="AA285" i="196" s="1"/>
  <c r="AA363" i="196" s="1"/>
  <c r="Y278" i="196"/>
  <c r="Y283" i="196" s="1"/>
  <c r="T278" i="196"/>
  <c r="T283" i="196" s="1"/>
  <c r="AE331" i="196"/>
  <c r="AE333" i="196" s="1"/>
  <c r="AE335" i="196" s="1"/>
  <c r="AE337" i="196" s="1"/>
  <c r="AE393" i="196" s="1"/>
  <c r="Y280" i="196"/>
  <c r="Y285" i="196" s="1"/>
  <c r="Y363" i="196" s="1"/>
  <c r="T280" i="196"/>
  <c r="T285" i="196" s="1"/>
  <c r="T363" i="196" s="1"/>
  <c r="S299" i="196"/>
  <c r="AC331" i="196"/>
  <c r="AC333" i="196" s="1"/>
  <c r="AC335" i="196" s="1"/>
  <c r="Y141" i="197"/>
  <c r="Y170" i="197" s="1"/>
  <c r="Y75" i="198" s="1"/>
  <c r="Y117" i="198" s="1"/>
  <c r="Y123" i="197"/>
  <c r="Y152" i="197" s="1"/>
  <c r="Y57" i="198" s="1"/>
  <c r="Y97" i="198" s="1"/>
  <c r="Z280" i="196"/>
  <c r="Z285" i="196" s="1"/>
  <c r="Z363" i="196" s="1"/>
  <c r="U280" i="196"/>
  <c r="U285" i="196" s="1"/>
  <c r="U363" i="196" s="1"/>
  <c r="P123" i="197"/>
  <c r="P152" i="197" s="1"/>
  <c r="P57" i="198" s="1"/>
  <c r="P97" i="198" s="1"/>
  <c r="P141" i="197"/>
  <c r="P170" i="197" s="1"/>
  <c r="P75" i="198" s="1"/>
  <c r="P117" i="198" s="1"/>
  <c r="P132" i="197"/>
  <c r="P161" i="197" s="1"/>
  <c r="P66" i="198" s="1"/>
  <c r="P107" i="198" s="1"/>
  <c r="AF141" i="197"/>
  <c r="AF170" i="197" s="1"/>
  <c r="AF75" i="198" s="1"/>
  <c r="AF117" i="198" s="1"/>
  <c r="AF123" i="197"/>
  <c r="AF152" i="197" s="1"/>
  <c r="AF57" i="198" s="1"/>
  <c r="AF97" i="198" s="1"/>
  <c r="X333" i="196"/>
  <c r="X335" i="196" s="1"/>
  <c r="X337" i="196" s="1"/>
  <c r="X393" i="196" s="1"/>
  <c r="S333" i="196"/>
  <c r="S335" i="196" s="1"/>
  <c r="S337" i="196" s="1"/>
  <c r="S393" i="196" s="1"/>
  <c r="O141" i="197"/>
  <c r="O170" i="197" s="1"/>
  <c r="O75" i="198" s="1"/>
  <c r="O117" i="198" s="1"/>
  <c r="O123" i="197"/>
  <c r="O152" i="197" s="1"/>
  <c r="O57" i="198" s="1"/>
  <c r="O97" i="198" s="1"/>
  <c r="O132" i="197"/>
  <c r="O161" i="197" s="1"/>
  <c r="O66" i="198" s="1"/>
  <c r="O107" i="198" s="1"/>
  <c r="AF299" i="196"/>
  <c r="AF301" i="196" s="1"/>
  <c r="AF303" i="196" s="1"/>
  <c r="AF305" i="196" s="1"/>
  <c r="AF392" i="196" s="1"/>
  <c r="V132" i="197"/>
  <c r="V161" i="197" s="1"/>
  <c r="V66" i="198" s="1"/>
  <c r="V107" i="198" s="1"/>
  <c r="V123" i="197"/>
  <c r="V152" i="197" s="1"/>
  <c r="V57" i="198" s="1"/>
  <c r="V97" i="198" s="1"/>
  <c r="V141" i="197"/>
  <c r="V170" i="197" s="1"/>
  <c r="V75" i="198" s="1"/>
  <c r="V117" i="198" s="1"/>
  <c r="O299" i="196"/>
  <c r="Z279" i="196"/>
  <c r="Z284" i="196" s="1"/>
  <c r="Z331" i="196" s="1"/>
  <c r="U279" i="196"/>
  <c r="U284" i="196" s="1"/>
  <c r="T123" i="197"/>
  <c r="T152" i="197" s="1"/>
  <c r="T57" i="198" s="1"/>
  <c r="T97" i="198" s="1"/>
  <c r="T141" i="197"/>
  <c r="T170" i="197" s="1"/>
  <c r="T75" i="198" s="1"/>
  <c r="T117" i="198" s="1"/>
  <c r="T132" i="197"/>
  <c r="T161" i="197" s="1"/>
  <c r="T66" i="198" s="1"/>
  <c r="T107" i="198" s="1"/>
  <c r="AA278" i="196"/>
  <c r="AA283" i="196" s="1"/>
  <c r="AA141" i="197"/>
  <c r="AA170" i="197" s="1"/>
  <c r="AA75" i="198" s="1"/>
  <c r="AA117" i="198" s="1"/>
  <c r="AA123" i="197"/>
  <c r="AA152" i="197" s="1"/>
  <c r="AA57" i="198" s="1"/>
  <c r="AA97" i="198" s="1"/>
  <c r="S365" i="196"/>
  <c r="S367" i="196" s="1"/>
  <c r="X365" i="196"/>
  <c r="X367" i="196" s="1"/>
  <c r="V279" i="196"/>
  <c r="V284" i="196" s="1"/>
  <c r="V331" i="196" s="1"/>
  <c r="AA279" i="196"/>
  <c r="AA284" i="196" s="1"/>
  <c r="AA331" i="196" s="1"/>
  <c r="AC299" i="196"/>
  <c r="U331" i="196" l="1"/>
  <c r="J299" i="196"/>
  <c r="J301" i="196" s="1"/>
  <c r="J303" i="196" s="1"/>
  <c r="J305" i="196" s="1"/>
  <c r="J392" i="196" s="1"/>
  <c r="Y299" i="196"/>
  <c r="T365" i="196"/>
  <c r="T367" i="196" s="1"/>
  <c r="Y365" i="196"/>
  <c r="Y367" i="196" s="1"/>
  <c r="X301" i="196"/>
  <c r="X303" i="196" s="1"/>
  <c r="X305" i="196" s="1"/>
  <c r="X392" i="196" s="1"/>
  <c r="S301" i="196"/>
  <c r="S303" i="196" s="1"/>
  <c r="S305" i="196" s="1"/>
  <c r="S392" i="196" s="1"/>
  <c r="U333" i="196"/>
  <c r="U335" i="196" s="1"/>
  <c r="U337" i="196" s="1"/>
  <c r="U393" i="196" s="1"/>
  <c r="Z333" i="196"/>
  <c r="Z335" i="196" s="1"/>
  <c r="Z337" i="196" s="1"/>
  <c r="Z393" i="196" s="1"/>
  <c r="U299" i="196"/>
  <c r="AE258" i="196" a="1"/>
  <c r="AE258" i="196" s="1"/>
  <c r="AE263" i="196" s="1"/>
  <c r="U258" i="196" a="1"/>
  <c r="U258" i="196" s="1"/>
  <c r="U263" i="196" s="1"/>
  <c r="AC258" i="196" a="1"/>
  <c r="AC258" i="196" s="1"/>
  <c r="AC263" i="196" s="1"/>
  <c r="J258" i="196" a="1"/>
  <c r="J258" i="196" s="1"/>
  <c r="V258" i="196" a="1"/>
  <c r="V258" i="196" s="1"/>
  <c r="V263" i="196" s="1"/>
  <c r="AB258" i="196" a="1"/>
  <c r="AB258" i="196" s="1"/>
  <c r="AB263" i="196" s="1"/>
  <c r="M258" i="196" a="1"/>
  <c r="M258" i="196" s="1"/>
  <c r="M263" i="196" s="1"/>
  <c r="AG258" i="196" a="1"/>
  <c r="AG258" i="196" s="1"/>
  <c r="AG263" i="196" s="1"/>
  <c r="AN258" i="196" a="1"/>
  <c r="AN258" i="196" s="1"/>
  <c r="AN263" i="196" s="1"/>
  <c r="AH258" i="196" a="1"/>
  <c r="AH258" i="196" s="1"/>
  <c r="AH263" i="196" s="1"/>
  <c r="AM258" i="196" a="1"/>
  <c r="AM258" i="196" s="1"/>
  <c r="AM263" i="196" s="1"/>
  <c r="Z258" i="196" a="1"/>
  <c r="Z258" i="196" s="1"/>
  <c r="Z263" i="196" s="1"/>
  <c r="Y258" i="196" a="1"/>
  <c r="Y258" i="196" s="1"/>
  <c r="Y263" i="196" s="1"/>
  <c r="K258" i="196" a="1"/>
  <c r="K258" i="196" s="1"/>
  <c r="K263" i="196" s="1"/>
  <c r="AF258" i="196" a="1"/>
  <c r="AF258" i="196" s="1"/>
  <c r="AF263" i="196" s="1"/>
  <c r="AD258" i="196" a="1"/>
  <c r="AD258" i="196" s="1"/>
  <c r="AD263" i="196" s="1"/>
  <c r="L258" i="196" a="1"/>
  <c r="L258" i="196" s="1"/>
  <c r="L263" i="196" s="1"/>
  <c r="N258" i="196" a="1"/>
  <c r="N258" i="196" s="1"/>
  <c r="N263" i="196" s="1"/>
  <c r="W258" i="196" a="1"/>
  <c r="W258" i="196" s="1"/>
  <c r="W263" i="196" s="1"/>
  <c r="AL258" i="196" a="1"/>
  <c r="AL258" i="196" s="1"/>
  <c r="AL263" i="196" s="1"/>
  <c r="S258" i="196" a="1"/>
  <c r="S258" i="196" s="1"/>
  <c r="S263" i="196" s="1"/>
  <c r="T258" i="196" a="1"/>
  <c r="T258" i="196" s="1"/>
  <c r="T263" i="196" s="1"/>
  <c r="AJ258" i="196" a="1"/>
  <c r="AJ258" i="196" s="1"/>
  <c r="AJ263" i="196" s="1"/>
  <c r="X258" i="196" a="1"/>
  <c r="X258" i="196" s="1"/>
  <c r="X263" i="196" s="1"/>
  <c r="AK258" i="196" a="1"/>
  <c r="AK258" i="196" s="1"/>
  <c r="AK263" i="196" s="1"/>
  <c r="AO258" i="196" a="1"/>
  <c r="AO258" i="196" s="1"/>
  <c r="AO263" i="196" s="1"/>
  <c r="AI258" i="196" a="1"/>
  <c r="AI258" i="196" s="1"/>
  <c r="AI263" i="196" s="1"/>
  <c r="P258" i="196" a="1"/>
  <c r="P258" i="196" s="1"/>
  <c r="P263" i="196" s="1"/>
  <c r="Q258" i="196" a="1"/>
  <c r="Q258" i="196" s="1"/>
  <c r="Q263" i="196" s="1"/>
  <c r="O258" i="196" a="1"/>
  <c r="O258" i="196" s="1"/>
  <c r="O263" i="196" s="1"/>
  <c r="AA258" i="196" a="1"/>
  <c r="AA258" i="196" s="1"/>
  <c r="AA263" i="196" s="1"/>
  <c r="R258" i="196" a="1"/>
  <c r="R258" i="196" s="1"/>
  <c r="R263" i="196" s="1"/>
  <c r="U365" i="196"/>
  <c r="U367" i="196" s="1"/>
  <c r="Z365" i="196"/>
  <c r="Z367" i="196" s="1"/>
  <c r="Z369" i="196" s="1"/>
  <c r="Z394" i="196" s="1"/>
  <c r="Z299" i="196"/>
  <c r="J331" i="196"/>
  <c r="J333" i="196" s="1"/>
  <c r="J335" i="196" s="1"/>
  <c r="V299" i="196"/>
  <c r="O305" i="196"/>
  <c r="O392" i="196" s="1"/>
  <c r="O301" i="196"/>
  <c r="O303" i="196" s="1"/>
  <c r="T299" i="196"/>
  <c r="O260" i="196" a="1"/>
  <c r="O260" i="196" s="1"/>
  <c r="O265" i="196" s="1"/>
  <c r="Y260" i="196" a="1"/>
  <c r="Y260" i="196" s="1"/>
  <c r="Y265" i="196" s="1"/>
  <c r="AC260" i="196" a="1"/>
  <c r="AC260" i="196" s="1"/>
  <c r="AC265" i="196" s="1"/>
  <c r="R260" i="196" a="1"/>
  <c r="R260" i="196" s="1"/>
  <c r="R265" i="196" s="1"/>
  <c r="R401" i="196" s="1"/>
  <c r="P260" i="196" a="1"/>
  <c r="P260" i="196" s="1"/>
  <c r="P265" i="196" s="1"/>
  <c r="AN260" i="196" a="1"/>
  <c r="AN260" i="196" s="1"/>
  <c r="AN265" i="196" s="1"/>
  <c r="AN401" i="196" s="1"/>
  <c r="L260" i="196" a="1"/>
  <c r="L260" i="196" s="1"/>
  <c r="L265" i="196" s="1"/>
  <c r="L401" i="196" s="1"/>
  <c r="AG260" i="196" a="1"/>
  <c r="AG260" i="196" s="1"/>
  <c r="AG265" i="196" s="1"/>
  <c r="AJ260" i="196" a="1"/>
  <c r="AJ260" i="196" s="1"/>
  <c r="AJ265" i="196" s="1"/>
  <c r="AJ401" i="196" s="1"/>
  <c r="V260" i="196" a="1"/>
  <c r="V260" i="196" s="1"/>
  <c r="V265" i="196" s="1"/>
  <c r="AD260" i="196" a="1"/>
  <c r="AD260" i="196" s="1"/>
  <c r="AD265" i="196" s="1"/>
  <c r="AE260" i="196" a="1"/>
  <c r="AE260" i="196" s="1"/>
  <c r="AE265" i="196" s="1"/>
  <c r="AF260" i="196" a="1"/>
  <c r="AF260" i="196" s="1"/>
  <c r="AF265" i="196" s="1"/>
  <c r="T260" i="196" a="1"/>
  <c r="T260" i="196" s="1"/>
  <c r="T265" i="196" s="1"/>
  <c r="Z260" i="196" a="1"/>
  <c r="Z260" i="196" s="1"/>
  <c r="Z265" i="196" s="1"/>
  <c r="S260" i="196" a="1"/>
  <c r="S260" i="196" s="1"/>
  <c r="S265" i="196" s="1"/>
  <c r="N260" i="196" a="1"/>
  <c r="N260" i="196" s="1"/>
  <c r="N265" i="196" s="1"/>
  <c r="U260" i="196" a="1"/>
  <c r="U260" i="196" s="1"/>
  <c r="U265" i="196" s="1"/>
  <c r="M260" i="196" a="1"/>
  <c r="M260" i="196" s="1"/>
  <c r="M265" i="196" s="1"/>
  <c r="AL260" i="196" a="1"/>
  <c r="AL260" i="196" s="1"/>
  <c r="AL265" i="196" s="1"/>
  <c r="AL401" i="196" s="1"/>
  <c r="AB260" i="196" a="1"/>
  <c r="AB260" i="196" s="1"/>
  <c r="AB265" i="196" s="1"/>
  <c r="AB401" i="196" s="1"/>
  <c r="AM260" i="196" a="1"/>
  <c r="AM260" i="196" s="1"/>
  <c r="AM265" i="196" s="1"/>
  <c r="AM401" i="196" s="1"/>
  <c r="AO260" i="196" a="1"/>
  <c r="AO260" i="196" s="1"/>
  <c r="AO265" i="196" s="1"/>
  <c r="AO401" i="196" s="1"/>
  <c r="AI260" i="196" a="1"/>
  <c r="AI260" i="196" s="1"/>
  <c r="AI265" i="196" s="1"/>
  <c r="AI401" i="196" s="1"/>
  <c r="AA260" i="196" a="1"/>
  <c r="AA260" i="196" s="1"/>
  <c r="AA265" i="196" s="1"/>
  <c r="J260" i="196" a="1"/>
  <c r="J260" i="196" s="1"/>
  <c r="J265" i="196" s="1"/>
  <c r="Q260" i="196" a="1"/>
  <c r="Q260" i="196" s="1"/>
  <c r="Q265" i="196" s="1"/>
  <c r="Q401" i="196" s="1"/>
  <c r="K260" i="196" a="1"/>
  <c r="K260" i="196" s="1"/>
  <c r="K265" i="196" s="1"/>
  <c r="K401" i="196" s="1"/>
  <c r="AK260" i="196" a="1"/>
  <c r="AK260" i="196" s="1"/>
  <c r="AK265" i="196" s="1"/>
  <c r="AK401" i="196" s="1"/>
  <c r="W260" i="196" a="1"/>
  <c r="W260" i="196" s="1"/>
  <c r="W265" i="196" s="1"/>
  <c r="W401" i="196" s="1"/>
  <c r="AH260" i="196" a="1"/>
  <c r="AH260" i="196" s="1"/>
  <c r="AH265" i="196" s="1"/>
  <c r="AH401" i="196" s="1"/>
  <c r="X260" i="196" a="1"/>
  <c r="X260" i="196" s="1"/>
  <c r="X265" i="196" s="1"/>
  <c r="Y331" i="196"/>
  <c r="T331" i="196"/>
  <c r="AA333" i="196"/>
  <c r="AA335" i="196" s="1"/>
  <c r="AA337" i="196" s="1"/>
  <c r="AA393" i="196" s="1"/>
  <c r="V333" i="196"/>
  <c r="V335" i="196" s="1"/>
  <c r="V337" i="196" s="1"/>
  <c r="AC305" i="196"/>
  <c r="AC392" i="196" s="1"/>
  <c r="AC301" i="196"/>
  <c r="AC303" i="196" s="1"/>
  <c r="AA299" i="196"/>
  <c r="AL259" i="196" a="1"/>
  <c r="AL259" i="196" s="1"/>
  <c r="AL264" i="196" s="1"/>
  <c r="AL400" i="196" s="1"/>
  <c r="Q259" i="196" a="1"/>
  <c r="Q259" i="196" s="1"/>
  <c r="Q264" i="196" s="1"/>
  <c r="Q400" i="196" s="1"/>
  <c r="W259" i="196" a="1"/>
  <c r="W259" i="196" s="1"/>
  <c r="W264" i="196" s="1"/>
  <c r="W400" i="196" s="1"/>
  <c r="AG259" i="196" a="1"/>
  <c r="AG259" i="196" s="1"/>
  <c r="AG264" i="196" s="1"/>
  <c r="AH259" i="196" a="1"/>
  <c r="AH259" i="196" s="1"/>
  <c r="AH264" i="196" s="1"/>
  <c r="AH400" i="196" s="1"/>
  <c r="R259" i="196" a="1"/>
  <c r="R259" i="196" s="1"/>
  <c r="R264" i="196" s="1"/>
  <c r="R400" i="196" s="1"/>
  <c r="AE259" i="196" a="1"/>
  <c r="AE259" i="196" s="1"/>
  <c r="AE264" i="196" s="1"/>
  <c r="M259" i="196" a="1"/>
  <c r="M259" i="196" s="1"/>
  <c r="M264" i="196" s="1"/>
  <c r="K259" i="196" a="1"/>
  <c r="K259" i="196" s="1"/>
  <c r="K264" i="196" s="1"/>
  <c r="K400" i="196" s="1"/>
  <c r="AJ259" i="196" a="1"/>
  <c r="AJ259" i="196" s="1"/>
  <c r="AJ264" i="196" s="1"/>
  <c r="AJ400" i="196" s="1"/>
  <c r="AC259" i="196" a="1"/>
  <c r="AC259" i="196" s="1"/>
  <c r="AC264" i="196" s="1"/>
  <c r="AC309" i="196" s="1"/>
  <c r="AO259" i="196" a="1"/>
  <c r="AO259" i="196" s="1"/>
  <c r="AO264" i="196" s="1"/>
  <c r="AO400" i="196" s="1"/>
  <c r="X259" i="196" a="1"/>
  <c r="X259" i="196" s="1"/>
  <c r="X264" i="196" s="1"/>
  <c r="Y259" i="196" a="1"/>
  <c r="Y259" i="196" s="1"/>
  <c r="Y264" i="196" s="1"/>
  <c r="AD259" i="196" a="1"/>
  <c r="AD259" i="196" s="1"/>
  <c r="AD264" i="196" s="1"/>
  <c r="AM259" i="196" a="1"/>
  <c r="AM259" i="196" s="1"/>
  <c r="AM264" i="196" s="1"/>
  <c r="AM400" i="196" s="1"/>
  <c r="S259" i="196" a="1"/>
  <c r="S259" i="196" s="1"/>
  <c r="S264" i="196" s="1"/>
  <c r="Z259" i="196" a="1"/>
  <c r="Z259" i="196" s="1"/>
  <c r="Z264" i="196" s="1"/>
  <c r="P259" i="196" a="1"/>
  <c r="P259" i="196" s="1"/>
  <c r="P264" i="196" s="1"/>
  <c r="J259" i="196" a="1"/>
  <c r="J259" i="196" s="1"/>
  <c r="J264" i="196" s="1"/>
  <c r="O259" i="196" a="1"/>
  <c r="O259" i="196" s="1"/>
  <c r="O264" i="196" s="1"/>
  <c r="L259" i="196" a="1"/>
  <c r="L259" i="196" s="1"/>
  <c r="L264" i="196" s="1"/>
  <c r="L400" i="196" s="1"/>
  <c r="V259" i="196" a="1"/>
  <c r="V259" i="196" s="1"/>
  <c r="V264" i="196" s="1"/>
  <c r="U259" i="196" a="1"/>
  <c r="U259" i="196" s="1"/>
  <c r="U264" i="196" s="1"/>
  <c r="AI259" i="196" a="1"/>
  <c r="AI259" i="196" s="1"/>
  <c r="AI264" i="196" s="1"/>
  <c r="AI400" i="196" s="1"/>
  <c r="N259" i="196" a="1"/>
  <c r="N259" i="196" s="1"/>
  <c r="N264" i="196" s="1"/>
  <c r="AK259" i="196" a="1"/>
  <c r="AK259" i="196" s="1"/>
  <c r="AK264" i="196" s="1"/>
  <c r="AK400" i="196" s="1"/>
  <c r="AB259" i="196" a="1"/>
  <c r="AB259" i="196" s="1"/>
  <c r="AB264" i="196" s="1"/>
  <c r="AB400" i="196" s="1"/>
  <c r="AA259" i="196" a="1"/>
  <c r="AA259" i="196" s="1"/>
  <c r="AA264" i="196" s="1"/>
  <c r="AN259" i="196" a="1"/>
  <c r="AN259" i="196" s="1"/>
  <c r="AN264" i="196" s="1"/>
  <c r="AN400" i="196" s="1"/>
  <c r="T259" i="196" a="1"/>
  <c r="T259" i="196" s="1"/>
  <c r="T264" i="196" s="1"/>
  <c r="AF259" i="196" a="1"/>
  <c r="AF259" i="196" s="1"/>
  <c r="AF264" i="196" s="1"/>
  <c r="AA365" i="196"/>
  <c r="AA367" i="196" s="1"/>
  <c r="V365" i="196"/>
  <c r="V367" i="196" s="1"/>
  <c r="V369" i="196" s="1"/>
  <c r="V394" i="196" s="1"/>
  <c r="J123" i="197"/>
  <c r="J152" i="197" s="1"/>
  <c r="J57" i="198" s="1"/>
  <c r="J97" i="198" s="1"/>
  <c r="H97" i="198" s="1"/>
  <c r="J132" i="197"/>
  <c r="J161" i="197" s="1"/>
  <c r="J66" i="198" s="1"/>
  <c r="J107" i="198" s="1"/>
  <c r="H107" i="198" s="1"/>
  <c r="J141" i="197"/>
  <c r="J170" i="197" s="1"/>
  <c r="J75" i="198" s="1"/>
  <c r="J117" i="198" s="1"/>
  <c r="H117" i="198" s="1"/>
  <c r="Z341" i="196" l="1"/>
  <c r="S341" i="196"/>
  <c r="S309" i="196"/>
  <c r="X342" i="196"/>
  <c r="X310" i="196"/>
  <c r="S342" i="196"/>
  <c r="S310" i="196"/>
  <c r="AG374" i="196"/>
  <c r="AG376" i="196" s="1"/>
  <c r="AG387" i="196" s="1"/>
  <c r="AG310" i="196"/>
  <c r="AG342" i="196"/>
  <c r="T305" i="196"/>
  <c r="T392" i="196" s="1"/>
  <c r="Y301" i="196"/>
  <c r="Y303" i="196" s="1"/>
  <c r="Y305" i="196" s="1"/>
  <c r="Y392" i="196" s="1"/>
  <c r="T301" i="196"/>
  <c r="T303" i="196" s="1"/>
  <c r="R354" i="196"/>
  <c r="R356" i="196" s="1"/>
  <c r="R322" i="196"/>
  <c r="R324" i="196" s="1"/>
  <c r="R399" i="196"/>
  <c r="R423" i="196" s="1"/>
  <c r="R427" i="196" s="1"/>
  <c r="X322" i="196"/>
  <c r="X324" i="196" s="1"/>
  <c r="X354" i="196"/>
  <c r="X356" i="196" s="1"/>
  <c r="X308" i="196"/>
  <c r="AD322" i="196"/>
  <c r="AD324" i="196" s="1"/>
  <c r="AD326" i="196" s="1"/>
  <c r="AD328" i="196" s="1"/>
  <c r="AD337" i="196" s="1"/>
  <c r="AD393" i="196" s="1"/>
  <c r="AD354" i="196"/>
  <c r="AD356" i="196" s="1"/>
  <c r="AD358" i="196" s="1"/>
  <c r="AD360" i="196" s="1"/>
  <c r="AD369" i="196" s="1"/>
  <c r="AD394" i="196" s="1"/>
  <c r="AD308" i="196"/>
  <c r="AG308" i="196"/>
  <c r="AG322" i="196"/>
  <c r="AG324" i="196" s="1"/>
  <c r="AG326" i="196" s="1"/>
  <c r="AG328" i="196" s="1"/>
  <c r="AG354" i="196"/>
  <c r="AG356" i="196" s="1"/>
  <c r="AG358" i="196" s="1"/>
  <c r="AG360" i="196" s="1"/>
  <c r="Z301" i="196"/>
  <c r="Z303" i="196" s="1"/>
  <c r="Z305" i="196" s="1"/>
  <c r="Z392" i="196" s="1"/>
  <c r="U301" i="196"/>
  <c r="U303" i="196" s="1"/>
  <c r="U305" i="196" s="1"/>
  <c r="U392" i="196" s="1"/>
  <c r="AE354" i="196"/>
  <c r="AE356" i="196" s="1"/>
  <c r="AE358" i="196" s="1"/>
  <c r="AE360" i="196" s="1"/>
  <c r="AE369" i="196" s="1"/>
  <c r="AE394" i="196" s="1"/>
  <c r="AE322" i="196"/>
  <c r="AE324" i="196" s="1"/>
  <c r="AE326" i="196" s="1"/>
  <c r="AE328" i="196" s="1"/>
  <c r="AE308" i="196"/>
  <c r="AF309" i="196"/>
  <c r="U341" i="196"/>
  <c r="M341" i="196"/>
  <c r="M309" i="196"/>
  <c r="Z374" i="196"/>
  <c r="Z376" i="196" s="1"/>
  <c r="Z387" i="196" s="1"/>
  <c r="Z342" i="196"/>
  <c r="AA322" i="196"/>
  <c r="AA324" i="196" s="1"/>
  <c r="AA354" i="196"/>
  <c r="AA356" i="196" s="1"/>
  <c r="AJ354" i="196"/>
  <c r="AJ356" i="196" s="1"/>
  <c r="AJ322" i="196"/>
  <c r="AJ324" i="196" s="1"/>
  <c r="AJ399" i="196"/>
  <c r="AJ423" i="196" s="1"/>
  <c r="AJ427" i="196" s="1"/>
  <c r="AF354" i="196"/>
  <c r="AF356" i="196" s="1"/>
  <c r="AF358" i="196" s="1"/>
  <c r="AF360" i="196" s="1"/>
  <c r="AF369" i="196" s="1"/>
  <c r="AF394" i="196" s="1"/>
  <c r="AF308" i="196"/>
  <c r="AF322" i="196"/>
  <c r="AF324" i="196" s="1"/>
  <c r="AF326" i="196" s="1"/>
  <c r="AF328" i="196" s="1"/>
  <c r="AF337" i="196" s="1"/>
  <c r="AF393" i="196" s="1"/>
  <c r="M322" i="196"/>
  <c r="M324" i="196" s="1"/>
  <c r="M326" i="196" s="1"/>
  <c r="M328" i="196" s="1"/>
  <c r="M354" i="196"/>
  <c r="M356" i="196" s="1"/>
  <c r="M358" i="196" s="1"/>
  <c r="M360" i="196" s="1"/>
  <c r="M369" i="196" s="1"/>
  <c r="M394" i="196" s="1"/>
  <c r="M308" i="196"/>
  <c r="T309" i="196"/>
  <c r="AD309" i="196"/>
  <c r="AD341" i="196"/>
  <c r="AE341" i="196"/>
  <c r="AE309" i="196"/>
  <c r="T310" i="196"/>
  <c r="O308" i="196"/>
  <c r="O354" i="196"/>
  <c r="O356" i="196" s="1"/>
  <c r="O358" i="196" s="1"/>
  <c r="O360" i="196" s="1"/>
  <c r="O369" i="196" s="1"/>
  <c r="O394" i="196" s="1"/>
  <c r="O322" i="196"/>
  <c r="O324" i="196" s="1"/>
  <c r="O326" i="196" s="1"/>
  <c r="O328" i="196" s="1"/>
  <c r="T322" i="196"/>
  <c r="T324" i="196" s="1"/>
  <c r="T354" i="196"/>
  <c r="T356" i="196" s="1"/>
  <c r="T308" i="196"/>
  <c r="K322" i="196"/>
  <c r="K324" i="196" s="1"/>
  <c r="K354" i="196"/>
  <c r="K356" i="196" s="1"/>
  <c r="K399" i="196"/>
  <c r="K423" i="196" s="1"/>
  <c r="K427" i="196" s="1"/>
  <c r="AB354" i="196"/>
  <c r="AB356" i="196" s="1"/>
  <c r="AB322" i="196"/>
  <c r="AB324" i="196" s="1"/>
  <c r="AB399" i="196"/>
  <c r="AB423" i="196" s="1"/>
  <c r="AB427" i="196" s="1"/>
  <c r="N309" i="196"/>
  <c r="AN322" i="196"/>
  <c r="AN324" i="196" s="1"/>
  <c r="AN354" i="196"/>
  <c r="AN356" i="196" s="1"/>
  <c r="AN399" i="196"/>
  <c r="AN423" i="196" s="1"/>
  <c r="AN427" i="196" s="1"/>
  <c r="Y309" i="196"/>
  <c r="AF310" i="196"/>
  <c r="AF374" i="196"/>
  <c r="AF376" i="196" s="1"/>
  <c r="AF387" i="196" s="1"/>
  <c r="P374" i="196"/>
  <c r="P376" i="196" s="1"/>
  <c r="P387" i="196" s="1"/>
  <c r="P310" i="196"/>
  <c r="AA301" i="196"/>
  <c r="AA303" i="196" s="1"/>
  <c r="AA305" i="196" s="1"/>
  <c r="AA392" i="196" s="1"/>
  <c r="V301" i="196"/>
  <c r="V303" i="196" s="1"/>
  <c r="V305" i="196" s="1"/>
  <c r="V392" i="196" s="1"/>
  <c r="Q354" i="196"/>
  <c r="Q356" i="196" s="1"/>
  <c r="Q322" i="196"/>
  <c r="Q324" i="196" s="1"/>
  <c r="Q399" i="196"/>
  <c r="Q423" i="196" s="1"/>
  <c r="Q427" i="196" s="1"/>
  <c r="S354" i="196"/>
  <c r="S356" i="196" s="1"/>
  <c r="S322" i="196"/>
  <c r="S324" i="196" s="1"/>
  <c r="S308" i="196"/>
  <c r="S312" i="196" s="1"/>
  <c r="S385" i="196" s="1"/>
  <c r="Y354" i="196"/>
  <c r="Y356" i="196" s="1"/>
  <c r="Y322" i="196"/>
  <c r="Y324" i="196" s="1"/>
  <c r="Y326" i="196" s="1"/>
  <c r="Y328" i="196" s="1"/>
  <c r="Y308" i="196"/>
  <c r="V322" i="196"/>
  <c r="V324" i="196" s="1"/>
  <c r="V354" i="196"/>
  <c r="V356" i="196" s="1"/>
  <c r="O342" i="196"/>
  <c r="O310" i="196"/>
  <c r="O374" i="196"/>
  <c r="O376" i="196" s="1"/>
  <c r="O387" i="196" s="1"/>
  <c r="AA341" i="196"/>
  <c r="AA309" i="196"/>
  <c r="O341" i="196"/>
  <c r="O309" i="196"/>
  <c r="X309" i="196"/>
  <c r="X341" i="196"/>
  <c r="X344" i="196" s="1"/>
  <c r="X386" i="196" s="1"/>
  <c r="V341" i="196"/>
  <c r="V393" i="196"/>
  <c r="AE310" i="196"/>
  <c r="AE342" i="196"/>
  <c r="AE374" i="196"/>
  <c r="AE376" i="196" s="1"/>
  <c r="AE387" i="196" s="1"/>
  <c r="P354" i="196"/>
  <c r="P356" i="196" s="1"/>
  <c r="P358" i="196" s="1"/>
  <c r="P360" i="196" s="1"/>
  <c r="P308" i="196"/>
  <c r="P322" i="196"/>
  <c r="P324" i="196" s="1"/>
  <c r="P326" i="196" s="1"/>
  <c r="P328" i="196" s="1"/>
  <c r="P337" i="196" s="1"/>
  <c r="P393" i="196" s="1"/>
  <c r="AL322" i="196"/>
  <c r="AL324" i="196" s="1"/>
  <c r="AL354" i="196"/>
  <c r="AL356" i="196" s="1"/>
  <c r="AL399" i="196"/>
  <c r="AL423" i="196" s="1"/>
  <c r="AL427" i="196" s="1"/>
  <c r="Z322" i="196"/>
  <c r="Z324" i="196" s="1"/>
  <c r="Z354" i="196"/>
  <c r="Z356" i="196" s="1"/>
  <c r="Z308" i="196"/>
  <c r="J263" i="196"/>
  <c r="N310" i="196"/>
  <c r="L354" i="196"/>
  <c r="L356" i="196" s="1"/>
  <c r="L322" i="196"/>
  <c r="L324" i="196" s="1"/>
  <c r="L399" i="196"/>
  <c r="L423" i="196" s="1"/>
  <c r="L427" i="196" s="1"/>
  <c r="J309" i="196"/>
  <c r="AG309" i="196"/>
  <c r="AG341" i="196"/>
  <c r="AG344" i="196" s="1"/>
  <c r="AG386" i="196" s="1"/>
  <c r="M342" i="196"/>
  <c r="M374" i="196"/>
  <c r="M376" i="196" s="1"/>
  <c r="M387" i="196" s="1"/>
  <c r="M310" i="196"/>
  <c r="AD310" i="196"/>
  <c r="AD342" i="196"/>
  <c r="AC310" i="196"/>
  <c r="AC342" i="196"/>
  <c r="AI322" i="196"/>
  <c r="AI324" i="196" s="1"/>
  <c r="AI354" i="196"/>
  <c r="AI356" i="196" s="1"/>
  <c r="AI399" i="196"/>
  <c r="AI423" i="196" s="1"/>
  <c r="AI427" i="196" s="1"/>
  <c r="W354" i="196"/>
  <c r="W356" i="196" s="1"/>
  <c r="W322" i="196"/>
  <c r="W324" i="196" s="1"/>
  <c r="W399" i="196"/>
  <c r="W423" i="196" s="1"/>
  <c r="W427" i="196" s="1"/>
  <c r="AM322" i="196"/>
  <c r="AM324" i="196" s="1"/>
  <c r="AM354" i="196"/>
  <c r="AM356" i="196" s="1"/>
  <c r="AM399" i="196"/>
  <c r="AM423" i="196" s="1"/>
  <c r="AM427" i="196" s="1"/>
  <c r="AC322" i="196"/>
  <c r="AC324" i="196" s="1"/>
  <c r="AC326" i="196" s="1"/>
  <c r="AC328" i="196" s="1"/>
  <c r="AC337" i="196" s="1"/>
  <c r="AC354" i="196"/>
  <c r="AC356" i="196" s="1"/>
  <c r="AC358" i="196" s="1"/>
  <c r="AC360" i="196" s="1"/>
  <c r="AC369" i="196" s="1"/>
  <c r="AC394" i="196" s="1"/>
  <c r="AC308" i="196"/>
  <c r="AA342" i="196"/>
  <c r="AA310" i="196"/>
  <c r="AK354" i="196"/>
  <c r="AK356" i="196" s="1"/>
  <c r="AK322" i="196"/>
  <c r="AK324" i="196" s="1"/>
  <c r="AK399" i="196"/>
  <c r="AK423" i="196" s="1"/>
  <c r="AK427" i="196" s="1"/>
  <c r="P309" i="196"/>
  <c r="Y333" i="196"/>
  <c r="Y335" i="196" s="1"/>
  <c r="Y337" i="196" s="1"/>
  <c r="Y393" i="196" s="1"/>
  <c r="T333" i="196"/>
  <c r="T335" i="196" s="1"/>
  <c r="T337" i="196" s="1"/>
  <c r="T393" i="196" s="1"/>
  <c r="J310" i="196"/>
  <c r="U342" i="196"/>
  <c r="U310" i="196"/>
  <c r="V374" i="196"/>
  <c r="V376" i="196" s="1"/>
  <c r="V387" i="196" s="1"/>
  <c r="V310" i="196"/>
  <c r="V342" i="196"/>
  <c r="Y310" i="196"/>
  <c r="AO354" i="196"/>
  <c r="AO356" i="196" s="1"/>
  <c r="AO322" i="196"/>
  <c r="AO324" i="196" s="1"/>
  <c r="AO399" i="196"/>
  <c r="AO423" i="196" s="1"/>
  <c r="AO427" i="196" s="1"/>
  <c r="N308" i="196"/>
  <c r="N322" i="196"/>
  <c r="N324" i="196" s="1"/>
  <c r="N326" i="196" s="1"/>
  <c r="N328" i="196" s="1"/>
  <c r="N337" i="196" s="1"/>
  <c r="N393" i="196" s="1"/>
  <c r="N354" i="196"/>
  <c r="N356" i="196" s="1"/>
  <c r="N358" i="196" s="1"/>
  <c r="N360" i="196" s="1"/>
  <c r="N369" i="196" s="1"/>
  <c r="N394" i="196" s="1"/>
  <c r="AH354" i="196"/>
  <c r="AH356" i="196" s="1"/>
  <c r="AH322" i="196"/>
  <c r="AH324" i="196" s="1"/>
  <c r="AH399" i="196"/>
  <c r="AH423" i="196" s="1"/>
  <c r="AH427" i="196" s="1"/>
  <c r="U354" i="196"/>
  <c r="U356" i="196" s="1"/>
  <c r="U322" i="196"/>
  <c r="U324" i="196" s="1"/>
  <c r="U308" i="196"/>
  <c r="N312" i="196" l="1"/>
  <c r="N385" i="196" s="1"/>
  <c r="AC312" i="196"/>
  <c r="AC385" i="196" s="1"/>
  <c r="Z358" i="196"/>
  <c r="Z360" i="196" s="1"/>
  <c r="U358" i="196"/>
  <c r="U360" i="196" s="1"/>
  <c r="U369" i="196" s="1"/>
  <c r="P341" i="196"/>
  <c r="J308" i="196"/>
  <c r="J322" i="196"/>
  <c r="J324" i="196" s="1"/>
  <c r="J326" i="196" s="1"/>
  <c r="J328" i="196" s="1"/>
  <c r="J337" i="196" s="1"/>
  <c r="J354" i="196"/>
  <c r="J356" i="196" s="1"/>
  <c r="J358" i="196" s="1"/>
  <c r="J360" i="196" s="1"/>
  <c r="J369" i="196" s="1"/>
  <c r="P312" i="196"/>
  <c r="P385" i="196" s="1"/>
  <c r="V308" i="196"/>
  <c r="X358" i="196"/>
  <c r="X360" i="196" s="1"/>
  <c r="X369" i="196" s="1"/>
  <c r="S358" i="196"/>
  <c r="S360" i="196" s="1"/>
  <c r="S369" i="196" s="1"/>
  <c r="AL326" i="196"/>
  <c r="AL328" i="196" s="1"/>
  <c r="AB326" i="196"/>
  <c r="AB328" i="196" s="1"/>
  <c r="Q326" i="196"/>
  <c r="Q328" i="196" s="1"/>
  <c r="K326" i="196"/>
  <c r="K328" i="196" s="1"/>
  <c r="L326" i="196"/>
  <c r="L328" i="196" s="1"/>
  <c r="AO326" i="196"/>
  <c r="AO328" i="196" s="1"/>
  <c r="AK326" i="196"/>
  <c r="AK328" i="196" s="1"/>
  <c r="AM326" i="196"/>
  <c r="AM328" i="196" s="1"/>
  <c r="AH326" i="196"/>
  <c r="AH328" i="196" s="1"/>
  <c r="AI326" i="196"/>
  <c r="AI328" i="196" s="1"/>
  <c r="AJ326" i="196"/>
  <c r="AJ328" i="196" s="1"/>
  <c r="AN326" i="196"/>
  <c r="AN328" i="196" s="1"/>
  <c r="R326" i="196"/>
  <c r="R328" i="196" s="1"/>
  <c r="W326" i="196"/>
  <c r="W328" i="196" s="1"/>
  <c r="T342" i="196"/>
  <c r="T341" i="196"/>
  <c r="AD374" i="196"/>
  <c r="AD376" i="196" s="1"/>
  <c r="AD387" i="196" s="1"/>
  <c r="X326" i="196"/>
  <c r="X328" i="196" s="1"/>
  <c r="S326" i="196"/>
  <c r="S328" i="196" s="1"/>
  <c r="Q358" i="196"/>
  <c r="Q360" i="196" s="1"/>
  <c r="AJ358" i="196"/>
  <c r="AJ360" i="196" s="1"/>
  <c r="W358" i="196"/>
  <c r="W360" i="196" s="1"/>
  <c r="AN358" i="196"/>
  <c r="AN360" i="196" s="1"/>
  <c r="AI358" i="196"/>
  <c r="AI360" i="196" s="1"/>
  <c r="AH358" i="196"/>
  <c r="AH360" i="196" s="1"/>
  <c r="AK358" i="196"/>
  <c r="AK360" i="196" s="1"/>
  <c r="AM358" i="196"/>
  <c r="AM360" i="196" s="1"/>
  <c r="AO358" i="196"/>
  <c r="AO360" i="196" s="1"/>
  <c r="AB358" i="196"/>
  <c r="AB360" i="196" s="1"/>
  <c r="L358" i="196"/>
  <c r="L360" i="196" s="1"/>
  <c r="R358" i="196"/>
  <c r="R360" i="196" s="1"/>
  <c r="K358" i="196"/>
  <c r="K360" i="196" s="1"/>
  <c r="AL358" i="196"/>
  <c r="AL360" i="196" s="1"/>
  <c r="V358" i="196"/>
  <c r="V360" i="196" s="1"/>
  <c r="AA358" i="196"/>
  <c r="AA360" i="196" s="1"/>
  <c r="AA369" i="196" s="1"/>
  <c r="AF342" i="196"/>
  <c r="T312" i="196"/>
  <c r="T385" i="196" s="1"/>
  <c r="M312" i="196"/>
  <c r="M385" i="196" s="1"/>
  <c r="M344" i="196"/>
  <c r="M386" i="196" s="1"/>
  <c r="X312" i="196"/>
  <c r="X385" i="196" s="1"/>
  <c r="Z326" i="196"/>
  <c r="Z328" i="196" s="1"/>
  <c r="U326" i="196"/>
  <c r="U328" i="196" s="1"/>
  <c r="AC341" i="196"/>
  <c r="AC393" i="196"/>
  <c r="O344" i="196"/>
  <c r="O386" i="196" s="1"/>
  <c r="V326" i="196"/>
  <c r="V328" i="196" s="1"/>
  <c r="AA326" i="196"/>
  <c r="AA328" i="196" s="1"/>
  <c r="N341" i="196"/>
  <c r="T358" i="196"/>
  <c r="T360" i="196" s="1"/>
  <c r="T369" i="196" s="1"/>
  <c r="Y358" i="196"/>
  <c r="Y360" i="196" s="1"/>
  <c r="Y369" i="196" s="1"/>
  <c r="AA308" i="196"/>
  <c r="AA312" i="196" s="1"/>
  <c r="AA385" i="196" s="1"/>
  <c r="U309" i="196"/>
  <c r="U312" i="196" s="1"/>
  <c r="U385" i="196" s="1"/>
  <c r="Y312" i="196"/>
  <c r="Y385" i="196" s="1"/>
  <c r="T326" i="196"/>
  <c r="T328" i="196" s="1"/>
  <c r="AE344" i="196"/>
  <c r="AE386" i="196" s="1"/>
  <c r="U344" i="196"/>
  <c r="U386" i="196" s="1"/>
  <c r="Y342" i="196"/>
  <c r="AC344" i="196"/>
  <c r="AC386" i="196" s="1"/>
  <c r="AC389" i="196" s="1"/>
  <c r="AC396" i="196" s="1"/>
  <c r="N374" i="196"/>
  <c r="N376" i="196" s="1"/>
  <c r="N387" i="196" s="1"/>
  <c r="AA344" i="196"/>
  <c r="AA386" i="196" s="1"/>
  <c r="AD344" i="196"/>
  <c r="AD386" i="196" s="1"/>
  <c r="AF341" i="196"/>
  <c r="S344" i="196"/>
  <c r="S386" i="196" s="1"/>
  <c r="N342" i="196"/>
  <c r="N344" i="196" s="1"/>
  <c r="N386" i="196" s="1"/>
  <c r="N389" i="196" s="1"/>
  <c r="N396" i="196" s="1"/>
  <c r="Y341" i="196"/>
  <c r="Y344" i="196" s="1"/>
  <c r="Y386" i="196" s="1"/>
  <c r="AF312" i="196"/>
  <c r="AF385" i="196" s="1"/>
  <c r="AG312" i="196"/>
  <c r="AG385" i="196" s="1"/>
  <c r="AG389" i="196" s="1"/>
  <c r="AG396" i="196" s="1"/>
  <c r="Z309" i="196"/>
  <c r="AC374" i="196"/>
  <c r="AC376" i="196" s="1"/>
  <c r="AC387" i="196" s="1"/>
  <c r="V344" i="196"/>
  <c r="V386" i="196" s="1"/>
  <c r="P342" i="196"/>
  <c r="O312" i="196"/>
  <c r="O385" i="196" s="1"/>
  <c r="O389" i="196" s="1"/>
  <c r="O396" i="196" s="1"/>
  <c r="V309" i="196"/>
  <c r="Z310" i="196"/>
  <c r="AE312" i="196"/>
  <c r="AE385" i="196" s="1"/>
  <c r="AD312" i="196"/>
  <c r="AD385" i="196" s="1"/>
  <c r="Z344" i="196"/>
  <c r="Z386" i="196" s="1"/>
  <c r="Z312" i="196" l="1"/>
  <c r="Z385" i="196" s="1"/>
  <c r="AF344" i="196"/>
  <c r="AF386" i="196" s="1"/>
  <c r="AF389" i="196" s="1"/>
  <c r="AF396" i="196" s="1"/>
  <c r="M389" i="196"/>
  <c r="M396" i="196" s="1"/>
  <c r="M399" i="196" s="1"/>
  <c r="N399" i="196"/>
  <c r="N401" i="196"/>
  <c r="N404" i="196" s="1"/>
  <c r="N413" i="196" s="1"/>
  <c r="N32" i="197" s="1"/>
  <c r="N110" i="197" s="1"/>
  <c r="N400" i="196"/>
  <c r="N405" i="196" s="1"/>
  <c r="N414" i="196" s="1"/>
  <c r="N33" i="197" s="1"/>
  <c r="N111" i="197" s="1"/>
  <c r="AC401" i="196"/>
  <c r="AC404" i="196" s="1"/>
  <c r="AC413" i="196" s="1"/>
  <c r="AC32" i="197" s="1"/>
  <c r="AC110" i="197" s="1"/>
  <c r="AC399" i="196"/>
  <c r="AC400" i="196"/>
  <c r="AC405" i="196" s="1"/>
  <c r="AC414" i="196" s="1"/>
  <c r="AC33" i="197" s="1"/>
  <c r="AC111" i="197" s="1"/>
  <c r="AA389" i="196"/>
  <c r="AA396" i="196" s="1"/>
  <c r="AA394" i="196"/>
  <c r="AA374" i="196"/>
  <c r="AA376" i="196" s="1"/>
  <c r="AA387" i="196" s="1"/>
  <c r="J394" i="196"/>
  <c r="J374" i="196"/>
  <c r="J376" i="196" s="1"/>
  <c r="Z389" i="196"/>
  <c r="Z396" i="196" s="1"/>
  <c r="Y394" i="196"/>
  <c r="Y374" i="196"/>
  <c r="Y376" i="196" s="1"/>
  <c r="Y387" i="196" s="1"/>
  <c r="Y389" i="196" s="1"/>
  <c r="Y396" i="196" s="1"/>
  <c r="J393" i="196"/>
  <c r="J342" i="196"/>
  <c r="J341" i="196"/>
  <c r="T394" i="196"/>
  <c r="T374" i="196"/>
  <c r="T376" i="196" s="1"/>
  <c r="T387" i="196" s="1"/>
  <c r="T389" i="196" s="1"/>
  <c r="T396" i="196" s="1"/>
  <c r="J312" i="196"/>
  <c r="J385" i="196" s="1"/>
  <c r="AE389" i="196"/>
  <c r="AE396" i="196" s="1"/>
  <c r="T344" i="196"/>
  <c r="T386" i="196" s="1"/>
  <c r="S394" i="196"/>
  <c r="S374" i="196"/>
  <c r="S376" i="196" s="1"/>
  <c r="S387" i="196" s="1"/>
  <c r="S389" i="196" s="1"/>
  <c r="S396" i="196" s="1"/>
  <c r="P344" i="196"/>
  <c r="P386" i="196" s="1"/>
  <c r="P389" i="196" s="1"/>
  <c r="P396" i="196" s="1"/>
  <c r="AF401" i="196"/>
  <c r="AF404" i="196" s="1"/>
  <c r="AF413" i="196" s="1"/>
  <c r="AF32" i="197" s="1"/>
  <c r="AF110" i="197" s="1"/>
  <c r="AF400" i="196"/>
  <c r="AF405" i="196" s="1"/>
  <c r="AF414" i="196" s="1"/>
  <c r="AF33" i="197" s="1"/>
  <c r="AF111" i="197" s="1"/>
  <c r="AF399" i="196"/>
  <c r="M401" i="196"/>
  <c r="M404" i="196" s="1"/>
  <c r="M413" i="196" s="1"/>
  <c r="M32" i="197" s="1"/>
  <c r="M110" i="197" s="1"/>
  <c r="M400" i="196"/>
  <c r="M405" i="196" s="1"/>
  <c r="M414" i="196" s="1"/>
  <c r="M33" i="197" s="1"/>
  <c r="M111" i="197" s="1"/>
  <c r="X394" i="196"/>
  <c r="X374" i="196"/>
  <c r="X376" i="196" s="1"/>
  <c r="X387" i="196" s="1"/>
  <c r="X389" i="196" s="1"/>
  <c r="X396" i="196" s="1"/>
  <c r="U394" i="196"/>
  <c r="U374" i="196"/>
  <c r="U376" i="196" s="1"/>
  <c r="U387" i="196" s="1"/>
  <c r="U389" i="196" s="1"/>
  <c r="U396" i="196" s="1"/>
  <c r="O401" i="196"/>
  <c r="O404" i="196" s="1"/>
  <c r="O413" i="196" s="1"/>
  <c r="O32" i="197" s="1"/>
  <c r="O110" i="197" s="1"/>
  <c r="O400" i="196"/>
  <c r="O405" i="196" s="1"/>
  <c r="O414" i="196" s="1"/>
  <c r="O33" i="197" s="1"/>
  <c r="O111" i="197" s="1"/>
  <c r="O399" i="196"/>
  <c r="AG401" i="196"/>
  <c r="AG399" i="196"/>
  <c r="AG400" i="196"/>
  <c r="AD389" i="196"/>
  <c r="AD396" i="196" s="1"/>
  <c r="V312" i="196"/>
  <c r="V385" i="196" s="1"/>
  <c r="V389" i="196" s="1"/>
  <c r="V396" i="196" s="1"/>
  <c r="AC423" i="196" l="1"/>
  <c r="AC427" i="196" s="1"/>
  <c r="AG423" i="196"/>
  <c r="AG427" i="196" s="1"/>
  <c r="M423" i="196"/>
  <c r="M427" i="196" s="1"/>
  <c r="O423" i="196"/>
  <c r="O427" i="196" s="1"/>
  <c r="U400" i="196"/>
  <c r="U405" i="196" s="1"/>
  <c r="U414" i="196" s="1"/>
  <c r="U33" i="197" s="1"/>
  <c r="U111" i="197" s="1"/>
  <c r="U401" i="196"/>
  <c r="U404" i="196" s="1"/>
  <c r="U413" i="196" s="1"/>
  <c r="U32" i="197" s="1"/>
  <c r="U110" i="197" s="1"/>
  <c r="U399" i="196"/>
  <c r="U423" i="196" s="1"/>
  <c r="U427" i="196" s="1"/>
  <c r="X399" i="196"/>
  <c r="X401" i="196"/>
  <c r="X404" i="196" s="1"/>
  <c r="X413" i="196" s="1"/>
  <c r="X32" i="197" s="1"/>
  <c r="X110" i="197" s="1"/>
  <c r="X400" i="196"/>
  <c r="X405" i="196" s="1"/>
  <c r="X414" i="196" s="1"/>
  <c r="X33" i="197" s="1"/>
  <c r="X111" i="197" s="1"/>
  <c r="Y400" i="196"/>
  <c r="Y405" i="196" s="1"/>
  <c r="Y414" i="196" s="1"/>
  <c r="Y33" i="197" s="1"/>
  <c r="Y111" i="197" s="1"/>
  <c r="Y399" i="196"/>
  <c r="Y401" i="196"/>
  <c r="Y404" i="196" s="1"/>
  <c r="Y413" i="196" s="1"/>
  <c r="Y32" i="197" s="1"/>
  <c r="Y110" i="197" s="1"/>
  <c r="AF140" i="197"/>
  <c r="AF169" i="197" s="1"/>
  <c r="AF74" i="198" s="1"/>
  <c r="AF116" i="198" s="1"/>
  <c r="AF122" i="197"/>
  <c r="AF151" i="197" s="1"/>
  <c r="AF56" i="198" s="1"/>
  <c r="AF96" i="198" s="1"/>
  <c r="AD401" i="196"/>
  <c r="AD404" i="196" s="1"/>
  <c r="AD413" i="196" s="1"/>
  <c r="AD32" i="197" s="1"/>
  <c r="AD110" i="197" s="1"/>
  <c r="AD400" i="196"/>
  <c r="AD405" i="196" s="1"/>
  <c r="AD414" i="196" s="1"/>
  <c r="AD33" i="197" s="1"/>
  <c r="AD111" i="197" s="1"/>
  <c r="AD399" i="196"/>
  <c r="AF139" i="197"/>
  <c r="AF168" i="197" s="1"/>
  <c r="AF73" i="198" s="1"/>
  <c r="AF115" i="198" s="1"/>
  <c r="AF121" i="197"/>
  <c r="AF150" i="197" s="1"/>
  <c r="AF55" i="198" s="1"/>
  <c r="AF95" i="198" s="1"/>
  <c r="AA400" i="196"/>
  <c r="AA405" i="196" s="1"/>
  <c r="AA414" i="196" s="1"/>
  <c r="AA33" i="197" s="1"/>
  <c r="AA111" i="197" s="1"/>
  <c r="AA401" i="196"/>
  <c r="AA404" i="196" s="1"/>
  <c r="AA413" i="196" s="1"/>
  <c r="AA32" i="197" s="1"/>
  <c r="AA110" i="197" s="1"/>
  <c r="AA399" i="196"/>
  <c r="AA423" i="196" s="1"/>
  <c r="AA427" i="196" s="1"/>
  <c r="P400" i="196"/>
  <c r="P405" i="196" s="1"/>
  <c r="P414" i="196" s="1"/>
  <c r="P33" i="197" s="1"/>
  <c r="P111" i="197" s="1"/>
  <c r="P399" i="196"/>
  <c r="P401" i="196"/>
  <c r="P404" i="196" s="1"/>
  <c r="P413" i="196" s="1"/>
  <c r="P32" i="197" s="1"/>
  <c r="P110" i="197" s="1"/>
  <c r="AE399" i="196"/>
  <c r="AE401" i="196"/>
  <c r="AE404" i="196" s="1"/>
  <c r="AE413" i="196" s="1"/>
  <c r="AE32" i="197" s="1"/>
  <c r="AE110" i="197" s="1"/>
  <c r="AE400" i="196"/>
  <c r="AE405" i="196" s="1"/>
  <c r="AE414" i="196" s="1"/>
  <c r="AE33" i="197" s="1"/>
  <c r="AE111" i="197" s="1"/>
  <c r="AC122" i="197"/>
  <c r="AC151" i="197" s="1"/>
  <c r="AC56" i="198" s="1"/>
  <c r="AC96" i="198" s="1"/>
  <c r="AC140" i="197"/>
  <c r="AC169" i="197" s="1"/>
  <c r="AC74" i="198" s="1"/>
  <c r="AC116" i="198" s="1"/>
  <c r="S399" i="196"/>
  <c r="S400" i="196"/>
  <c r="S405" i="196" s="1"/>
  <c r="S414" i="196" s="1"/>
  <c r="S33" i="197" s="1"/>
  <c r="S111" i="197" s="1"/>
  <c r="S401" i="196"/>
  <c r="S404" i="196" s="1"/>
  <c r="S413" i="196" s="1"/>
  <c r="S32" i="197" s="1"/>
  <c r="S110" i="197" s="1"/>
  <c r="Z401" i="196"/>
  <c r="Z404" i="196" s="1"/>
  <c r="Z413" i="196" s="1"/>
  <c r="Z32" i="197" s="1"/>
  <c r="Z110" i="197" s="1"/>
  <c r="Z399" i="196"/>
  <c r="Z400" i="196"/>
  <c r="Z405" i="196" s="1"/>
  <c r="Z414" i="196" s="1"/>
  <c r="Z33" i="197" s="1"/>
  <c r="Z111" i="197" s="1"/>
  <c r="AC139" i="197"/>
  <c r="AC168" i="197" s="1"/>
  <c r="AC73" i="198" s="1"/>
  <c r="AC115" i="198" s="1"/>
  <c r="AC121" i="197"/>
  <c r="AC150" i="197" s="1"/>
  <c r="AC55" i="198" s="1"/>
  <c r="AC95" i="198" s="1"/>
  <c r="AC102" i="198" s="1"/>
  <c r="AC140" i="198" s="1"/>
  <c r="M140" i="197"/>
  <c r="M169" i="197" s="1"/>
  <c r="M74" i="198" s="1"/>
  <c r="M116" i="198" s="1"/>
  <c r="M122" i="197"/>
  <c r="M151" i="197" s="1"/>
  <c r="M56" i="198" s="1"/>
  <c r="M96" i="198" s="1"/>
  <c r="M131" i="197"/>
  <c r="M160" i="197" s="1"/>
  <c r="M65" i="198" s="1"/>
  <c r="M106" i="198" s="1"/>
  <c r="J387" i="196"/>
  <c r="H429" i="196"/>
  <c r="N140" i="197"/>
  <c r="N169" i="197" s="1"/>
  <c r="N74" i="198" s="1"/>
  <c r="N116" i="198" s="1"/>
  <c r="N131" i="197"/>
  <c r="N160" i="197" s="1"/>
  <c r="N65" i="198" s="1"/>
  <c r="N106" i="198" s="1"/>
  <c r="N122" i="197"/>
  <c r="N151" i="197" s="1"/>
  <c r="N56" i="198" s="1"/>
  <c r="N96" i="198" s="1"/>
  <c r="V401" i="196"/>
  <c r="V404" i="196" s="1"/>
  <c r="V413" i="196" s="1"/>
  <c r="V32" i="197" s="1"/>
  <c r="V110" i="197" s="1"/>
  <c r="V399" i="196"/>
  <c r="V400" i="196"/>
  <c r="V405" i="196" s="1"/>
  <c r="V414" i="196" s="1"/>
  <c r="V33" i="197" s="1"/>
  <c r="V111" i="197" s="1"/>
  <c r="O140" i="197"/>
  <c r="O169" i="197" s="1"/>
  <c r="O74" i="198" s="1"/>
  <c r="O116" i="198" s="1"/>
  <c r="O131" i="197"/>
  <c r="O160" i="197" s="1"/>
  <c r="O65" i="198" s="1"/>
  <c r="O106" i="198" s="1"/>
  <c r="O122" i="197"/>
  <c r="O151" i="197" s="1"/>
  <c r="O56" i="198" s="1"/>
  <c r="O96" i="198" s="1"/>
  <c r="M130" i="197"/>
  <c r="M159" i="197" s="1"/>
  <c r="M64" i="198" s="1"/>
  <c r="M105" i="198" s="1"/>
  <c r="M112" i="198" s="1"/>
  <c r="M141" i="198" s="1"/>
  <c r="M139" i="197"/>
  <c r="M168" i="197" s="1"/>
  <c r="M73" i="198" s="1"/>
  <c r="M115" i="198" s="1"/>
  <c r="M121" i="197"/>
  <c r="M150" i="197" s="1"/>
  <c r="M55" i="198" s="1"/>
  <c r="M95" i="198" s="1"/>
  <c r="M102" i="198" s="1"/>
  <c r="M140" i="198" s="1"/>
  <c r="N130" i="197"/>
  <c r="N159" i="197" s="1"/>
  <c r="N64" i="198" s="1"/>
  <c r="N105" i="198" s="1"/>
  <c r="N139" i="197"/>
  <c r="N168" i="197" s="1"/>
  <c r="N73" i="198" s="1"/>
  <c r="N115" i="198" s="1"/>
  <c r="N122" i="198" s="1"/>
  <c r="N142" i="198" s="1"/>
  <c r="N121" i="197"/>
  <c r="N150" i="197" s="1"/>
  <c r="N55" i="198" s="1"/>
  <c r="N95" i="198" s="1"/>
  <c r="T400" i="196"/>
  <c r="T405" i="196" s="1"/>
  <c r="T414" i="196" s="1"/>
  <c r="T33" i="197" s="1"/>
  <c r="T111" i="197" s="1"/>
  <c r="T401" i="196"/>
  <c r="T404" i="196" s="1"/>
  <c r="T413" i="196" s="1"/>
  <c r="T32" i="197" s="1"/>
  <c r="T110" i="197" s="1"/>
  <c r="T399" i="196"/>
  <c r="O121" i="197"/>
  <c r="O150" i="197" s="1"/>
  <c r="O55" i="198" s="1"/>
  <c r="O95" i="198" s="1"/>
  <c r="O102" i="198" s="1"/>
  <c r="O140" i="198" s="1"/>
  <c r="O139" i="197"/>
  <c r="O168" i="197" s="1"/>
  <c r="O73" i="198" s="1"/>
  <c r="O115" i="198" s="1"/>
  <c r="O130" i="197"/>
  <c r="O159" i="197" s="1"/>
  <c r="O64" i="198" s="1"/>
  <c r="O105" i="198" s="1"/>
  <c r="AF423" i="196"/>
  <c r="AF427" i="196" s="1"/>
  <c r="J344" i="196"/>
  <c r="N423" i="196"/>
  <c r="N427" i="196" s="1"/>
  <c r="M122" i="198" l="1"/>
  <c r="M142" i="198" s="1"/>
  <c r="Y423" i="196"/>
  <c r="Y427" i="196" s="1"/>
  <c r="N102" i="198"/>
  <c r="N140" i="198" s="1"/>
  <c r="AE423" i="196"/>
  <c r="AE427" i="196" s="1"/>
  <c r="AF122" i="198"/>
  <c r="AF142" i="198" s="1"/>
  <c r="AD423" i="196"/>
  <c r="AD427" i="196" s="1"/>
  <c r="N112" i="198"/>
  <c r="N141" i="198" s="1"/>
  <c r="T140" i="197"/>
  <c r="T169" i="197" s="1"/>
  <c r="T74" i="198" s="1"/>
  <c r="T116" i="198" s="1"/>
  <c r="T122" i="197"/>
  <c r="T151" i="197" s="1"/>
  <c r="T56" i="198" s="1"/>
  <c r="T96" i="198" s="1"/>
  <c r="T131" i="197"/>
  <c r="T160" i="197" s="1"/>
  <c r="T65" i="198" s="1"/>
  <c r="T106" i="198" s="1"/>
  <c r="Z423" i="196"/>
  <c r="Z427" i="196" s="1"/>
  <c r="AE121" i="197"/>
  <c r="AE150" i="197" s="1"/>
  <c r="AE55" i="198" s="1"/>
  <c r="AE95" i="198" s="1"/>
  <c r="AE139" i="197"/>
  <c r="AE168" i="197" s="1"/>
  <c r="AE73" i="198" s="1"/>
  <c r="AE115" i="198" s="1"/>
  <c r="J386" i="196"/>
  <c r="J389" i="196" s="1"/>
  <c r="Z121" i="197"/>
  <c r="Z150" i="197" s="1"/>
  <c r="Z55" i="198" s="1"/>
  <c r="Z95" i="198" s="1"/>
  <c r="Z139" i="197"/>
  <c r="Z168" i="197" s="1"/>
  <c r="Z73" i="198" s="1"/>
  <c r="Z115" i="198" s="1"/>
  <c r="Y122" i="197"/>
  <c r="Y151" i="197" s="1"/>
  <c r="Y56" i="198" s="1"/>
  <c r="Y96" i="198" s="1"/>
  <c r="Y140" i="197"/>
  <c r="Y169" i="197" s="1"/>
  <c r="Y74" i="198" s="1"/>
  <c r="Y116" i="198" s="1"/>
  <c r="V122" i="197"/>
  <c r="V151" i="197" s="1"/>
  <c r="V56" i="198" s="1"/>
  <c r="V96" i="198" s="1"/>
  <c r="V140" i="197"/>
  <c r="V169" i="197" s="1"/>
  <c r="V74" i="198" s="1"/>
  <c r="V116" i="198" s="1"/>
  <c r="V131" i="197"/>
  <c r="V160" i="197" s="1"/>
  <c r="V65" i="198" s="1"/>
  <c r="V106" i="198" s="1"/>
  <c r="S130" i="197"/>
  <c r="S159" i="197" s="1"/>
  <c r="S64" i="198" s="1"/>
  <c r="S105" i="198" s="1"/>
  <c r="S121" i="197"/>
  <c r="S150" i="197" s="1"/>
  <c r="S55" i="198" s="1"/>
  <c r="S95" i="198" s="1"/>
  <c r="S139" i="197"/>
  <c r="S168" i="197" s="1"/>
  <c r="S73" i="198" s="1"/>
  <c r="S115" i="198" s="1"/>
  <c r="P130" i="197"/>
  <c r="P159" i="197" s="1"/>
  <c r="P64" i="198" s="1"/>
  <c r="P105" i="198" s="1"/>
  <c r="P121" i="197"/>
  <c r="P150" i="197" s="1"/>
  <c r="P55" i="198" s="1"/>
  <c r="P95" i="198" s="1"/>
  <c r="P139" i="197"/>
  <c r="P168" i="197" s="1"/>
  <c r="P73" i="198" s="1"/>
  <c r="P115" i="198" s="1"/>
  <c r="X140" i="197"/>
  <c r="X169" i="197" s="1"/>
  <c r="X74" i="198" s="1"/>
  <c r="X116" i="198" s="1"/>
  <c r="X122" i="197"/>
  <c r="X151" i="197" s="1"/>
  <c r="X56" i="198" s="1"/>
  <c r="X96" i="198" s="1"/>
  <c r="O112" i="198"/>
  <c r="O141" i="198" s="1"/>
  <c r="V423" i="196"/>
  <c r="V427" i="196" s="1"/>
  <c r="S131" i="197"/>
  <c r="S160" i="197" s="1"/>
  <c r="S65" i="198" s="1"/>
  <c r="S106" i="198" s="1"/>
  <c r="S140" i="197"/>
  <c r="S169" i="197" s="1"/>
  <c r="S74" i="198" s="1"/>
  <c r="S116" i="198" s="1"/>
  <c r="S122" i="197"/>
  <c r="S151" i="197" s="1"/>
  <c r="S56" i="198" s="1"/>
  <c r="S96" i="198" s="1"/>
  <c r="P423" i="196"/>
  <c r="P427" i="196" s="1"/>
  <c r="AD140" i="197"/>
  <c r="AD169" i="197" s="1"/>
  <c r="AD74" i="198" s="1"/>
  <c r="AD116" i="198" s="1"/>
  <c r="AD122" i="197"/>
  <c r="AD151" i="197" s="1"/>
  <c r="AD56" i="198" s="1"/>
  <c r="AD96" i="198" s="1"/>
  <c r="X139" i="197"/>
  <c r="X168" i="197" s="1"/>
  <c r="X73" i="198" s="1"/>
  <c r="X115" i="198" s="1"/>
  <c r="X122" i="198" s="1"/>
  <c r="X142" i="198" s="1"/>
  <c r="X121" i="197"/>
  <c r="X150" i="197" s="1"/>
  <c r="X55" i="198" s="1"/>
  <c r="X95" i="198" s="1"/>
  <c r="O122" i="198"/>
  <c r="O142" i="198" s="1"/>
  <c r="V121" i="197"/>
  <c r="V150" i="197" s="1"/>
  <c r="V55" i="198" s="1"/>
  <c r="V95" i="198" s="1"/>
  <c r="V130" i="197"/>
  <c r="V159" i="197" s="1"/>
  <c r="V64" i="198" s="1"/>
  <c r="V105" i="198" s="1"/>
  <c r="V139" i="197"/>
  <c r="V168" i="197" s="1"/>
  <c r="V73" i="198" s="1"/>
  <c r="V115" i="198" s="1"/>
  <c r="V122" i="198" s="1"/>
  <c r="V142" i="198" s="1"/>
  <c r="S423" i="196"/>
  <c r="S427" i="196" s="1"/>
  <c r="P131" i="197"/>
  <c r="P160" i="197" s="1"/>
  <c r="P65" i="198" s="1"/>
  <c r="P106" i="198" s="1"/>
  <c r="P122" i="197"/>
  <c r="P151" i="197" s="1"/>
  <c r="P56" i="198" s="1"/>
  <c r="P96" i="198" s="1"/>
  <c r="P102" i="198" s="1"/>
  <c r="P140" i="198" s="1"/>
  <c r="P140" i="197"/>
  <c r="P169" i="197" s="1"/>
  <c r="P74" i="198" s="1"/>
  <c r="P116" i="198" s="1"/>
  <c r="AD121" i="197"/>
  <c r="AD150" i="197" s="1"/>
  <c r="AD55" i="198" s="1"/>
  <c r="AD95" i="198" s="1"/>
  <c r="AD139" i="197"/>
  <c r="AD168" i="197" s="1"/>
  <c r="AD73" i="198" s="1"/>
  <c r="AD115" i="198" s="1"/>
  <c r="X423" i="196"/>
  <c r="X427" i="196" s="1"/>
  <c r="AF102" i="198"/>
  <c r="AF140" i="198" s="1"/>
  <c r="T423" i="196"/>
  <c r="T427" i="196" s="1"/>
  <c r="AC122" i="198"/>
  <c r="AC142" i="198" s="1"/>
  <c r="AA139" i="197"/>
  <c r="AA168" i="197" s="1"/>
  <c r="AA73" i="198" s="1"/>
  <c r="AA115" i="198" s="1"/>
  <c r="AA121" i="197"/>
  <c r="AA150" i="197" s="1"/>
  <c r="AA55" i="198" s="1"/>
  <c r="AA95" i="198" s="1"/>
  <c r="U130" i="197"/>
  <c r="U159" i="197" s="1"/>
  <c r="U64" i="198" s="1"/>
  <c r="U105" i="198" s="1"/>
  <c r="U139" i="197"/>
  <c r="U168" i="197" s="1"/>
  <c r="U73" i="198" s="1"/>
  <c r="U115" i="198" s="1"/>
  <c r="U121" i="197"/>
  <c r="U150" i="197" s="1"/>
  <c r="U55" i="198" s="1"/>
  <c r="U95" i="198" s="1"/>
  <c r="T139" i="197"/>
  <c r="T168" i="197" s="1"/>
  <c r="T73" i="198" s="1"/>
  <c r="T115" i="198" s="1"/>
  <c r="T121" i="197"/>
  <c r="T150" i="197" s="1"/>
  <c r="T55" i="198" s="1"/>
  <c r="T95" i="198" s="1"/>
  <c r="T102" i="198" s="1"/>
  <c r="T140" i="198" s="1"/>
  <c r="T130" i="197"/>
  <c r="T159" i="197" s="1"/>
  <c r="T64" i="198" s="1"/>
  <c r="T105" i="198" s="1"/>
  <c r="T112" i="198" s="1"/>
  <c r="T141" i="198" s="1"/>
  <c r="Z122" i="197"/>
  <c r="Z151" i="197" s="1"/>
  <c r="Z56" i="198" s="1"/>
  <c r="Z96" i="198" s="1"/>
  <c r="Z140" i="197"/>
  <c r="Z169" i="197" s="1"/>
  <c r="Z74" i="198" s="1"/>
  <c r="Z116" i="198" s="1"/>
  <c r="AE140" i="197"/>
  <c r="AE169" i="197" s="1"/>
  <c r="AE74" i="198" s="1"/>
  <c r="AE116" i="198" s="1"/>
  <c r="AE122" i="197"/>
  <c r="AE151" i="197" s="1"/>
  <c r="AE56" i="198" s="1"/>
  <c r="AE96" i="198" s="1"/>
  <c r="AA122" i="197"/>
  <c r="AA151" i="197" s="1"/>
  <c r="AA56" i="198" s="1"/>
  <c r="AA96" i="198" s="1"/>
  <c r="AA140" i="197"/>
  <c r="AA169" i="197" s="1"/>
  <c r="AA74" i="198" s="1"/>
  <c r="AA116" i="198" s="1"/>
  <c r="Y139" i="197"/>
  <c r="Y168" i="197" s="1"/>
  <c r="Y73" i="198" s="1"/>
  <c r="Y115" i="198" s="1"/>
  <c r="Y122" i="198" s="1"/>
  <c r="Y142" i="198" s="1"/>
  <c r="Y121" i="197"/>
  <c r="Y150" i="197" s="1"/>
  <c r="Y55" i="198" s="1"/>
  <c r="Y95" i="198" s="1"/>
  <c r="Y102" i="198" s="1"/>
  <c r="Y140" i="198" s="1"/>
  <c r="U122" i="197"/>
  <c r="U151" i="197" s="1"/>
  <c r="U56" i="198" s="1"/>
  <c r="U96" i="198" s="1"/>
  <c r="U140" i="197"/>
  <c r="U169" i="197" s="1"/>
  <c r="U74" i="198" s="1"/>
  <c r="U116" i="198" s="1"/>
  <c r="U131" i="197"/>
  <c r="U160" i="197" s="1"/>
  <c r="U65" i="198" s="1"/>
  <c r="U106" i="198" s="1"/>
  <c r="V102" i="198" l="1"/>
  <c r="V140" i="198" s="1"/>
  <c r="T122" i="198"/>
  <c r="T142" i="198" s="1"/>
  <c r="U122" i="198"/>
  <c r="U142" i="198" s="1"/>
  <c r="AD122" i="198"/>
  <c r="AD142" i="198" s="1"/>
  <c r="J396" i="196"/>
  <c r="P122" i="198"/>
  <c r="P142" i="198" s="1"/>
  <c r="AE122" i="198"/>
  <c r="AE142" i="198" s="1"/>
  <c r="U102" i="198"/>
  <c r="U140" i="198" s="1"/>
  <c r="V112" i="198"/>
  <c r="V141" i="198" s="1"/>
  <c r="AE102" i="198"/>
  <c r="AE140" i="198" s="1"/>
  <c r="P112" i="198"/>
  <c r="P141" i="198" s="1"/>
  <c r="U112" i="198"/>
  <c r="U141" i="198" s="1"/>
  <c r="AD102" i="198"/>
  <c r="AD140" i="198" s="1"/>
  <c r="S122" i="198"/>
  <c r="S142" i="198" s="1"/>
  <c r="Z122" i="198"/>
  <c r="Z142" i="198" s="1"/>
  <c r="AA102" i="198"/>
  <c r="AA140" i="198" s="1"/>
  <c r="X102" i="198"/>
  <c r="X140" i="198" s="1"/>
  <c r="S102" i="198"/>
  <c r="S140" i="198" s="1"/>
  <c r="Z102" i="198"/>
  <c r="Z140" i="198" s="1"/>
  <c r="AA122" i="198"/>
  <c r="AA142" i="198" s="1"/>
  <c r="S112" i="198"/>
  <c r="S141" i="198" s="1"/>
  <c r="J400" i="196" l="1"/>
  <c r="J405" i="196" s="1"/>
  <c r="J414" i="196" s="1"/>
  <c r="J33" i="197" s="1"/>
  <c r="J111" i="197" s="1"/>
  <c r="J399" i="196"/>
  <c r="J401" i="196"/>
  <c r="J404" i="196" s="1"/>
  <c r="J413" i="196" s="1"/>
  <c r="J32" i="197" s="1"/>
  <c r="J110" i="197" l="1"/>
  <c r="J423" i="196"/>
  <c r="H431" i="196" a="1"/>
  <c r="H431" i="196" s="1"/>
  <c r="J140" i="197"/>
  <c r="J169" i="197" s="1"/>
  <c r="J74" i="198" s="1"/>
  <c r="J116" i="198" s="1"/>
  <c r="H116" i="198" s="1"/>
  <c r="J131" i="197"/>
  <c r="J160" i="197" s="1"/>
  <c r="J65" i="198" s="1"/>
  <c r="J106" i="198" s="1"/>
  <c r="H106" i="198" s="1"/>
  <c r="J122" i="197"/>
  <c r="J151" i="197" s="1"/>
  <c r="J56" i="198" s="1"/>
  <c r="J96" i="198" s="1"/>
  <c r="H96" i="198" s="1"/>
  <c r="J427" i="196" l="1"/>
  <c r="H427" i="196" s="1"/>
  <c r="H433" i="196" s="1"/>
  <c r="H423" i="196"/>
  <c r="J130" i="197"/>
  <c r="J159" i="197" s="1"/>
  <c r="J139" i="197"/>
  <c r="J168" i="197" s="1"/>
  <c r="J121" i="197"/>
  <c r="J150" i="197" l="1"/>
  <c r="H178" i="197" a="1"/>
  <c r="H178" i="197" s="1"/>
  <c r="J73" i="198"/>
  <c r="J115" i="198" s="1"/>
  <c r="J86" i="106" a="1"/>
  <c r="J52" i="106" a="1"/>
  <c r="J64" i="198"/>
  <c r="J105" i="198" s="1"/>
  <c r="J58" i="55"/>
  <c r="A4" i="196"/>
  <c r="J112" i="198" l="1"/>
  <c r="J141" i="198" s="1"/>
  <c r="J52" i="107" s="1" a="1"/>
  <c r="H105" i="198"/>
  <c r="H112" i="198" s="1"/>
  <c r="J68" i="106"/>
  <c r="J74" i="106"/>
  <c r="K71" i="106"/>
  <c r="L57" i="106"/>
  <c r="L77" i="106"/>
  <c r="K81" i="106"/>
  <c r="K61" i="106"/>
  <c r="P52" i="106"/>
  <c r="O56" i="106"/>
  <c r="N68" i="106"/>
  <c r="J66" i="106"/>
  <c r="K82" i="106"/>
  <c r="N54" i="106"/>
  <c r="N75" i="106"/>
  <c r="P73" i="106"/>
  <c r="K52" i="106"/>
  <c r="L65" i="106"/>
  <c r="L60" i="106"/>
  <c r="M65" i="106"/>
  <c r="K74" i="106"/>
  <c r="P82" i="106"/>
  <c r="J65" i="106"/>
  <c r="P78" i="106"/>
  <c r="N78" i="106"/>
  <c r="L54" i="106"/>
  <c r="P64" i="106"/>
  <c r="K66" i="106"/>
  <c r="M79" i="106"/>
  <c r="O54" i="106"/>
  <c r="N72" i="106"/>
  <c r="J69" i="106"/>
  <c r="P53" i="106"/>
  <c r="K78" i="106"/>
  <c r="P68" i="106"/>
  <c r="J70" i="106"/>
  <c r="J53" i="106"/>
  <c r="K62" i="106"/>
  <c r="K73" i="106"/>
  <c r="K67" i="106"/>
  <c r="M64" i="106"/>
  <c r="P74" i="106"/>
  <c r="O70" i="106"/>
  <c r="O80" i="106"/>
  <c r="N55" i="106"/>
  <c r="O71" i="106"/>
  <c r="M54" i="106"/>
  <c r="K58" i="106"/>
  <c r="J59" i="106"/>
  <c r="P55" i="106"/>
  <c r="P59" i="106"/>
  <c r="O79" i="106"/>
  <c r="J75" i="106"/>
  <c r="L74" i="106"/>
  <c r="K76" i="106"/>
  <c r="J79" i="106"/>
  <c r="N69" i="106"/>
  <c r="K68" i="106"/>
  <c r="M63" i="106"/>
  <c r="O64" i="106"/>
  <c r="M73" i="106"/>
  <c r="J72" i="106"/>
  <c r="O61" i="106"/>
  <c r="O81" i="106"/>
  <c r="L62" i="106"/>
  <c r="P71" i="106"/>
  <c r="P72" i="106"/>
  <c r="O53" i="106"/>
  <c r="M58" i="106"/>
  <c r="K65" i="106"/>
  <c r="N60" i="106"/>
  <c r="P61" i="106"/>
  <c r="K79" i="106"/>
  <c r="O77" i="106"/>
  <c r="P76" i="106"/>
  <c r="K69" i="106"/>
  <c r="N81" i="106"/>
  <c r="N65" i="106"/>
  <c r="M60" i="106"/>
  <c r="N77" i="106"/>
  <c r="L64" i="106"/>
  <c r="J57" i="106"/>
  <c r="M55" i="106"/>
  <c r="L69" i="106"/>
  <c r="M70" i="106"/>
  <c r="J83" i="106"/>
  <c r="L59" i="106"/>
  <c r="N82" i="106"/>
  <c r="L68" i="106"/>
  <c r="J58" i="106"/>
  <c r="M81" i="106"/>
  <c r="P58" i="106"/>
  <c r="O83" i="106"/>
  <c r="J55" i="106"/>
  <c r="M76" i="106"/>
  <c r="O55" i="106"/>
  <c r="J52" i="106"/>
  <c r="P63" i="106"/>
  <c r="J76" i="106"/>
  <c r="O52" i="106"/>
  <c r="L72" i="106"/>
  <c r="N66" i="106"/>
  <c r="N64" i="106"/>
  <c r="O58" i="106"/>
  <c r="N70" i="106"/>
  <c r="L56" i="106"/>
  <c r="K60" i="106"/>
  <c r="K64" i="106"/>
  <c r="N83" i="106"/>
  <c r="O60" i="106"/>
  <c r="L79" i="106"/>
  <c r="P81" i="106"/>
  <c r="J62" i="106"/>
  <c r="M71" i="106"/>
  <c r="J54" i="106"/>
  <c r="L83" i="106"/>
  <c r="J56" i="106"/>
  <c r="J60" i="106"/>
  <c r="O78" i="106"/>
  <c r="O74" i="106"/>
  <c r="O82" i="106"/>
  <c r="K54" i="106"/>
  <c r="L82" i="106"/>
  <c r="L53" i="106"/>
  <c r="L52" i="106"/>
  <c r="L78" i="106"/>
  <c r="K59" i="106"/>
  <c r="L58" i="106"/>
  <c r="J63" i="106"/>
  <c r="M83" i="106"/>
  <c r="P66" i="106"/>
  <c r="O73" i="106"/>
  <c r="L75" i="106"/>
  <c r="M61" i="106"/>
  <c r="P77" i="106"/>
  <c r="K63" i="106"/>
  <c r="M62" i="106"/>
  <c r="J73" i="106"/>
  <c r="M77" i="106"/>
  <c r="L73" i="106"/>
  <c r="K72" i="106"/>
  <c r="K53" i="106"/>
  <c r="J61" i="106"/>
  <c r="N73" i="106"/>
  <c r="N76" i="106"/>
  <c r="J82" i="106"/>
  <c r="M75" i="106"/>
  <c r="M78" i="106"/>
  <c r="N52" i="106"/>
  <c r="K83" i="106"/>
  <c r="J78" i="106"/>
  <c r="L71" i="106"/>
  <c r="K75" i="106"/>
  <c r="L67" i="106"/>
  <c r="O69" i="106"/>
  <c r="J64" i="106"/>
  <c r="N57" i="106"/>
  <c r="N61" i="106"/>
  <c r="L76" i="106"/>
  <c r="O57" i="106"/>
  <c r="P69" i="106"/>
  <c r="O66" i="106"/>
  <c r="M53" i="106"/>
  <c r="L55" i="106"/>
  <c r="P67" i="106"/>
  <c r="N62" i="106"/>
  <c r="O76" i="106"/>
  <c r="P80" i="106"/>
  <c r="M66" i="106"/>
  <c r="K57" i="106"/>
  <c r="O67" i="106"/>
  <c r="J77" i="106"/>
  <c r="N63" i="106"/>
  <c r="M72" i="106"/>
  <c r="N80" i="106"/>
  <c r="K56" i="106"/>
  <c r="M69" i="106"/>
  <c r="O63" i="106"/>
  <c r="N59" i="106"/>
  <c r="L81" i="106"/>
  <c r="P62" i="106"/>
  <c r="P56" i="106"/>
  <c r="K70" i="106"/>
  <c r="N58" i="106"/>
  <c r="N79" i="106"/>
  <c r="P79" i="106"/>
  <c r="P54" i="106"/>
  <c r="M56" i="106"/>
  <c r="O59" i="106"/>
  <c r="J71" i="106"/>
  <c r="O62" i="106"/>
  <c r="O72" i="106"/>
  <c r="P83" i="106"/>
  <c r="J81" i="106"/>
  <c r="N67" i="106"/>
  <c r="N74" i="106"/>
  <c r="L61" i="106"/>
  <c r="K77" i="106"/>
  <c r="N53" i="106"/>
  <c r="O65" i="106"/>
  <c r="O75" i="106"/>
  <c r="L70" i="106"/>
  <c r="M82" i="106"/>
  <c r="O68" i="106"/>
  <c r="M80" i="106"/>
  <c r="N71" i="106"/>
  <c r="P75" i="106"/>
  <c r="K80" i="106"/>
  <c r="M67" i="106"/>
  <c r="L80" i="106"/>
  <c r="P70" i="106"/>
  <c r="P65" i="106"/>
  <c r="M57" i="106"/>
  <c r="L63" i="106"/>
  <c r="M59" i="106"/>
  <c r="M68" i="106"/>
  <c r="K55" i="106"/>
  <c r="P57" i="106"/>
  <c r="P60" i="106"/>
  <c r="M52" i="106"/>
  <c r="N56" i="106"/>
  <c r="L66" i="106"/>
  <c r="M74" i="106"/>
  <c r="J67" i="106"/>
  <c r="J80" i="106"/>
  <c r="L91" i="106"/>
  <c r="J96" i="106"/>
  <c r="L94" i="106"/>
  <c r="M116" i="106"/>
  <c r="L111" i="106"/>
  <c r="P93" i="106"/>
  <c r="L89" i="106"/>
  <c r="L116" i="106"/>
  <c r="L102" i="106"/>
  <c r="O99" i="106"/>
  <c r="J93" i="106"/>
  <c r="N102" i="106"/>
  <c r="L113" i="106"/>
  <c r="J108" i="106"/>
  <c r="M111" i="106"/>
  <c r="O101" i="106"/>
  <c r="M104" i="106"/>
  <c r="K109" i="106"/>
  <c r="M92" i="106"/>
  <c r="L95" i="106"/>
  <c r="K88" i="106"/>
  <c r="J109" i="106"/>
  <c r="L115" i="106"/>
  <c r="N86" i="106"/>
  <c r="M96" i="106"/>
  <c r="L88" i="106"/>
  <c r="N87" i="106"/>
  <c r="K101" i="106"/>
  <c r="P104" i="106"/>
  <c r="P102" i="106"/>
  <c r="P115" i="106"/>
  <c r="K104" i="106"/>
  <c r="J114" i="106"/>
  <c r="N112" i="106"/>
  <c r="K113" i="106"/>
  <c r="O92" i="106"/>
  <c r="K117" i="106"/>
  <c r="M95" i="106"/>
  <c r="N98" i="106"/>
  <c r="J116" i="106"/>
  <c r="L96" i="106"/>
  <c r="K105" i="106"/>
  <c r="O113" i="106"/>
  <c r="J107" i="106"/>
  <c r="O110" i="106"/>
  <c r="J92" i="106"/>
  <c r="J88" i="106"/>
  <c r="J98" i="106"/>
  <c r="L104" i="106"/>
  <c r="K114" i="106"/>
  <c r="M101" i="106"/>
  <c r="P88" i="106"/>
  <c r="N108" i="106"/>
  <c r="K107" i="106"/>
  <c r="L100" i="106"/>
  <c r="P101" i="106"/>
  <c r="P98" i="106"/>
  <c r="P109" i="106"/>
  <c r="P96" i="106"/>
  <c r="N93" i="106"/>
  <c r="O96" i="106"/>
  <c r="O103" i="106"/>
  <c r="O105" i="106"/>
  <c r="P95" i="106"/>
  <c r="O86" i="106"/>
  <c r="L99" i="106"/>
  <c r="P89" i="106"/>
  <c r="K93" i="106"/>
  <c r="N100" i="106"/>
  <c r="J113" i="106"/>
  <c r="M112" i="106"/>
  <c r="M106" i="106"/>
  <c r="M107" i="106"/>
  <c r="M94" i="106"/>
  <c r="N101" i="106"/>
  <c r="J102" i="106"/>
  <c r="N109" i="106"/>
  <c r="L97" i="106"/>
  <c r="K90" i="106"/>
  <c r="P87" i="106"/>
  <c r="O95" i="106"/>
  <c r="N91" i="106"/>
  <c r="J89" i="106"/>
  <c r="K96" i="106"/>
  <c r="N114" i="106"/>
  <c r="O109" i="106"/>
  <c r="O115" i="106"/>
  <c r="J101" i="106"/>
  <c r="O91" i="106"/>
  <c r="L108" i="106"/>
  <c r="K106" i="106"/>
  <c r="L112" i="106"/>
  <c r="L98" i="106"/>
  <c r="N113" i="106"/>
  <c r="N97" i="106"/>
  <c r="N103" i="106"/>
  <c r="O112" i="106"/>
  <c r="J87" i="106"/>
  <c r="O116" i="106"/>
  <c r="K100" i="106"/>
  <c r="M93" i="106"/>
  <c r="K116" i="106"/>
  <c r="L101" i="106"/>
  <c r="P108" i="106"/>
  <c r="L90" i="106"/>
  <c r="N90" i="106"/>
  <c r="P107" i="106"/>
  <c r="O106" i="106"/>
  <c r="M114" i="106"/>
  <c r="J91" i="106"/>
  <c r="J106" i="106"/>
  <c r="K92" i="106"/>
  <c r="L109" i="106"/>
  <c r="M87" i="106"/>
  <c r="K108" i="106"/>
  <c r="L114" i="106"/>
  <c r="M100" i="106"/>
  <c r="O117" i="106"/>
  <c r="J105" i="106"/>
  <c r="L93" i="106"/>
  <c r="O108" i="106"/>
  <c r="L117" i="106"/>
  <c r="N105" i="106"/>
  <c r="J97" i="106"/>
  <c r="J95" i="106"/>
  <c r="N116" i="106"/>
  <c r="J103" i="106"/>
  <c r="O107" i="106"/>
  <c r="J90" i="106"/>
  <c r="O104" i="106"/>
  <c r="P91" i="106"/>
  <c r="M98" i="106"/>
  <c r="K91" i="106"/>
  <c r="M97" i="106"/>
  <c r="N94" i="106"/>
  <c r="L105" i="106"/>
  <c r="O100" i="106"/>
  <c r="J117" i="106"/>
  <c r="K95" i="106"/>
  <c r="O111" i="106"/>
  <c r="K99" i="106"/>
  <c r="J115" i="106"/>
  <c r="P103" i="106"/>
  <c r="P99" i="106"/>
  <c r="K98" i="106"/>
  <c r="K89" i="106"/>
  <c r="N111" i="106"/>
  <c r="O102" i="106"/>
  <c r="L86" i="106"/>
  <c r="L106" i="106"/>
  <c r="P112" i="106"/>
  <c r="K86" i="106"/>
  <c r="N95" i="106"/>
  <c r="M86" i="106"/>
  <c r="K115" i="106"/>
  <c r="L107" i="106"/>
  <c r="O89" i="106"/>
  <c r="O93" i="106"/>
  <c r="J86" i="106"/>
  <c r="N106" i="106"/>
  <c r="K110" i="106"/>
  <c r="M91" i="106"/>
  <c r="O88" i="106"/>
  <c r="O114" i="106"/>
  <c r="M108" i="106"/>
  <c r="P90" i="106"/>
  <c r="M89" i="106"/>
  <c r="N110" i="106"/>
  <c r="O90" i="106"/>
  <c r="O87" i="106"/>
  <c r="J112" i="106"/>
  <c r="J99" i="106"/>
  <c r="K112" i="106"/>
  <c r="N96" i="106"/>
  <c r="N99" i="106"/>
  <c r="O94" i="106"/>
  <c r="P105" i="106"/>
  <c r="P116" i="106"/>
  <c r="J111" i="106"/>
  <c r="K111" i="106"/>
  <c r="M113" i="106"/>
  <c r="P106" i="106"/>
  <c r="P86" i="106"/>
  <c r="M102" i="106"/>
  <c r="K94" i="106"/>
  <c r="M103" i="106"/>
  <c r="L110" i="106"/>
  <c r="N88" i="106"/>
  <c r="M90" i="106"/>
  <c r="O98" i="106"/>
  <c r="K87" i="106"/>
  <c r="J100" i="106"/>
  <c r="P117" i="106"/>
  <c r="P113" i="106"/>
  <c r="L103" i="106"/>
  <c r="N107" i="106"/>
  <c r="P97" i="106"/>
  <c r="M110" i="106"/>
  <c r="K97" i="106"/>
  <c r="K102" i="106"/>
  <c r="O97" i="106"/>
  <c r="L92" i="106"/>
  <c r="M99" i="106"/>
  <c r="P110" i="106"/>
  <c r="M109" i="106"/>
  <c r="J110" i="106"/>
  <c r="P114" i="106"/>
  <c r="L87" i="106"/>
  <c r="P100" i="106"/>
  <c r="P94" i="106"/>
  <c r="N92" i="106"/>
  <c r="J104" i="106"/>
  <c r="K103" i="106"/>
  <c r="N115" i="106"/>
  <c r="J94" i="106"/>
  <c r="N89" i="106"/>
  <c r="M105" i="106"/>
  <c r="P111" i="106"/>
  <c r="M115" i="106"/>
  <c r="M117" i="106"/>
  <c r="M88" i="106"/>
  <c r="N104" i="106"/>
  <c r="N117" i="106"/>
  <c r="P92" i="106"/>
  <c r="J122" i="198"/>
  <c r="J142" i="198" s="1"/>
  <c r="J86" i="107" s="1" a="1"/>
  <c r="H115" i="198"/>
  <c r="H122" i="198" s="1"/>
  <c r="J59" i="55"/>
  <c r="A4" i="197"/>
  <c r="J55" i="198"/>
  <c r="J95" i="198" s="1"/>
  <c r="J18" i="106" a="1"/>
  <c r="N48" i="106" l="1"/>
  <c r="N34" i="106"/>
  <c r="O30" i="106"/>
  <c r="P20" i="106"/>
  <c r="N19" i="106"/>
  <c r="M24" i="106"/>
  <c r="L30" i="106"/>
  <c r="O31" i="106"/>
  <c r="P29" i="106"/>
  <c r="M29" i="106"/>
  <c r="N37" i="106"/>
  <c r="L26" i="106"/>
  <c r="P24" i="106"/>
  <c r="K27" i="106"/>
  <c r="J19" i="106"/>
  <c r="O39" i="106"/>
  <c r="P37" i="106"/>
  <c r="N46" i="106"/>
  <c r="K37" i="106"/>
  <c r="J36" i="106"/>
  <c r="K25" i="106"/>
  <c r="N49" i="106"/>
  <c r="K48" i="106"/>
  <c r="M34" i="106"/>
  <c r="N38" i="106"/>
  <c r="N22" i="106"/>
  <c r="O35" i="106"/>
  <c r="K31" i="106"/>
  <c r="L35" i="106"/>
  <c r="K45" i="106"/>
  <c r="N40" i="106"/>
  <c r="M49" i="106"/>
  <c r="P26" i="106"/>
  <c r="O20" i="106"/>
  <c r="K46" i="106"/>
  <c r="N26" i="106"/>
  <c r="J24" i="106"/>
  <c r="O45" i="106"/>
  <c r="L18" i="106"/>
  <c r="P35" i="106"/>
  <c r="L33" i="106"/>
  <c r="M43" i="106"/>
  <c r="K21" i="106"/>
  <c r="N33" i="106"/>
  <c r="O24" i="106"/>
  <c r="M38" i="106"/>
  <c r="P42" i="106"/>
  <c r="N21" i="106"/>
  <c r="L42" i="106"/>
  <c r="M21" i="106"/>
  <c r="P23" i="106"/>
  <c r="J44" i="106"/>
  <c r="J32" i="106"/>
  <c r="O42" i="106"/>
  <c r="K19" i="106"/>
  <c r="P36" i="106"/>
  <c r="L22" i="106"/>
  <c r="M32" i="106"/>
  <c r="O25" i="106"/>
  <c r="K28" i="106"/>
  <c r="J18" i="106"/>
  <c r="L37" i="106"/>
  <c r="P49" i="106"/>
  <c r="L40" i="106"/>
  <c r="K38" i="106"/>
  <c r="J41" i="106"/>
  <c r="L31" i="106"/>
  <c r="O43" i="106"/>
  <c r="M36" i="106"/>
  <c r="J43" i="106"/>
  <c r="N45" i="106"/>
  <c r="J21" i="106"/>
  <c r="K43" i="106"/>
  <c r="P18" i="106"/>
  <c r="J29" i="106"/>
  <c r="L25" i="106"/>
  <c r="N44" i="106"/>
  <c r="J25" i="106"/>
  <c r="M33" i="106"/>
  <c r="O44" i="106"/>
  <c r="K18" i="106"/>
  <c r="L45" i="106"/>
  <c r="N27" i="106"/>
  <c r="O26" i="106"/>
  <c r="J23" i="106"/>
  <c r="N41" i="106"/>
  <c r="P34" i="106"/>
  <c r="N36" i="106"/>
  <c r="K40" i="106"/>
  <c r="K30" i="106"/>
  <c r="J34" i="106"/>
  <c r="P19" i="106"/>
  <c r="K42" i="106"/>
  <c r="K35" i="106"/>
  <c r="L41" i="106"/>
  <c r="L43" i="106"/>
  <c r="L48" i="106"/>
  <c r="K20" i="106"/>
  <c r="M37" i="106"/>
  <c r="M23" i="106"/>
  <c r="O46" i="106"/>
  <c r="P38" i="106"/>
  <c r="O29" i="106"/>
  <c r="M27" i="106"/>
  <c r="P40" i="106"/>
  <c r="P32" i="106"/>
  <c r="L44" i="106"/>
  <c r="N28" i="106"/>
  <c r="P39" i="106"/>
  <c r="J42" i="106"/>
  <c r="N39" i="106"/>
  <c r="P21" i="106"/>
  <c r="M28" i="106"/>
  <c r="N18" i="106"/>
  <c r="L27" i="106"/>
  <c r="L21" i="106"/>
  <c r="K49" i="106"/>
  <c r="M45" i="106"/>
  <c r="K47" i="106"/>
  <c r="K34" i="106"/>
  <c r="L39" i="106"/>
  <c r="J33" i="106"/>
  <c r="P45" i="106"/>
  <c r="P46" i="106"/>
  <c r="K29" i="106"/>
  <c r="K41" i="106"/>
  <c r="L24" i="106"/>
  <c r="O33" i="106"/>
  <c r="O27" i="106"/>
  <c r="J28" i="106"/>
  <c r="P22" i="106"/>
  <c r="N35" i="106"/>
  <c r="L38" i="106"/>
  <c r="K26" i="106"/>
  <c r="K39" i="106"/>
  <c r="M19" i="106"/>
  <c r="J26" i="106"/>
  <c r="N20" i="106"/>
  <c r="O36" i="106"/>
  <c r="O22" i="106"/>
  <c r="M39" i="106"/>
  <c r="N24" i="106"/>
  <c r="L19" i="106"/>
  <c r="N30" i="106"/>
  <c r="J35" i="106"/>
  <c r="P47" i="106"/>
  <c r="O41" i="106"/>
  <c r="L23" i="106"/>
  <c r="O28" i="106"/>
  <c r="K33" i="106"/>
  <c r="O19" i="106"/>
  <c r="P31" i="106"/>
  <c r="K44" i="106"/>
  <c r="L46" i="106"/>
  <c r="N42" i="106"/>
  <c r="M46" i="106"/>
  <c r="K24" i="106"/>
  <c r="O32" i="106"/>
  <c r="J48" i="106"/>
  <c r="O40" i="106"/>
  <c r="K23" i="106"/>
  <c r="L28" i="106"/>
  <c r="J38" i="106"/>
  <c r="J49" i="106"/>
  <c r="L32" i="106"/>
  <c r="O37" i="106"/>
  <c r="L49" i="106"/>
  <c r="L20" i="106"/>
  <c r="J47" i="106"/>
  <c r="M42" i="106"/>
  <c r="M30" i="106"/>
  <c r="N23" i="106"/>
  <c r="M31" i="106"/>
  <c r="M18" i="106"/>
  <c r="J46" i="106"/>
  <c r="O49" i="106"/>
  <c r="L29" i="106"/>
  <c r="N47" i="106"/>
  <c r="M47" i="106"/>
  <c r="O47" i="106"/>
  <c r="M22" i="106"/>
  <c r="J20" i="106"/>
  <c r="K22" i="106"/>
  <c r="M20" i="106"/>
  <c r="O23" i="106"/>
  <c r="O18" i="106"/>
  <c r="M40" i="106"/>
  <c r="P33" i="106"/>
  <c r="J45" i="106"/>
  <c r="N29" i="106"/>
  <c r="P27" i="106"/>
  <c r="M44" i="106"/>
  <c r="O34" i="106"/>
  <c r="J30" i="106"/>
  <c r="L47" i="106"/>
  <c r="J22" i="106"/>
  <c r="J40" i="106"/>
  <c r="P44" i="106"/>
  <c r="J37" i="106"/>
  <c r="O48" i="106"/>
  <c r="P48" i="106"/>
  <c r="M41" i="106"/>
  <c r="L34" i="106"/>
  <c r="P30" i="106"/>
  <c r="N43" i="106"/>
  <c r="J39" i="106"/>
  <c r="M48" i="106"/>
  <c r="K32" i="106"/>
  <c r="J27" i="106"/>
  <c r="P25" i="106"/>
  <c r="M25" i="106"/>
  <c r="N32" i="106"/>
  <c r="M26" i="106"/>
  <c r="O21" i="106"/>
  <c r="N31" i="106"/>
  <c r="M35" i="106"/>
  <c r="K36" i="106"/>
  <c r="P41" i="106"/>
  <c r="O38" i="106"/>
  <c r="L36" i="106"/>
  <c r="P43" i="106"/>
  <c r="J31" i="106"/>
  <c r="P28" i="106"/>
  <c r="N25" i="106"/>
  <c r="J102" i="198"/>
  <c r="J140" i="198" s="1"/>
  <c r="J18" i="107" s="1" a="1"/>
  <c r="H95" i="198"/>
  <c r="H102" i="198" s="1"/>
  <c r="H132" i="198" s="1"/>
  <c r="H133" i="198" s="1"/>
  <c r="J106" i="107"/>
  <c r="J101" i="107"/>
  <c r="J110" i="107"/>
  <c r="J89" i="107"/>
  <c r="J102" i="107"/>
  <c r="J94" i="107"/>
  <c r="J115" i="107"/>
  <c r="J91" i="107"/>
  <c r="J112" i="107"/>
  <c r="J100" i="107"/>
  <c r="J107" i="107"/>
  <c r="J104" i="107"/>
  <c r="J90" i="107"/>
  <c r="J87" i="107"/>
  <c r="J103" i="107"/>
  <c r="J92" i="107"/>
  <c r="J117" i="107"/>
  <c r="J114" i="107"/>
  <c r="J95" i="107"/>
  <c r="J98" i="107"/>
  <c r="J109" i="107"/>
  <c r="J88" i="107"/>
  <c r="J113" i="107"/>
  <c r="J86" i="107"/>
  <c r="J96" i="107"/>
  <c r="J116" i="107"/>
  <c r="J108" i="107"/>
  <c r="J111" i="107"/>
  <c r="J99" i="107"/>
  <c r="J93" i="107"/>
  <c r="J105" i="107"/>
  <c r="J97" i="107"/>
  <c r="J57" i="107"/>
  <c r="J77" i="107"/>
  <c r="J75" i="107"/>
  <c r="J64" i="107"/>
  <c r="J67" i="107"/>
  <c r="J56" i="107"/>
  <c r="J81" i="107"/>
  <c r="J60" i="107"/>
  <c r="J74" i="107"/>
  <c r="J71" i="107"/>
  <c r="J83" i="107"/>
  <c r="J66" i="107"/>
  <c r="J73" i="107"/>
  <c r="J78" i="107"/>
  <c r="J59" i="107"/>
  <c r="J79" i="107"/>
  <c r="J58" i="107"/>
  <c r="J68" i="107"/>
  <c r="J61" i="107"/>
  <c r="J55" i="107"/>
  <c r="J52" i="107"/>
  <c r="J76" i="107"/>
  <c r="J54" i="107"/>
  <c r="J82" i="107"/>
  <c r="J63" i="107"/>
  <c r="J65" i="107"/>
  <c r="J62" i="107"/>
  <c r="J70" i="107"/>
  <c r="J72" i="107"/>
  <c r="J53" i="107"/>
  <c r="J69" i="107"/>
  <c r="J80" i="107"/>
  <c r="H641" i="106" l="1" a="1"/>
  <c r="H641" i="106" s="1"/>
  <c r="H136" i="198"/>
  <c r="H135" i="198"/>
  <c r="H146" i="198" s="1" a="1"/>
  <c r="H146" i="198" s="1"/>
  <c r="J42" i="107"/>
  <c r="J48" i="107"/>
  <c r="J23" i="107"/>
  <c r="J34" i="107"/>
  <c r="J33" i="107"/>
  <c r="J31" i="107"/>
  <c r="J25" i="107"/>
  <c r="J37" i="107"/>
  <c r="J24" i="107"/>
  <c r="J43" i="107"/>
  <c r="J41" i="107"/>
  <c r="J26" i="107"/>
  <c r="J30" i="107"/>
  <c r="J46" i="107"/>
  <c r="J22" i="107"/>
  <c r="J35" i="107"/>
  <c r="J47" i="107"/>
  <c r="J45" i="107"/>
  <c r="J29" i="107"/>
  <c r="J38" i="107"/>
  <c r="J49" i="107"/>
  <c r="J20" i="107"/>
  <c r="J32" i="107"/>
  <c r="J28" i="107"/>
  <c r="J36" i="107"/>
  <c r="J44" i="107"/>
  <c r="J39" i="107"/>
  <c r="J18" i="107"/>
  <c r="J40" i="107"/>
  <c r="J19" i="107"/>
  <c r="J27" i="107"/>
  <c r="J21" i="107"/>
  <c r="H121" i="107" l="1" a="1"/>
  <c r="H121" i="107" s="1"/>
  <c r="A4" i="198"/>
  <c r="J60" i="55"/>
  <c r="A4" i="106"/>
  <c r="J61" i="55"/>
  <c r="J62" i="55" l="1"/>
  <c r="J63" i="55" s="1"/>
  <c r="A4" i="55" s="1"/>
  <c r="A4" i="10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<sst xmlns="http://schemas.openxmlformats.org/spreadsheetml/2006/main" count="15240" uniqueCount="1267">
  <si>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</si>
  <si>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</si>
  <si>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</si>
  <si>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</si>
  <si>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</si>
  <si>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</si>
  <si>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</si>
  <si>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</si>
  <si>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</si>
  <si>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</si>
  <si>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</si>
  <si>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</si>
  <si>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</si>
  <si>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</si>
  <si>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</si>
  <si>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</si>
  <si>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</si>
  <si>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</si>
  <si>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</si>
  <si>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</si>
  <si>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</si>
  <si>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</si>
  <si>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</si>
  <si>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</si>
  <si>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</si>
  <si>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</si>
  <si>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</si>
  <si>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</si>
  <si>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</si>
  <si>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</si>
  <si>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</si>
  <si>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</si>
  <si>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</si>
  <si>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</si>
  <si>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</si>
  <si>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</si>
  <si>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</si>
  <si>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</si>
  <si>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</si>
  <si>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</si>
  <si>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</si>
  <si>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</si>
  <si>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</si>
  <si>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</si>
  <si>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</si>
  <si>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</si>
  <si>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</si>
  <si>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</si>
  <si>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</si>
  <si>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</si>
  <si>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</si>
  <si>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</si>
  <si>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</si>
  <si>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</si>
  <si>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</si>
  <si>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</si>
  <si>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</si>
  <si>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</si>
  <si>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</si>
  <si>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</si>
  <si>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</si>
  <si>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</si>
  <si>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</si>
  <si>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</si>
  <si>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</si>
  <si>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</si>
  <si>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</si>
  <si>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</si>
  <si>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</si>
  <si>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</si>
  <si>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</si>
  <si>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</si>
  <si>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</si>
  <si>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</si>
  <si>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</si>
  <si>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</si>
  <si>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</si>
  <si>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</si>
  <si>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</si>
  <si>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</si>
  <si>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</si>
  <si>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</si>
  <si>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</si>
  <si>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</si>
  <si>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</si>
  <si>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</si>
  <si>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</si>
  <si>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</si>
  <si>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</si>
  <si>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</si>
  <si>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</si>
  <si>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</si>
  <si>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</si>
  <si>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</si>
  <si>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</si>
  <si>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</si>
  <si>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</si>
  <si>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</si>
  <si>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</si>
  <si>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</si>
  <si>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</si>
  <si>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</si>
  <si>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</si>
  <si>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</si>
  <si>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</si>
  <si>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</si>
  <si>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</si>
  <si>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</si>
  <si>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</si>
  <si>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</si>
  <si>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</si>
  <si>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</si>
  <si>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</si>
  <si>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</si>
  <si>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</si>
  <si>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</si>
  <si>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</si>
  <si>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</si>
  <si>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</si>
  <si>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</si>
  <si>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</si>
  <si>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</si>
  <si>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</si>
  <si>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</si>
  <si>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</si>
  <si>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</si>
  <si>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</si>
  <si>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</si>
  <si>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</si>
  <si>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</si>
  <si>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</si>
  <si>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</si>
  <si>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</si>
  <si>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</si>
  <si>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</si>
  <si>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</si>
  <si>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</si>
  <si>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</si>
  <si>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</si>
  <si>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</si>
  <si>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</si>
  <si>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</si>
  <si>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</si>
  <si>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</si>
  <si>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</si>
  <si>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</si>
  <si>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</si>
  <si>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</si>
  <si>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</si>
  <si>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</si>
  <si>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</si>
  <si>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</si>
  <si>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</si>
  <si>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</si>
  <si>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</si>
  <si>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</si>
  <si>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</si>
  <si>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</si>
  <si>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</si>
  <si>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</si>
  <si>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</si>
  <si>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</si>
  <si>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</si>
  <si>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</si>
  <si>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</si>
  <si>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</si>
  <si>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</si>
  <si>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</si>
  <si>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</si>
  <si>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</si>
  <si>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</si>
  <si>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</si>
  <si>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</si>
  <si>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</si>
  <si>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</si>
  <si>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</si>
  <si>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</si>
  <si>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</si>
  <si>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</si>
  <si>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</si>
  <si>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</si>
  <si>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</si>
  <si>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</si>
  <si>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</si>
  <si>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</si>
  <si>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</si>
  <si>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</si>
  <si>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</si>
  <si>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</si>
  <si>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</si>
  <si>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</si>
  <si>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</si>
  <si>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</si>
  <si>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</si>
  <si>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</si>
  <si>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</si>
  <si>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</si>
  <si>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</si>
  <si>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</si>
  <si>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</si>
  <si>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</si>
  <si>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</si>
  <si>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</si>
  <si>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</si>
  <si>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</si>
  <si>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</si>
  <si>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</si>
  <si>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</si>
  <si>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</si>
  <si>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</si>
  <si>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</si>
  <si>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</si>
  <si>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</si>
  <si>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</si>
  <si>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</si>
  <si>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</si>
  <si>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</si>
  <si>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</si>
  <si>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</si>
  <si>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</si>
  <si>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</si>
  <si>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</si>
  <si>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</si>
  <si>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</si>
  <si>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</si>
  <si>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</si>
  <si>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</si>
  <si>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</si>
  <si>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</si>
  <si>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</si>
  <si>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</si>
  <si>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</si>
  <si>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</si>
  <si>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</si>
  <si>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</si>
  <si>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</si>
  <si>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</si>
  <si>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</si>
  <si>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</si>
  <si>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</si>
  <si>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</si>
  <si>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</si>
  <si>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</si>
  <si>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</si>
  <si>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</si>
  <si>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</si>
  <si>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</si>
  <si>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</si>
  <si>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</si>
  <si>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</si>
  <si>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</si>
  <si>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</si>
  <si>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</si>
  <si>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</si>
  <si>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</si>
  <si>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</si>
  <si>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</si>
  <si>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</si>
  <si>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</si>
  <si>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</si>
  <si>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</si>
  <si>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</si>
  <si>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</si>
  <si>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</si>
  <si>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</si>
  <si>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</si>
  <si>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</si>
  <si>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</si>
  <si>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</si>
  <si>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</si>
  <si>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</si>
  <si>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</si>
  <si>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</si>
  <si>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</si>
  <si>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</si>
  <si>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</si>
  <si>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</si>
  <si>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</si>
  <si>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</si>
  <si>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</si>
  <si>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</si>
  <si>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</si>
  <si>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</si>
  <si>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</si>
  <si>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</si>
  <si>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</si>
  <si>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</si>
  <si>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</si>
  <si>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</si>
  <si>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</si>
  <si>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</si>
  <si>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</si>
  <si>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</si>
  <si>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</si>
  <si>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</si>
  <si>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</si>
  <si>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</si>
  <si>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</si>
  <si>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</si>
  <si>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</si>
  <si>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</si>
  <si>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</si>
  <si>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</si>
  <si>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</si>
  <si>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</si>
  <si>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</si>
  <si>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</si>
  <si>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</si>
  <si>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</si>
  <si>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</si>
  <si>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</si>
  <si>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</si>
  <si>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</si>
  <si>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</si>
  <si>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</si>
  <si>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</si>
  <si>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</si>
  <si>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</si>
  <si>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</si>
  <si>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</si>
  <si>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</si>
  <si>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</si>
  <si>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</si>
  <si>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</si>
  <si>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</si>
  <si>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</si>
  <si>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</si>
  <si>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</si>
  <si>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</si>
  <si>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</si>
  <si>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</si>
  <si>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</si>
  <si>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</si>
  <si>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</si>
  <si>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</si>
  <si>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</si>
  <si>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</si>
  <si>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</si>
  <si>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</si>
  <si>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</si>
  <si>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</si>
  <si>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</si>
  <si>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</si>
  <si>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</si>
  <si>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</si>
  <si>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</si>
  <si>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</si>
  <si>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</si>
  <si>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</si>
  <si>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</si>
  <si>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</si>
  <si>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</si>
  <si>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</si>
  <si>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</si>
  <si>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</si>
  <si>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</si>
  <si>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</si>
  <si>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</si>
  <si>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</si>
  <si>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</si>
  <si>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</si>
  <si>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</si>
  <si>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</si>
  <si>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</si>
  <si>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</si>
  <si>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</si>
  <si>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</si>
  <si>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</si>
  <si>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</si>
  <si>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</si>
  <si>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</si>
  <si>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</si>
  <si>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</si>
  <si>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</si>
  <si>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</si>
  <si>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</si>
  <si>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</si>
  <si>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</si>
  <si>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</si>
  <si>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</si>
  <si>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</si>
  <si>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</si>
  <si>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</si>
  <si>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</si>
  <si>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</si>
  <si>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</si>
  <si>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</si>
  <si>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</si>
  <si>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</si>
  <si>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</si>
  <si>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</si>
  <si>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</si>
  <si>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</si>
  <si>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</si>
  <si>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</si>
  <si>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</si>
  <si>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</si>
  <si>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</si>
  <si>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</si>
  <si>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</si>
  <si>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</si>
  <si>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</si>
  <si>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</si>
  <si>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</si>
  <si>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</si>
  <si>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</si>
  <si>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</si>
  <si>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</si>
  <si>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</si>
  <si>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</si>
  <si>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</si>
  <si>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</si>
  <si>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</si>
  <si>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</si>
  <si>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</si>
  <si>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</si>
  <si>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</si>
  <si>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</si>
  <si>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</si>
  <si>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</si>
  <si>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</si>
  <si>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</si>
  <si>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</si>
  <si>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</si>
  <si>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</si>
  <si>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</si>
  <si>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</si>
  <si>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</si>
  <si>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</si>
  <si>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</si>
  <si>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</si>
  <si>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</si>
  <si>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</si>
  <si>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</si>
  <si>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</si>
  <si>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</si>
  <si>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</si>
  <si>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</si>
  <si>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</si>
  <si>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</si>
  <si>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</si>
  <si>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</si>
  <si>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</si>
  <si>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</si>
  <si>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</si>
  <si>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</si>
  <si>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</si>
  <si>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</si>
  <si>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</si>
  <si>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</si>
  <si>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</si>
  <si>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</si>
  <si>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</si>
  <si>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</si>
  <si>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</si>
  <si>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</si>
  <si>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</si>
  <si>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</si>
  <si>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</si>
  <si>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</si>
  <si>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</si>
  <si>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</si>
  <si>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</si>
  <si>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</si>
  <si>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</si>
  <si>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</si>
  <si>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</si>
  <si>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</si>
  <si>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</si>
  <si>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</si>
  <si>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</si>
  <si>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</si>
  <si>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</si>
  <si>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</si>
  <si>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</si>
  <si>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</si>
  <si>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</si>
  <si>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</si>
  <si>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</si>
  <si>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</si>
  <si>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</si>
  <si>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</si>
  <si>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</si>
  <si>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</si>
  <si>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</si>
  <si>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</si>
  <si>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</si>
  <si>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</si>
  <si>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</si>
  <si>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</si>
  <si>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</si>
  <si>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</si>
  <si>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</si>
  <si>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</si>
  <si>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</si>
  <si>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</si>
  <si>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</si>
  <si>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</si>
  <si>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</si>
  <si>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</si>
  <si>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</si>
  <si>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</si>
  <si>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</si>
  <si>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</si>
  <si>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</si>
  <si>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</si>
  <si>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</si>
  <si>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</si>
  <si>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</si>
  <si>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</si>
  <si>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</si>
  <si>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</si>
  <si>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</si>
  <si>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</si>
  <si>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</si>
  <si>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</si>
  <si>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</si>
  <si>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</si>
  <si>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</si>
  <si>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</si>
  <si>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</si>
  <si>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</si>
  <si>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</si>
  <si>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</si>
  <si>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</si>
  <si>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</si>
  <si>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</si>
  <si>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</si>
  <si>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</si>
  <si>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</si>
  <si>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</si>
  <si>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</si>
  <si>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</si>
  <si>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</si>
  <si>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</si>
  <si>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</si>
  <si>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</si>
  <si>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</si>
  <si>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</si>
  <si>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</si>
  <si>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</si>
  <si>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</si>
  <si>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</si>
  <si>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</si>
  <si>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</si>
  <si>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</si>
  <si>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</si>
  <si>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</si>
  <si>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</si>
  <si>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</si>
  <si>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</si>
  <si>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</si>
  <si>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</si>
  <si>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</si>
  <si>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</si>
  <si>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</si>
  <si>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</si>
  <si>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</si>
  <si>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</si>
  <si>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</si>
  <si>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</si>
  <si>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</si>
  <si>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</si>
  <si>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</si>
  <si>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</si>
  <si>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</si>
  <si>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</si>
  <si>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</si>
  <si>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</si>
  <si>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</si>
  <si>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</si>
  <si>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</si>
  <si>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</si>
  <si>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</si>
  <si>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</si>
  <si>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</si>
  <si>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</si>
  <si>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</si>
  <si>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</si>
  <si>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</si>
  <si>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</si>
  <si>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</si>
  <si>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</si>
  <si>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</si>
  <si>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</si>
  <si>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</si>
  <si>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</si>
  <si>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</si>
  <si>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</si>
  <si>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</si>
  <si>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</si>
  <si>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</si>
  <si>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</si>
  <si>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</si>
  <si>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</si>
  <si>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</si>
  <si>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</si>
  <si>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</si>
  <si>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</si>
  <si>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</si>
  <si>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</si>
  <si>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</si>
  <si>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</si>
  <si>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</si>
  <si>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</si>
  <si>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</si>
  <si>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</si>
  <si>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</si>
  <si>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</si>
  <si>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</si>
  <si>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</si>
  <si>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</si>
  <si>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</si>
  <si>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</si>
  <si>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</si>
  <si>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</si>
  <si>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</si>
  <si>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</si>
  <si>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</si>
  <si>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</si>
  <si>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</si>
  <si>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</si>
  <si>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</si>
  <si>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</si>
  <si>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</si>
  <si>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</si>
  <si>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</si>
  <si>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</si>
  <si>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</si>
  <si>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</si>
  <si>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</si>
  <si>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</si>
  <si>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</si>
  <si>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</si>
  <si>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</si>
  <si>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</si>
  <si>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</si>
  <si>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</si>
  <si>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</si>
  <si>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</si>
  <si>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</si>
  <si>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</si>
  <si>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</si>
  <si>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</si>
  <si>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</si>
  <si>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</si>
  <si>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</si>
  <si>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</si>
  <si>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</si>
  <si>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</si>
  <si>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</si>
  <si>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</si>
  <si>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</si>
  <si>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</si>
  <si>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</si>
  <si>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</si>
  <si>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</si>
  <si>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</si>
  <si>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</si>
  <si>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</si>
  <si>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</si>
  <si>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</si>
  <si>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</si>
  <si>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</si>
  <si>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</si>
  <si>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</si>
  <si>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</si>
  <si>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</si>
  <si>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</si>
  <si>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</si>
  <si>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</si>
  <si>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</si>
  <si>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</si>
  <si>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</si>
  <si>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</si>
  <si>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</si>
  <si>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</si>
  <si>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</si>
  <si>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</si>
  <si>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</si>
  <si>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</si>
  <si>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</si>
  <si>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</si>
  <si>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</si>
  <si>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</si>
  <si>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</si>
  <si>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</si>
  <si>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</si>
  <si>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</si>
  <si>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</si>
  <si>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</si>
  <si>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</si>
  <si>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</si>
  <si>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</si>
  <si>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</si>
  <si>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</si>
  <si>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</si>
  <si>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</si>
  <si>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</si>
  <si>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</si>
  <si>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</si>
  <si>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</si>
  <si>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</si>
  <si>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</si>
  <si>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</si>
  <si>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</si>
  <si>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</si>
  <si>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</si>
  <si>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</si>
  <si>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</si>
  <si>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</si>
  <si>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</si>
  <si>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</si>
  <si>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</si>
  <si>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</si>
  <si>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</si>
  <si>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</si>
  <si>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</si>
  <si>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</si>
  <si>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</si>
  <si>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</si>
  <si>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</si>
  <si>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</si>
  <si>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</si>
  <si>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</si>
  <si>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</si>
  <si>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</si>
  <si>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</si>
  <si>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</si>
  <si>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</si>
  <si>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</si>
  <si>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</si>
  <si>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</si>
  <si>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</si>
  <si>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</si>
  <si>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</si>
  <si>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</si>
  <si>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</si>
  <si>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</si>
  <si>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</si>
  <si>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</si>
  <si>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</si>
  <si>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</si>
  <si>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</si>
  <si>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</si>
  <si>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</si>
  <si>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</si>
  <si>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</si>
  <si>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</si>
  <si>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</si>
  <si>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</si>
  <si>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</si>
  <si>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</si>
  <si>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</si>
  <si>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</si>
  <si>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</si>
  <si>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</si>
  <si>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</si>
  <si>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</si>
  <si>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</si>
  <si>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</si>
  <si>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</si>
  <si>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</si>
  <si>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</si>
  <si>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</si>
  <si>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</si>
  <si>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</si>
  <si>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</si>
  <si>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</si>
  <si>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</si>
  <si>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</si>
  <si>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</si>
  <si>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</si>
  <si>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</si>
  <si>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</si>
  <si>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</si>
  <si>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</si>
  <si>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</si>
  <si>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</si>
  <si>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</si>
  <si>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</si>
  <si>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</si>
  <si>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</si>
  <si>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</si>
  <si>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</si>
  <si>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</si>
  <si>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</si>
  <si>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</si>
  <si>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</si>
  <si>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</si>
  <si>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</si>
  <si>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</si>
  <si>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</si>
  <si>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</si>
  <si>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</si>
  <si>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</si>
  <si>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</si>
  <si>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</si>
  <si>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</si>
  <si>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</si>
  <si>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</si>
  <si>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</si>
  <si>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</si>
  <si>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</si>
  <si>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</si>
  <si>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</si>
  <si>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</si>
  <si>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</si>
  <si>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</si>
  <si>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</si>
  <si>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</si>
  <si>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</si>
  <si>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</si>
  <si>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</si>
  <si>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</si>
  <si>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</si>
  <si>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</si>
  <si>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</si>
  <si>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</si>
  <si>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</si>
  <si>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</si>
  <si>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</si>
  <si>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</si>
  <si>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</si>
  <si>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</si>
  <si>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</si>
  <si>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</si>
  <si>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</si>
  <si>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</si>
  <si>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</si>
  <si>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</si>
  <si>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</si>
  <si>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</si>
  <si>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</si>
  <si>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</si>
  <si>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</si>
  <si>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</si>
  <si>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</si>
  <si>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</si>
  <si>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</si>
  <si>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</si>
  <si>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</si>
  <si>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</si>
  <si>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</si>
  <si>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</si>
  <si>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</si>
  <si>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</si>
  <si>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</si>
  <si>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</si>
  <si>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</si>
  <si>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</si>
  <si>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</si>
  <si>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</si>
  <si>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</si>
  <si>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</si>
  <si>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</si>
  <si>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</si>
  <si>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</si>
  <si>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</si>
  <si>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</si>
  <si>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</si>
  <si>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</si>
  <si>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</si>
  <si>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</si>
  <si>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</si>
  <si>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</si>
  <si>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</si>
  <si>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</si>
  <si>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</si>
  <si>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</si>
  <si>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</si>
  <si>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</si>
  <si>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</si>
  <si>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</si>
  <si>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</si>
  <si>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</si>
  <si>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</si>
  <si>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</si>
  <si>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</si>
  <si>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</si>
  <si>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</si>
  <si>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</si>
  <si>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</si>
  <si>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</si>
  <si>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</si>
  <si>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</si>
  <si>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</si>
  <si>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</si>
  <si>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</si>
  <si>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</si>
  <si>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</si>
  <si>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</si>
  <si>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</si>
  <si>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</si>
  <si>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</si>
  <si>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</si>
  <si>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</si>
  <si>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</si>
  <si>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</si>
  <si>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</si>
  <si>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</si>
  <si>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</si>
  <si>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</si>
  <si>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</si>
  <si>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</si>
  <si>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</si>
  <si>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</si>
  <si>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</si>
  <si>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</si>
  <si>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</si>
  <si>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</si>
  <si>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</si>
  <si>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</si>
  <si>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</si>
  <si>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</si>
  <si>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</si>
  <si>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</si>
  <si>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</si>
  <si>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</si>
  <si>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</si>
  <si>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</si>
  <si>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</si>
  <si>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</si>
  <si>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</si>
  <si>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</si>
  <si>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</si>
  <si>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</si>
  <si>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</si>
  <si>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</si>
  <si>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</si>
  <si>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</si>
  <si>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</si>
  <si>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</si>
  <si>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</si>
  <si>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</si>
  <si>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</si>
  <si>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</si>
  <si>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</si>
  <si>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</si>
  <si>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</si>
  <si>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</si>
  <si>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</si>
  <si>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</si>
  <si>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</si>
  <si>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</si>
  <si>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</si>
  <si>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</si>
  <si>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</si>
  <si>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</si>
  <si>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</si>
  <si>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</si>
  <si>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</si>
  <si>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</si>
  <si>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</si>
  <si>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</si>
  <si>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</si>
  <si>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</si>
  <si>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</si>
  <si>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</si>
  <si>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</si>
  <si>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</si>
  <si>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</si>
  <si>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</si>
  <si>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</si>
  <si>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</si>
  <si>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</si>
  <si>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</si>
  <si>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</si>
  <si>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</si>
  <si>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</si>
  <si>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</si>
  <si>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</si>
  <si>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</si>
  <si>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</si>
  <si>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</si>
  <si>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</si>
  <si>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</si>
  <si>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</si>
  <si>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</si>
  <si>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</si>
  <si>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</si>
  <si>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</si>
  <si>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</si>
  <si>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</si>
  <si>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</si>
  <si>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</si>
  <si>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</si>
  <si>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</si>
  <si>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</si>
  <si>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</si>
  <si>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</si>
  <si>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</si>
  <si>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</si>
  <si>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</si>
  <si>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</si>
  <si>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</si>
  <si>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</si>
  <si>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</si>
  <si>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</si>
  <si>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</si>
  <si>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</si>
  <si>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Domestic Aggregated with Residual</t>
  </si>
  <si>
    <t>Non-Domestic Aggregated No Residual</t>
  </si>
  <si>
    <t>Non-Domestic Aggregated Band 1</t>
  </si>
  <si>
    <t>Non-Domestic Aggregated Band 2</t>
  </si>
  <si>
    <t>Non-Domestic Aggregated Band 3</t>
  </si>
  <si>
    <t>Non-Domestic Aggregated Band 4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</si>
  <si>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</si>
  <si>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</si>
  <si>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</si>
  <si>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</si>
  <si>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</si>
  <si>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</si>
  <si>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</si>
  <si>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</si>
  <si>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</si>
  <si>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</si>
  <si>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</si>
  <si>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</si>
  <si>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</si>
  <si>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</si>
  <si>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</si>
  <si>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</si>
  <si>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</si>
  <si>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</si>
  <si>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</si>
  <si>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</si>
  <si>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</si>
  <si>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</si>
  <si>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</si>
  <si>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</si>
  <si>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</si>
  <si>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</si>
  <si>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</si>
  <si>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</si>
  <si>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</si>
  <si>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</si>
  <si>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</si>
  <si>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</si>
  <si>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</si>
  <si>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</si>
  <si>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</si>
  <si>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</si>
  <si>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</si>
  <si>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</si>
  <si>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</si>
  <si>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</si>
  <si>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</si>
  <si>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</si>
  <si>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</si>
  <si>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</si>
  <si>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</si>
  <si>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</si>
  <si>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</si>
  <si>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</si>
  <si>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</si>
  <si>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</si>
  <si>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</si>
  <si>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</si>
  <si>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</si>
  <si>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</si>
  <si>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</si>
  <si>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</si>
  <si>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</si>
  <si>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</si>
  <si>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</si>
  <si>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</si>
  <si>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</si>
  <si>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</si>
  <si>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</si>
  <si>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</si>
  <si>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</si>
  <si>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</si>
  <si>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</si>
  <si>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</si>
  <si>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</si>
  <si>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</si>
  <si>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</si>
  <si>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</si>
  <si>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</si>
  <si>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</si>
  <si>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</si>
  <si>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</si>
  <si>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</si>
  <si>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</si>
  <si>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</si>
  <si>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</si>
  <si>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</si>
  <si>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</si>
  <si>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</si>
  <si>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</si>
  <si>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</si>
  <si>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</si>
  <si>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</si>
  <si>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</si>
  <si>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</si>
  <si>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</si>
  <si>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</si>
  <si>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</si>
  <si>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</si>
  <si>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</si>
  <si>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</si>
  <si>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</si>
  <si>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</si>
  <si>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</si>
  <si>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</si>
  <si>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</si>
  <si>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</si>
  <si>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</si>
  <si>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</si>
  <si>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</si>
  <si>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</si>
  <si>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</si>
  <si>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</si>
  <si>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</si>
  <si>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</si>
  <si>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</si>
  <si>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</si>
  <si>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</si>
  <si>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</si>
  <si>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</si>
  <si>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</si>
  <si>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</si>
  <si>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</si>
  <si>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</si>
  <si>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</si>
  <si>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</si>
  <si>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</si>
  <si>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</si>
  <si>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</si>
  <si>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</si>
  <si>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</si>
  <si>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</si>
  <si>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</si>
  <si>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</si>
  <si>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</si>
  <si>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</si>
  <si>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</si>
  <si>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</si>
  <si>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</si>
  <si>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</si>
  <si>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</si>
  <si>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</si>
  <si>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</si>
  <si>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</si>
  <si>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</si>
  <si>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</si>
  <si>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</si>
  <si>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</si>
  <si>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</si>
  <si>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</si>
  <si>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</si>
  <si>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</si>
  <si>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</si>
  <si>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</si>
  <si>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</si>
  <si>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</si>
  <si>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</si>
  <si>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</si>
  <si>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</si>
  <si>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</si>
  <si>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</si>
  <si>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</si>
  <si>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</si>
  <si>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</si>
  <si>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</si>
  <si>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</si>
  <si>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</si>
  <si>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</si>
  <si>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</si>
  <si>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</si>
  <si>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</si>
  <si>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</si>
  <si>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</si>
  <si>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</si>
  <si>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</si>
  <si>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</si>
  <si>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</si>
  <si>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</si>
  <si>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</si>
  <si>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</si>
  <si>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</si>
  <si>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</si>
  <si>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</si>
  <si>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</si>
  <si>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</si>
  <si>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</si>
  <si>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</si>
  <si>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</si>
  <si>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</si>
  <si>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</si>
  <si>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</si>
  <si>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</si>
  <si>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</si>
  <si>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</si>
  <si>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</si>
  <si>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</si>
  <si>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</si>
  <si>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</si>
  <si>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</si>
  <si>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</si>
  <si>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</si>
  <si>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</si>
  <si>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</si>
  <si>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</si>
  <si>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</si>
  <si>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</si>
  <si>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</si>
  <si>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</si>
  <si>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</si>
  <si>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</si>
  <si>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</si>
  <si>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</si>
  <si>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</si>
  <si>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</si>
  <si>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</si>
  <si>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</si>
  <si>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</si>
  <si>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</si>
  <si>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</si>
  <si>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</si>
  <si>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</si>
  <si>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</si>
  <si>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</si>
  <si>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</si>
  <si>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</si>
  <si>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</si>
  <si>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</si>
  <si>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</si>
  <si>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</si>
  <si>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</si>
  <si>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</si>
  <si>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</si>
  <si>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</si>
  <si>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</si>
  <si>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</si>
  <si>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</si>
  <si>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</si>
  <si>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</si>
  <si>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</si>
  <si>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</si>
  <si>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</si>
  <si>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</si>
  <si>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</si>
  <si>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</si>
  <si>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</si>
  <si>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</si>
  <si>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Pass-through COVID-19 Bad Debt Adjustment</t>
  </si>
  <si>
    <t>Attachment A_DCP 379 Draft Legal Text.pdf (shared 14/01/2021)</t>
  </si>
  <si>
    <t>The only rows used as inputs to the model itself are "Latest forecast of CDCM Revenue" and "Pass-through… Adjustment" items.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</si>
  <si>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</si>
  <si>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</si>
  <si>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</si>
  <si>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</si>
  <si>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Attachment A_2024-25 Charging Methodologies Pre-Release (shared 06/10/2022)</t>
  </si>
  <si>
    <t>Release for 2024/25 charge setting</t>
  </si>
  <si>
    <t>2024/25</t>
  </si>
  <si>
    <t>Release for charge setting.</t>
  </si>
  <si>
    <t>One</t>
  </si>
  <si>
    <t>SP Distribution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</si>
  <si>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</si>
  <si>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</si>
  <si>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</si>
  <si>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</si>
  <si>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</si>
  <si>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</si>
  <si>
    <t>RPI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</si>
</sst>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05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Border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1" fillId="5" borderId="0" xfId="49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Alignment="1">
      <alignment vertical="center" wrapText="1"/>
    </xf>
    <xf numFmtId="0" fontId="1" fillId="3" borderId="0" xfId="1" applyNumberFormat="1" applyAlignment="1">
      <alignment vertical="center"/>
    </xf>
    <xf numFmtId="0" fontId="2" fillId="0" borderId="0" xfId="53"/>
    <xf numFmtId="0" fontId="8" fillId="0" borderId="2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2" fillId="0" borderId="0" xfId="0" applyFont="1"/>
    <xf numFmtId="0" fontId="0" fillId="0" borderId="0" xfId="0" applyAlignment="1">
      <alignment wrapText="1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2" xfId="0" applyBorder="1" applyAlignment="1">
      <alignment vertical="top"/>
    </xf>
    <xf numFmtId="0" fontId="1" fillId="5" borderId="0" xfId="49"/>
    <xf numFmtId="0" fontId="0" fillId="0" borderId="3" xfId="0" applyBorder="1" applyAlignment="1">
      <alignment vertical="top"/>
    </xf>
    <xf numFmtId="0" fontId="5" fillId="0" borderId="0" xfId="0" applyFo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19" xfId="60" applyNumberFormat="1" applyBorder="1" applyAlignment="1"/>
    <xf numFmtId="0" fontId="2" fillId="0" borderId="0" xfId="53" applyNumberFormat="1" applyBorder="1"/>
    <xf numFmtId="0" fontId="0" fillId="40" borderId="0" xfId="0" applyFill="1"/>
    <xf numFmtId="0" fontId="0" fillId="42" borderId="0" xfId="0" applyFill="1"/>
    <xf numFmtId="0" fontId="2" fillId="0" borderId="3" xfId="53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/>
    <xf numFmtId="0" fontId="0" fillId="43" borderId="3" xfId="0" applyFill="1" applyBorder="1"/>
    <xf numFmtId="0" fontId="1" fillId="3" borderId="20" xfId="1" applyNumberFormat="1" applyBorder="1" applyAlignment="1"/>
    <xf numFmtId="0" fontId="26" fillId="44" borderId="0" xfId="54" quotePrefix="1" applyFill="1"/>
    <xf numFmtId="0" fontId="26" fillId="44" borderId="21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1" xfId="54" quotePrefix="1" applyFill="1" applyBorder="1"/>
    <xf numFmtId="0" fontId="26" fillId="37" borderId="0" xfId="54" quotePrefix="1" applyFill="1"/>
    <xf numFmtId="0" fontId="26" fillId="37" borderId="21" xfId="54" quotePrefix="1" applyFill="1" applyBorder="1"/>
    <xf numFmtId="0" fontId="26" fillId="46" borderId="0" xfId="54" quotePrefix="1" applyFill="1"/>
    <xf numFmtId="0" fontId="26" fillId="46" borderId="21" xfId="54" quotePrefix="1" applyFill="1" applyBorder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/>
    <xf numFmtId="0" fontId="7" fillId="0" borderId="0" xfId="50" applyAlignment="1">
      <alignment vertical="top" wrapText="1"/>
    </xf>
    <xf numFmtId="166" fontId="35" fillId="0" borderId="0" xfId="52" applyNumberFormat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Font="1" applyAlignment="1">
      <alignment horizontal="left" indent="1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Border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8" fillId="4" borderId="2" xfId="55" applyNumberFormat="1" applyBorder="1" applyAlignment="1">
      <alignment horizontal="right" vertical="top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Alignment="1">
      <alignment horizontal="left"/>
    </xf>
    <xf numFmtId="171" fontId="35" fillId="0" borderId="3" xfId="52" applyNumberFormat="1" applyBorder="1"/>
    <xf numFmtId="171" fontId="0" fillId="0" borderId="3" xfId="0" applyNumberFormat="1" applyBorder="1" applyAlignment="1">
      <alignment horizontal="left"/>
    </xf>
    <xf numFmtId="171" fontId="22" fillId="0" borderId="0" xfId="0" applyNumberFormat="1" applyFont="1" applyAlignment="1">
      <alignment horizontal="left"/>
    </xf>
    <xf numFmtId="171" fontId="0" fillId="0" borderId="3" xfId="0" applyNumberFormat="1" applyBorder="1"/>
    <xf numFmtId="171" fontId="8" fillId="0" borderId="0" xfId="60" applyNumberFormat="1" applyBorder="1" applyAlignment="1"/>
    <xf numFmtId="171" fontId="22" fillId="0" borderId="0" xfId="0" applyNumberFormat="1" applyFont="1"/>
    <xf numFmtId="171" fontId="0" fillId="0" borderId="2" xfId="0" applyNumberForma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0" fontId="26" fillId="48" borderId="0" xfId="54" quotePrefix="1" applyFill="1"/>
    <xf numFmtId="0" fontId="26" fillId="48" borderId="21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2" borderId="0" xfId="51" applyNumberFormat="1" applyBorder="1" applyAlignment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>
      <protection locked="0"/>
    </xf>
    <xf numFmtId="0" fontId="8" fillId="39" borderId="0" xfId="51" applyFill="1" applyBorder="1">
      <protection locked="0"/>
    </xf>
    <xf numFmtId="166" fontId="8" fillId="2" borderId="0" xfId="51" applyNumberFormat="1" applyBorder="1" applyAlignment="1">
      <alignment horizontal="left" vertical="top" wrapText="1"/>
      <protection locked="0"/>
    </xf>
    <xf numFmtId="0" fontId="8" fillId="2" borderId="0" xfId="51" applyNumberFormat="1" applyBorder="1">
      <protection locked="0"/>
    </xf>
    <xf numFmtId="0" fontId="8" fillId="2" borderId="0" xfId="51">
      <protection locked="0"/>
    </xf>
    <xf numFmtId="0" fontId="8" fillId="2" borderId="2" xfId="51" applyBorder="1" applyAlignment="1">
      <alignment horizontal="right"/>
      <protection locked="0"/>
    </xf>
    <xf numFmtId="0" fontId="8" fillId="2" borderId="0" xfId="5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3" xfId="51" applyNumberFormat="1" applyBorder="1" applyAlignment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3" xfId="51" applyNumberFormat="1" applyBorder="1" applyAlignment="1">
      <alignment horizontal="right"/>
      <protection locked="0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171" fontId="8" fillId="2" borderId="3" xfId="51" applyNumberFormat="1" applyBorder="1">
      <protection locked="0"/>
    </xf>
    <xf numFmtId="10" fontId="8" fillId="2" borderId="0" xfId="51" applyNumberFormat="1" applyBorder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3" xfId="55" applyNumberFormat="1" applyBorder="1" applyProtection="1">
      <alignment vertical="top"/>
      <protection locked="0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66" fontId="0" fillId="2" borderId="0" xfId="51" applyNumberFormat="1" applyFont="1" applyBorder="1" applyAlignment="1">
      <alignment horizontal="left" vertical="top" wrapText="1"/>
      <protection locked="0"/>
    </xf>
    <xf numFmtId="0" fontId="8" fillId="2" borderId="0" xfId="51" applyAlignment="1">
      <alignment wrapText="1"/>
      <protection locked="0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>
      <alignment horizontal="left" vertical="top" wrapText="1"/>
      <protection locked="0"/>
    </xf>
    <xf numFmtId="0" fontId="8" fillId="2" borderId="0" xfId="51" applyAlignment="1">
      <alignment horizontal="left" vertical="top" wrapText="1"/>
      <protection locked="0"/>
    </xf>
    <xf numFmtId="166" fontId="0" fillId="2" borderId="0" xfId="51" applyNumberFormat="1" applyFont="1" applyAlignment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0" fontId="7" fillId="0" borderId="0" xfId="53" applyFont="1" applyBorder="1"/>
    <xf numFmtId="173" fontId="8" fillId="0" borderId="0" xfId="60" applyNumberFormat="1" applyBorder="1" applyAlignment="1"/>
    <xf numFmtId="9" fontId="34" fillId="0" borderId="0" xfId="56" applyNumberFormat="1"/>
    <xf numFmtId="0" fontId="7" fillId="38" borderId="2" xfId="59" applyBorder="1" applyAlignment="1">
      <alignment horizontal="right"/>
    </xf>
    <xf numFmtId="0" fontId="7" fillId="38" borderId="0" xfId="59" applyBorder="1" applyAlignment="1">
      <alignment horizontal="right"/>
    </xf>
    <xf numFmtId="0" fontId="7" fillId="38" borderId="3" xfId="59" applyBorder="1" applyAlignment="1">
      <alignment horizontal="right"/>
    </xf>
    <xf numFmtId="0" fontId="7" fillId="38" borderId="0" xfId="59" applyBorder="1" applyAlignment="1"/>
    <xf numFmtId="0" fontId="36" fillId="0" borderId="0" xfId="58" applyAlignment="1">
      <alignment vertical="top"/>
    </xf>
    <xf numFmtId="9" fontId="8" fillId="0" borderId="2" xfId="60" applyNumberFormat="1" applyBorder="1" applyAlignment="1">
      <alignment horizontal="right"/>
    </xf>
    <xf numFmtId="171" fontId="34" fillId="0" borderId="0" xfId="56" applyNumberFormat="1" applyBorder="1"/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0" fontId="7" fillId="38" borderId="0" xfId="59" applyAlignmen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7" fillId="38" borderId="0" xfId="59" applyNumberFormat="1" applyAlignment="1">
      <alignment horizontal="right"/>
    </xf>
    <xf numFmtId="9" fontId="8" fillId="0" borderId="0" xfId="6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0" fontId="7" fillId="0" borderId="0" xfId="50" applyNumberFormat="1"/>
    <xf numFmtId="0" fontId="36" fillId="0" borderId="3" xfId="58" applyBorder="1"/>
    <xf numFmtId="171" fontId="8" fillId="39" borderId="0" xfId="65" applyNumberFormat="1" applyFont="1" applyBorder="1" applyAlignment="1">
      <alignment horizontal="right"/>
    </xf>
    <xf numFmtId="3" fontId="8" fillId="0" borderId="4" xfId="60" applyNumberFormat="1" applyBorder="1" applyAlignment="1"/>
    <xf numFmtId="171" fontId="34" fillId="0" borderId="0" xfId="56" applyNumberFormat="1" applyProtection="1">
      <protection locked="0"/>
    </xf>
    <xf numFmtId="176" fontId="34" fillId="0" borderId="0" xfId="56" applyNumberFormat="1"/>
    <xf numFmtId="171" fontId="22" fillId="4" borderId="0" xfId="55" applyNumberFormat="1" applyFont="1" applyBorder="1">
      <alignment vertical="top"/>
    </xf>
    <xf numFmtId="171" fontId="2" fillId="0" borderId="0" xfId="0" applyNumberFormat="1" applyFont="1" applyAlignment="1">
      <alignment horizontal="right"/>
    </xf>
    <xf numFmtId="171" fontId="8" fillId="4" borderId="0" xfId="55" applyNumberFormat="1" applyBorder="1" applyProtection="1">
      <alignment vertical="top"/>
      <protection locked="0"/>
    </xf>
    <xf numFmtId="9" fontId="8" fillId="2" borderId="2" xfId="51" applyNumberFormat="1" applyBorder="1">
      <protection locked="0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35" fillId="0" borderId="3" xfId="52" applyNumberFormat="1" applyBorder="1" applyAlignment="1">
      <alignment vertical="top"/>
    </xf>
    <xf numFmtId="9" fontId="0" fillId="0" borderId="3" xfId="0" applyNumberFormat="1" applyBorder="1" applyAlignment="1">
      <alignment horizontal="right"/>
    </xf>
    <xf numFmtId="9" fontId="8" fillId="2" borderId="3" xfId="51" applyNumberFormat="1" applyBorder="1" applyAlignment="1">
      <alignment vertical="top"/>
      <protection locked="0"/>
    </xf>
    <xf numFmtId="171" fontId="34" fillId="0" borderId="4" xfId="56" applyNumberFormat="1" applyBorder="1" applyAlignment="1">
      <alignment horizontal="right"/>
    </xf>
    <xf numFmtId="173" fontId="8" fillId="0" borderId="4" xfId="60" applyNumberFormat="1" applyBorder="1" applyAlignment="1"/>
    <xf numFmtId="173" fontId="35" fillId="0" borderId="4" xfId="52" applyNumberFormat="1" applyBorder="1"/>
    <xf numFmtId="0" fontId="34" fillId="0" borderId="4" xfId="56" applyNumberFormat="1" applyBorder="1" applyAlignment="1">
      <alignment horizontal="right"/>
    </xf>
    <xf numFmtId="0" fontId="0" fillId="49" borderId="0" xfId="0" applyFill="1"/>
    <xf numFmtId="171" fontId="35" fillId="49" borderId="0" xfId="52" applyNumberFormat="1" applyFill="1" applyBorder="1"/>
    <xf numFmtId="171" fontId="0" fillId="49" borderId="0" xfId="0" applyNumberFormat="1" applyFill="1"/>
    <xf numFmtId="0" fontId="2" fillId="49" borderId="0" xfId="0" applyFont="1" applyFill="1"/>
    <xf numFmtId="0" fontId="5" fillId="49" borderId="0" xfId="0" applyFont="1" applyFill="1"/>
    <xf numFmtId="0" fontId="34" fillId="49" borderId="0" xfId="56" applyNumberFormat="1" applyFill="1" applyBorder="1"/>
    <xf numFmtId="171" fontId="34" fillId="49" borderId="0" xfId="56" applyNumberFormat="1" applyFill="1"/>
    <xf numFmtId="171" fontId="34" fillId="49" borderId="0" xfId="56" applyNumberFormat="1" applyFill="1" applyBorder="1"/>
    <xf numFmtId="0" fontId="0" fillId="49" borderId="0" xfId="0" applyFill="1" applyAlignment="1">
      <alignment horizontal="right"/>
    </xf>
    <xf numFmtId="171" fontId="34" fillId="49" borderId="0" xfId="56" applyNumberFormat="1" applyFill="1" applyAlignment="1">
      <alignment horizontal="right"/>
    </xf>
    <xf numFmtId="171" fontId="8" fillId="49" borderId="0" xfId="60" applyNumberFormat="1" applyFill="1" applyBorder="1" applyAlignment="1">
      <alignment horizontal="right"/>
    </xf>
    <xf numFmtId="0" fontId="0" fillId="49" borderId="4" xfId="0" applyFill="1" applyBorder="1"/>
    <xf numFmtId="171" fontId="8" fillId="49" borderId="4" xfId="60" applyNumberFormat="1" applyFill="1" applyBorder="1" applyAlignment="1">
      <alignment horizontal="right"/>
    </xf>
    <xf numFmtId="4" fontId="0" fillId="49" borderId="0" xfId="0" applyNumberFormat="1" applyFill="1" applyAlignment="1">
      <alignment horizontal="right"/>
    </xf>
    <xf numFmtId="171" fontId="35" fillId="0" borderId="4" xfId="52" applyNumberFormat="1" applyBorder="1" applyAlignment="1">
      <alignment horizontal="right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 wrapText="1"/>
      <protection locked="0"/>
    </xf>
    <xf numFmtId="0" fontId="8" fillId="2" borderId="3" xfId="51" applyBorder="1" applyAlignment="1" applyProtection="1">
      <alignment horizontal="right" wrapText="1"/>
      <protection locked="0"/>
    </xf>
    <xf numFmtId="0" fontId="8" fillId="2" borderId="0" xfId="51" applyBorder="1" applyAlignment="1" applyProtection="1">
      <alignment horizontal="right"/>
      <protection locked="0"/>
    </xf>
    <xf numFmtId="0" fontId="0" fillId="0" borderId="3" xfId="0" applyBorder="1" applyAlignment="1">
      <alignment horizontal="left" vertical="top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20" fillId="41" borderId="0" xfId="0" applyFont="1" applyFill="1"/>
    <xf numFmtId="172" fontId="8" fillId="2" borderId="0" xfId="51" applyNumberFormat="1" applyBorder="1">
      <protection locked="0"/>
    </xf>
    <xf numFmtId="0" fontId="0" fillId="50" borderId="0" xfId="0" applyFill="1"/>
    <xf numFmtId="0" fontId="8" fillId="2" borderId="15" xfId="51" applyBorder="1" applyAlignment="1">
      <alignment horizontal="left" vertical="top"/>
      <protection locked="0"/>
    </xf>
    <xf numFmtId="0" fontId="8" fillId="2" borderId="16" xfId="51" applyBorder="1" applyAlignment="1">
      <alignment horizontal="left" vertical="top"/>
      <protection locked="0"/>
    </xf>
    <xf numFmtId="0" fontId="8" fillId="2" borderId="17" xfId="51" applyBorder="1" applyAlignment="1">
      <alignment horizontal="left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587692</xdr:colOff>
      <xdr:row>3</xdr:row>
      <xdr:rowOff>20633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698738</xdr:colOff>
      <xdr:row>4</xdr:row>
      <xdr:rowOff>98940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796667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797412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797412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54867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54867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7966679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20</xdr:row>
          <xdr:rowOff>47625</xdr:rowOff>
        </xdr:from>
        <xdr:to>
          <xdr:col>7</xdr:col>
          <xdr:colOff>1666875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opLeftCell="A13" zoomScale="80" zoomScaleNormal="80" workbookViewId="0">
      <selection activeCell="D25" sqref="D25"/>
    </sheetView>
  </sheetViews>
  <sheetFormatPr defaultColWidth="0" defaultRowHeight="15" customHeight="1" x14ac:dyDescent="0.25"/>
  <cols>
    <col min="1" max="1" width="2.5703125" style="19" customWidth="1"/>
    <col min="2" max="2" width="22.5703125" style="19" customWidth="1"/>
    <col min="3" max="3" width="2.5703125" style="19" customWidth="1"/>
    <col min="4" max="4" width="100.42578125" style="23" customWidth="1"/>
    <col min="5" max="5" width="2.5703125" style="19" customWidth="1"/>
    <col min="6" max="16384" width="9.140625" style="19" hidden="1"/>
  </cols>
  <sheetData>
    <row r="2" spans="2:4" ht="28.5" x14ac:dyDescent="0.25">
      <c r="D2" s="20" t="s">
        <v>675</v>
      </c>
    </row>
    <row r="4" spans="2:4" ht="21" x14ac:dyDescent="0.25">
      <c r="D4" s="407" t="s">
        <v>1255</v>
      </c>
    </row>
    <row r="5" spans="2:4" x14ac:dyDescent="0.25">
      <c r="D5" s="21"/>
    </row>
    <row r="6" spans="2:4" x14ac:dyDescent="0.25">
      <c r="B6" s="22" t="str">
        <f>'Version control'!F7</f>
        <v>Model date:</v>
      </c>
      <c r="D6" s="40">
        <f>'Version control'!H7</f>
        <v>44861</v>
      </c>
    </row>
    <row r="7" spans="2:4" ht="15" customHeight="1" x14ac:dyDescent="0.25">
      <c r="D7" s="41"/>
    </row>
    <row r="8" spans="2:4" ht="15" customHeight="1" x14ac:dyDescent="0.25">
      <c r="B8" s="22" t="str">
        <f>'Version control'!F9</f>
        <v>Development stage:</v>
      </c>
      <c r="D8" s="40" t="str">
        <f>'Version control'!H9</f>
        <v>Release for charge setting</v>
      </c>
    </row>
    <row r="9" spans="2:4" ht="15" customHeight="1" x14ac:dyDescent="0.25">
      <c r="D9" s="41"/>
    </row>
    <row r="10" spans="2:4" ht="15" customHeight="1" x14ac:dyDescent="0.25">
      <c r="B10" s="22" t="str">
        <f>'Version control'!F11</f>
        <v>Model number:</v>
      </c>
      <c r="D10" s="115">
        <f>'Version control'!H11</f>
        <v>7</v>
      </c>
    </row>
    <row r="11" spans="2:4" ht="15" customHeight="1" x14ac:dyDescent="0.25">
      <c r="D11" s="41"/>
    </row>
    <row r="12" spans="2:4" ht="15" customHeight="1" x14ac:dyDescent="0.25">
      <c r="B12" s="22" t="str">
        <f>'Version control'!F13</f>
        <v>DCUSA text version:</v>
      </c>
      <c r="D12" s="40" t="str">
        <f>'Version control'!H13</f>
        <v>Attachment A_2024-25 Charging Methodologies Pre-Release (shared 06/10/2022)</v>
      </c>
    </row>
    <row r="13" spans="2:4" ht="15" customHeight="1" x14ac:dyDescent="0.25">
      <c r="D13" s="41"/>
    </row>
    <row r="14" spans="2:4" ht="15" customHeight="1" x14ac:dyDescent="0.25">
      <c r="B14" s="22" t="str">
        <f>'Version control'!F15</f>
        <v>DCUSA text schedule:</v>
      </c>
      <c r="D14" s="40" t="str">
        <f>'Version control'!H15</f>
        <v>Schedules 16 &amp; 20</v>
      </c>
    </row>
    <row r="16" spans="2:4" ht="30" x14ac:dyDescent="0.25">
      <c r="B16" s="22" t="s">
        <v>159</v>
      </c>
      <c r="D16" s="189" t="s">
        <v>1231</v>
      </c>
    </row>
    <row r="17" spans="2:4" x14ac:dyDescent="0.25">
      <c r="D17" s="23" t="s">
        <v>1230</v>
      </c>
    </row>
    <row r="18" spans="2:4" x14ac:dyDescent="0.25">
      <c r="D18" s="19"/>
    </row>
    <row r="19" spans="2:4" ht="15" customHeight="1" x14ac:dyDescent="0.25">
      <c r="B19" s="22" t="s">
        <v>187</v>
      </c>
      <c r="D19" s="265" t="s">
        <v>1256</v>
      </c>
    </row>
    <row r="21" spans="2:4" ht="15" customHeight="1" x14ac:dyDescent="0.25">
      <c r="B21" s="22" t="s">
        <v>188</v>
      </c>
      <c r="D21" s="265" t="s">
        <v>1259</v>
      </c>
    </row>
    <row r="23" spans="2:4" ht="15" customHeight="1" x14ac:dyDescent="0.25">
      <c r="B23" s="22" t="s">
        <v>217</v>
      </c>
      <c r="D23" s="265" t="s">
        <v>1258</v>
      </c>
    </row>
    <row r="25" spans="2:4" ht="30" customHeight="1" x14ac:dyDescent="0.25">
      <c r="B25" s="22" t="s">
        <v>165</v>
      </c>
      <c r="D25" s="265"/>
    </row>
    <row r="26" spans="2:4" ht="15" customHeight="1" x14ac:dyDescent="0.25">
      <c r="B26" s="22"/>
    </row>
    <row r="27" spans="2:4" ht="15" customHeight="1" x14ac:dyDescent="0.25">
      <c r="B27" s="22" t="s">
        <v>160</v>
      </c>
    </row>
    <row r="28" spans="2:4" customFormat="1" ht="15" customHeight="1" x14ac:dyDescent="0.25">
      <c r="B28" s="160" t="s">
        <v>161</v>
      </c>
      <c r="C28" s="32"/>
      <c r="D28" s="32" t="s">
        <v>90</v>
      </c>
    </row>
    <row r="29" spans="2:4" customFormat="1" x14ac:dyDescent="0.25">
      <c r="B29" s="161"/>
      <c r="C29" s="80"/>
      <c r="D29" s="80" t="s">
        <v>163</v>
      </c>
    </row>
    <row r="30" spans="2:4" customFormat="1" x14ac:dyDescent="0.25">
      <c r="B30" s="266" t="s">
        <v>554</v>
      </c>
      <c r="D30" t="s">
        <v>162</v>
      </c>
    </row>
    <row r="31" spans="2:4" customFormat="1" x14ac:dyDescent="0.25">
      <c r="B31" s="267" t="s">
        <v>554</v>
      </c>
      <c r="D31" t="s">
        <v>239</v>
      </c>
    </row>
    <row r="32" spans="2:4" customFormat="1" x14ac:dyDescent="0.25">
      <c r="B32" s="268" t="s">
        <v>554</v>
      </c>
      <c r="D32" t="s">
        <v>555</v>
      </c>
    </row>
    <row r="33" spans="2:4" customFormat="1" x14ac:dyDescent="0.25">
      <c r="B33" s="150" t="s">
        <v>554</v>
      </c>
      <c r="D33" t="s">
        <v>164</v>
      </c>
    </row>
    <row r="34" spans="2:4" customFormat="1" x14ac:dyDescent="0.25">
      <c r="B34" s="113" t="s">
        <v>554</v>
      </c>
      <c r="D34" t="s">
        <v>556</v>
      </c>
    </row>
    <row r="35" spans="2:4" customFormat="1" x14ac:dyDescent="0.25">
      <c r="B35" s="128" t="s">
        <v>554</v>
      </c>
      <c r="D35" t="s">
        <v>557</v>
      </c>
    </row>
    <row r="36" spans="2:4" customFormat="1" x14ac:dyDescent="0.25">
      <c r="B36" s="162" t="s">
        <v>554</v>
      </c>
      <c r="D36" t="s">
        <v>558</v>
      </c>
    </row>
    <row r="37" spans="2:4" customFormat="1" x14ac:dyDescent="0.25">
      <c r="B37" s="148" t="s">
        <v>559</v>
      </c>
      <c r="D37" t="s">
        <v>560</v>
      </c>
    </row>
    <row r="38" spans="2:4" customFormat="1" ht="15" customHeight="1" x14ac:dyDescent="0.25">
      <c r="B38" s="73" t="s">
        <v>559</v>
      </c>
      <c r="D38" t="s">
        <v>561</v>
      </c>
    </row>
    <row r="39" spans="2:4" customFormat="1" ht="15" customHeight="1" x14ac:dyDescent="0.25">
      <c r="B39" s="32" t="s">
        <v>559</v>
      </c>
      <c r="D39" t="s">
        <v>562</v>
      </c>
    </row>
    <row r="40" spans="2:4" customFormat="1" ht="15" customHeight="1" x14ac:dyDescent="0.25">
      <c r="B40" s="58" t="s">
        <v>559</v>
      </c>
      <c r="D40" t="s">
        <v>563</v>
      </c>
    </row>
    <row r="41" spans="2:4" customFormat="1" ht="15" customHeight="1" x14ac:dyDescent="0.25">
      <c r="B41" s="57" t="s">
        <v>559</v>
      </c>
      <c r="D41" t="s">
        <v>564</v>
      </c>
    </row>
    <row r="42" spans="2:4" customFormat="1" ht="15" customHeight="1" x14ac:dyDescent="0.25">
      <c r="B42" s="163" t="s">
        <v>559</v>
      </c>
      <c r="D42" t="s">
        <v>565</v>
      </c>
    </row>
    <row r="43" spans="2:4" customFormat="1" ht="15" customHeight="1" x14ac:dyDescent="0.25">
      <c r="B43" s="164" t="s">
        <v>566</v>
      </c>
      <c r="D43" t="s">
        <v>567</v>
      </c>
    </row>
    <row r="44" spans="2:4" customFormat="1" ht="15" customHeight="1" x14ac:dyDescent="0.25">
      <c r="B44" s="188" t="s">
        <v>566</v>
      </c>
      <c r="D44" t="s">
        <v>641</v>
      </c>
    </row>
    <row r="45" spans="2:4" customFormat="1" ht="15" customHeight="1" x14ac:dyDescent="0.25">
      <c r="B45" s="170" t="s">
        <v>566</v>
      </c>
      <c r="D45" t="s">
        <v>568</v>
      </c>
    </row>
    <row r="46" spans="2:4" customFormat="1" ht="15" customHeight="1" x14ac:dyDescent="0.25">
      <c r="B46" s="165" t="s">
        <v>566</v>
      </c>
      <c r="D46" t="s">
        <v>569</v>
      </c>
    </row>
    <row r="47" spans="2:4" customFormat="1" ht="15" customHeight="1" x14ac:dyDescent="0.25">
      <c r="B47" s="171" t="s">
        <v>566</v>
      </c>
      <c r="C47" s="17"/>
      <c r="D47" s="17" t="s">
        <v>570</v>
      </c>
    </row>
    <row r="48" spans="2:4" ht="15" customHeight="1" x14ac:dyDescent="0.25">
      <c r="D48" s="24"/>
    </row>
    <row r="49" spans="2:4" ht="15" customHeight="1" x14ac:dyDescent="0.25">
      <c r="B49" s="23"/>
    </row>
    <row r="50" spans="2:4" ht="15" customHeight="1" x14ac:dyDescent="0.25">
      <c r="B50" s="25"/>
    </row>
    <row r="51" spans="2:4" ht="15" customHeight="1" x14ac:dyDescent="0.25">
      <c r="B51" s="25"/>
    </row>
    <row r="52" spans="2:4" ht="15" customHeight="1" x14ac:dyDescent="0.25">
      <c r="B52" s="25"/>
    </row>
    <row r="53" spans="2:4" ht="15" customHeight="1" x14ac:dyDescent="0.25">
      <c r="B53" s="25"/>
      <c r="D53" s="19"/>
    </row>
  </sheetData>
  <sheetProtection sheet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77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M80"/>
  <sheetViews>
    <sheetView showGridLines="0" zoomScale="80" zoomScaleNormal="80" workbookViewId="0">
      <pane ySplit="3" topLeftCell="A8" activePane="bottomLeft" state="frozen"/>
      <selection pane="bottomLeft"/>
    </sheetView>
  </sheetViews>
  <sheetFormatPr defaultColWidth="0" defaultRowHeight="15" x14ac:dyDescent="0.25"/>
  <cols>
    <col min="1" max="5" width="2.5703125" style="46" customWidth="1"/>
    <col min="6" max="6" width="20.5703125" style="46" customWidth="1"/>
    <col min="7" max="7" width="22.5703125" style="46" customWidth="1"/>
    <col min="8" max="8" width="24.42578125" style="46" customWidth="1"/>
    <col min="9" max="9" width="30.5703125" style="46" customWidth="1"/>
    <col min="10" max="10" width="19.42578125" style="46" bestFit="1" customWidth="1"/>
    <col min="11" max="11" width="10.5703125" style="46" customWidth="1"/>
    <col min="12" max="12" width="82.5703125" style="46" customWidth="1"/>
    <col min="13" max="13" width="2.5703125" style="46" customWidth="1"/>
    <col min="14" max="16384" width="9.140625" style="46" hidden="1"/>
  </cols>
  <sheetData>
    <row r="1" spans="1:13" s="8" customFormat="1" x14ac:dyDescent="0.25">
      <c r="A1" s="8" t="str">
        <f ca="1">MID(CELL("filename",A1),FIND("]",CELL("filename",A1))+1,255)</f>
        <v>Version control</v>
      </c>
    </row>
    <row r="2" spans="1:13" s="8" customFormat="1" x14ac:dyDescent="0.25">
      <c r="A2" s="8" t="str">
        <f>Cover!D21&amp;" - "&amp;Cover!D23</f>
        <v>SP Distribution - One</v>
      </c>
    </row>
    <row r="3" spans="1:1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13" customFormat="1" x14ac:dyDescent="0.25">
      <c r="A4" s="194" t="str">
        <f>J63 &amp; IF(J63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13" x14ac:dyDescent="0.25">
      <c r="A5" s="44"/>
      <c r="B5" s="42" t="s">
        <v>218</v>
      </c>
      <c r="C5" s="42"/>
      <c r="D5" s="42"/>
      <c r="E5" s="42"/>
      <c r="F5" s="42"/>
      <c r="G5" s="47"/>
      <c r="H5" s="47"/>
      <c r="I5" s="47"/>
      <c r="J5" s="47"/>
      <c r="K5" s="47"/>
      <c r="L5" s="42"/>
    </row>
    <row r="6" spans="1:13" x14ac:dyDescent="0.25">
      <c r="A6" s="44"/>
      <c r="B6" s="44"/>
      <c r="C6" s="44"/>
      <c r="D6" s="44"/>
      <c r="E6" s="44"/>
      <c r="F6" s="44"/>
      <c r="G6" s="45"/>
      <c r="H6" s="45"/>
      <c r="I6" s="45"/>
      <c r="J6" s="45"/>
      <c r="K6" s="45"/>
      <c r="L6" s="44"/>
    </row>
    <row r="7" spans="1:13" x14ac:dyDescent="0.25">
      <c r="A7" s="44"/>
      <c r="B7" s="44"/>
      <c r="C7" s="44"/>
      <c r="D7" s="44"/>
      <c r="F7" s="44" t="s">
        <v>219</v>
      </c>
      <c r="H7" s="190">
        <f>LOOKUP(2,1/(F20:F32&lt;&gt;""),F20:F32)</f>
        <v>44861</v>
      </c>
      <c r="I7" s="48"/>
      <c r="J7" s="48"/>
      <c r="K7" s="44"/>
      <c r="L7" s="44"/>
    </row>
    <row r="8" spans="1:13" x14ac:dyDescent="0.25">
      <c r="A8" s="44"/>
      <c r="B8" s="44"/>
      <c r="C8" s="44"/>
      <c r="D8" s="44"/>
      <c r="F8" s="44"/>
      <c r="H8" s="44"/>
      <c r="I8" s="45"/>
      <c r="J8" s="45"/>
      <c r="K8" s="44"/>
      <c r="L8" s="44"/>
    </row>
    <row r="9" spans="1:13" x14ac:dyDescent="0.25">
      <c r="A9" s="44"/>
      <c r="B9" s="44"/>
      <c r="C9" s="44"/>
      <c r="D9" s="44"/>
      <c r="F9" s="44" t="s">
        <v>216</v>
      </c>
      <c r="H9" s="192" t="str">
        <f>LOOKUP(2,1/(G20:G32&lt;&gt;""),G20:G32)</f>
        <v>Release for charge setting</v>
      </c>
      <c r="I9" s="49"/>
      <c r="J9" s="49"/>
      <c r="K9" s="44"/>
      <c r="L9" s="44"/>
    </row>
    <row r="10" spans="1:13" x14ac:dyDescent="0.25">
      <c r="A10" s="44"/>
      <c r="B10" s="44"/>
      <c r="C10" s="44"/>
      <c r="D10" s="44"/>
      <c r="F10" s="44"/>
      <c r="H10" s="44"/>
      <c r="I10" s="44"/>
      <c r="J10" s="44"/>
      <c r="K10" s="44"/>
      <c r="L10" s="44"/>
    </row>
    <row r="11" spans="1:13" x14ac:dyDescent="0.25">
      <c r="A11" s="44"/>
      <c r="B11" s="44"/>
      <c r="C11" s="44"/>
      <c r="D11" s="44"/>
      <c r="F11" s="18" t="s">
        <v>921</v>
      </c>
      <c r="H11" s="192">
        <f>LOOKUP(2,1/(H20:H32&lt;&gt;""),H20:H32)</f>
        <v>7</v>
      </c>
      <c r="I11" s="49"/>
      <c r="J11" s="49"/>
      <c r="K11" s="44"/>
      <c r="L11" s="44"/>
    </row>
    <row r="12" spans="1:13" x14ac:dyDescent="0.25">
      <c r="A12" s="44"/>
      <c r="B12" s="44"/>
      <c r="C12" s="44"/>
      <c r="D12" s="44"/>
      <c r="F12" s="44"/>
      <c r="H12" s="44"/>
      <c r="I12" s="45"/>
      <c r="J12" s="45"/>
      <c r="K12" s="44"/>
      <c r="L12" s="44"/>
    </row>
    <row r="13" spans="1:13" customFormat="1" x14ac:dyDescent="0.25">
      <c r="A13" s="18"/>
      <c r="B13" s="18"/>
      <c r="C13" s="18"/>
      <c r="D13" s="18"/>
      <c r="F13" s="44" t="s">
        <v>644</v>
      </c>
      <c r="H13" s="190" t="str">
        <f>LOOKUP(2,1/(I20:I32&lt;&gt;""),I20:I32)</f>
        <v>Attachment A_2024-25 Charging Methodologies Pre-Release (shared 06/10/2022)</v>
      </c>
      <c r="I13" s="191"/>
      <c r="J13" s="191"/>
      <c r="K13" s="191"/>
      <c r="L13" s="18"/>
      <c r="M13" s="18"/>
    </row>
    <row r="14" spans="1:13" customFormat="1" x14ac:dyDescent="0.25">
      <c r="A14" s="18"/>
      <c r="B14" s="18"/>
      <c r="C14" s="18"/>
      <c r="D14" s="18"/>
      <c r="F14" s="18"/>
      <c r="I14" s="191"/>
      <c r="J14" s="191"/>
      <c r="K14" s="191"/>
      <c r="L14" s="18"/>
      <c r="M14" s="18"/>
    </row>
    <row r="15" spans="1:13" x14ac:dyDescent="0.25">
      <c r="A15" s="44"/>
      <c r="B15" s="44"/>
      <c r="C15" s="44"/>
      <c r="D15" s="44"/>
      <c r="F15" s="44" t="s">
        <v>674</v>
      </c>
      <c r="H15" s="192" t="str">
        <f>LOOKUP(2,1/(J20:J32&lt;&gt;""),J20:J32)</f>
        <v>Schedules 16 &amp; 20</v>
      </c>
      <c r="I15" s="45"/>
      <c r="J15" s="45"/>
      <c r="K15" s="44"/>
      <c r="L15" s="44"/>
    </row>
    <row r="16" spans="1:13" x14ac:dyDescent="0.25">
      <c r="A16" s="44"/>
      <c r="B16" s="44"/>
      <c r="C16" s="44"/>
      <c r="D16" s="44"/>
      <c r="E16" s="44"/>
      <c r="F16" s="44"/>
      <c r="H16" s="45"/>
      <c r="I16" s="45"/>
      <c r="J16" s="45"/>
      <c r="K16" s="44"/>
      <c r="L16" s="44"/>
    </row>
    <row r="17" spans="1:12" x14ac:dyDescent="0.25">
      <c r="A17" s="44"/>
      <c r="B17" s="42" t="s">
        <v>226</v>
      </c>
      <c r="C17" s="42"/>
      <c r="D17" s="42"/>
      <c r="E17" s="42"/>
      <c r="F17" s="42"/>
      <c r="G17" s="47"/>
      <c r="H17" s="47"/>
      <c r="I17" s="47"/>
      <c r="J17" s="47"/>
      <c r="K17" s="47"/>
      <c r="L17" s="42"/>
    </row>
    <row r="18" spans="1:12" x14ac:dyDescent="0.25">
      <c r="A18" s="44"/>
      <c r="B18" s="44"/>
      <c r="C18" s="44"/>
      <c r="D18" s="44"/>
      <c r="E18" s="44"/>
      <c r="F18" s="44"/>
      <c r="G18" s="45"/>
      <c r="H18" s="44"/>
      <c r="I18" s="44"/>
      <c r="J18" s="44"/>
      <c r="K18" s="44"/>
      <c r="L18" s="44"/>
    </row>
    <row r="19" spans="1:12" x14ac:dyDescent="0.25">
      <c r="A19" s="44"/>
      <c r="B19" s="44"/>
      <c r="C19" s="44"/>
      <c r="D19" s="44"/>
      <c r="E19" s="44"/>
      <c r="F19" s="50" t="s">
        <v>220</v>
      </c>
      <c r="G19" s="51" t="s">
        <v>221</v>
      </c>
      <c r="H19" s="50" t="s">
        <v>917</v>
      </c>
      <c r="I19" s="51" t="s">
        <v>672</v>
      </c>
      <c r="J19" s="51" t="s">
        <v>673</v>
      </c>
      <c r="K19" s="51" t="s">
        <v>158</v>
      </c>
      <c r="L19" s="51" t="s">
        <v>222</v>
      </c>
    </row>
    <row r="20" spans="1:12" ht="30" x14ac:dyDescent="0.25">
      <c r="A20" s="44"/>
      <c r="B20" s="44"/>
      <c r="C20" s="44"/>
      <c r="D20" s="44"/>
      <c r="E20" s="44"/>
      <c r="F20" s="269">
        <v>43250</v>
      </c>
      <c r="G20" s="265" t="s">
        <v>912</v>
      </c>
      <c r="H20" s="265">
        <v>1</v>
      </c>
      <c r="I20" s="265" t="s">
        <v>679</v>
      </c>
      <c r="J20" s="265" t="s">
        <v>916</v>
      </c>
      <c r="K20" s="265" t="s">
        <v>571</v>
      </c>
      <c r="L20" s="265" t="s">
        <v>676</v>
      </c>
    </row>
    <row r="21" spans="1:12" ht="30" x14ac:dyDescent="0.25">
      <c r="A21" s="44"/>
      <c r="B21" s="44"/>
      <c r="C21" s="44"/>
      <c r="D21" s="44"/>
      <c r="E21" s="44"/>
      <c r="F21" s="269">
        <v>43301</v>
      </c>
      <c r="G21" s="265" t="s">
        <v>912</v>
      </c>
      <c r="H21" s="265">
        <v>2</v>
      </c>
      <c r="I21" s="265" t="s">
        <v>913</v>
      </c>
      <c r="J21" s="265" t="s">
        <v>916</v>
      </c>
      <c r="K21" s="265" t="s">
        <v>571</v>
      </c>
      <c r="L21" s="265" t="s">
        <v>914</v>
      </c>
    </row>
    <row r="22" spans="1:12" ht="45" x14ac:dyDescent="0.25">
      <c r="A22" s="44"/>
      <c r="B22" s="44"/>
      <c r="C22" s="44"/>
      <c r="D22" s="44"/>
      <c r="E22" s="44"/>
      <c r="F22" s="269">
        <v>43389</v>
      </c>
      <c r="G22" s="265" t="s">
        <v>918</v>
      </c>
      <c r="H22" s="265">
        <v>3</v>
      </c>
      <c r="I22" s="312" t="s">
        <v>919</v>
      </c>
      <c r="J22" s="265" t="s">
        <v>916</v>
      </c>
      <c r="K22" s="312" t="s">
        <v>571</v>
      </c>
      <c r="L22" s="312" t="s">
        <v>920</v>
      </c>
    </row>
    <row r="23" spans="1:12" ht="60" x14ac:dyDescent="0.25">
      <c r="A23" s="44"/>
      <c r="B23" s="44"/>
      <c r="C23" s="44"/>
      <c r="D23" s="44"/>
      <c r="E23" s="44"/>
      <c r="F23" s="269">
        <v>43663</v>
      </c>
      <c r="G23" s="265" t="s">
        <v>912</v>
      </c>
      <c r="H23" s="265">
        <v>4</v>
      </c>
      <c r="I23" s="265" t="s">
        <v>923</v>
      </c>
      <c r="J23" s="265" t="s">
        <v>916</v>
      </c>
      <c r="K23" s="265" t="s">
        <v>571</v>
      </c>
      <c r="L23" s="265" t="s">
        <v>924</v>
      </c>
    </row>
    <row r="24" spans="1:12" ht="60" x14ac:dyDescent="0.25">
      <c r="A24" s="44"/>
      <c r="B24" s="44"/>
      <c r="C24" s="44"/>
      <c r="D24" s="44"/>
      <c r="E24" s="44"/>
      <c r="F24" s="404">
        <v>43777</v>
      </c>
      <c r="G24" s="405" t="s">
        <v>918</v>
      </c>
      <c r="H24" s="405">
        <v>5</v>
      </c>
      <c r="I24" s="405" t="s">
        <v>991</v>
      </c>
      <c r="J24" s="265" t="s">
        <v>916</v>
      </c>
      <c r="K24" s="405" t="s">
        <v>571</v>
      </c>
      <c r="L24" s="406" t="s">
        <v>990</v>
      </c>
    </row>
    <row r="25" spans="1:12" ht="90" x14ac:dyDescent="0.25">
      <c r="A25" s="44"/>
      <c r="B25" s="44"/>
      <c r="C25" s="44"/>
      <c r="D25" s="44"/>
      <c r="E25" s="44"/>
      <c r="F25" s="269">
        <v>43860</v>
      </c>
      <c r="G25" s="265" t="s">
        <v>918</v>
      </c>
      <c r="H25" s="265">
        <v>6</v>
      </c>
      <c r="I25" s="405" t="s">
        <v>995</v>
      </c>
      <c r="J25" s="265" t="s">
        <v>916</v>
      </c>
      <c r="K25" s="405" t="s">
        <v>571</v>
      </c>
      <c r="L25" s="312" t="s">
        <v>996</v>
      </c>
    </row>
    <row r="26" spans="1:12" ht="45" x14ac:dyDescent="0.25">
      <c r="A26" s="44"/>
      <c r="B26" s="44"/>
      <c r="C26" s="44"/>
      <c r="D26" s="44"/>
      <c r="E26" s="44"/>
      <c r="F26" s="269">
        <v>43977</v>
      </c>
      <c r="G26" s="265" t="s">
        <v>912</v>
      </c>
      <c r="H26" s="265">
        <v>6</v>
      </c>
      <c r="I26" s="265" t="s">
        <v>1220</v>
      </c>
      <c r="J26" s="265" t="s">
        <v>916</v>
      </c>
      <c r="K26" s="265" t="s">
        <v>571</v>
      </c>
      <c r="L26" s="265" t="s">
        <v>1219</v>
      </c>
    </row>
    <row r="27" spans="1:12" ht="60" x14ac:dyDescent="0.25">
      <c r="A27" s="44"/>
      <c r="B27" s="44"/>
      <c r="C27" s="44"/>
      <c r="D27" s="44"/>
      <c r="E27" s="44"/>
      <c r="F27" s="269">
        <v>44141</v>
      </c>
      <c r="G27" s="265" t="s">
        <v>918</v>
      </c>
      <c r="H27" s="265">
        <v>7</v>
      </c>
      <c r="I27" s="265" t="s">
        <v>1232</v>
      </c>
      <c r="J27" s="265" t="s">
        <v>916</v>
      </c>
      <c r="K27" s="265" t="s">
        <v>571</v>
      </c>
      <c r="L27" s="265" t="s">
        <v>920</v>
      </c>
    </row>
    <row r="28" spans="1:12" ht="45" x14ac:dyDescent="0.25">
      <c r="A28" s="44"/>
      <c r="B28" s="44"/>
      <c r="C28" s="44"/>
      <c r="D28" s="44"/>
      <c r="E28" s="44"/>
      <c r="F28" s="269">
        <v>44225</v>
      </c>
      <c r="G28" s="265" t="s">
        <v>912</v>
      </c>
      <c r="H28" s="265">
        <v>7</v>
      </c>
      <c r="I28" s="265" t="s">
        <v>1248</v>
      </c>
      <c r="J28" s="265" t="s">
        <v>916</v>
      </c>
      <c r="K28" s="265" t="s">
        <v>571</v>
      </c>
      <c r="L28" s="265" t="s">
        <v>1246</v>
      </c>
    </row>
    <row r="29" spans="1:12" ht="60" x14ac:dyDescent="0.25">
      <c r="A29" s="44"/>
      <c r="B29" s="44"/>
      <c r="C29" s="44"/>
      <c r="D29" s="44"/>
      <c r="E29" s="44"/>
      <c r="F29" s="269">
        <v>44522</v>
      </c>
      <c r="G29" s="265" t="s">
        <v>918</v>
      </c>
      <c r="H29" s="265">
        <v>7</v>
      </c>
      <c r="I29" s="265" t="s">
        <v>1250</v>
      </c>
      <c r="J29" s="265" t="s">
        <v>916</v>
      </c>
      <c r="K29" s="265" t="s">
        <v>571</v>
      </c>
      <c r="L29" s="265" t="s">
        <v>1251</v>
      </c>
    </row>
    <row r="30" spans="1:12" ht="45" x14ac:dyDescent="0.25">
      <c r="A30" s="44"/>
      <c r="B30" s="44"/>
      <c r="C30" s="44"/>
      <c r="D30" s="44"/>
      <c r="E30" s="44"/>
      <c r="F30" s="269">
        <v>44861</v>
      </c>
      <c r="G30" s="265" t="s">
        <v>918</v>
      </c>
      <c r="H30" s="265">
        <v>7</v>
      </c>
      <c r="I30" s="265" t="s">
        <v>1254</v>
      </c>
      <c r="J30" s="265" t="s">
        <v>916</v>
      </c>
      <c r="K30" s="265" t="s">
        <v>571</v>
      </c>
      <c r="L30" s="265" t="s">
        <v>1257</v>
      </c>
    </row>
    <row r="31" spans="1:12" x14ac:dyDescent="0.25">
      <c r="A31" s="44"/>
      <c r="B31" s="44"/>
      <c r="C31" s="44"/>
      <c r="D31" s="44"/>
      <c r="E31" s="44"/>
      <c r="F31" s="269"/>
      <c r="G31" s="265"/>
      <c r="H31" s="265"/>
      <c r="I31" s="265"/>
      <c r="J31" s="265"/>
      <c r="K31" s="265"/>
      <c r="L31" s="265"/>
    </row>
    <row r="33" spans="2:12" x14ac:dyDescent="0.25">
      <c r="B33" s="42" t="s">
        <v>227</v>
      </c>
      <c r="C33" s="42"/>
      <c r="D33" s="42"/>
      <c r="E33" s="42"/>
      <c r="F33" s="42"/>
      <c r="G33" s="47"/>
      <c r="H33" s="47"/>
      <c r="I33" s="47"/>
      <c r="J33" s="47"/>
      <c r="K33" s="47"/>
      <c r="L33" s="42"/>
    </row>
    <row r="35" spans="2:12" x14ac:dyDescent="0.25">
      <c r="E35" s="52" t="s">
        <v>228</v>
      </c>
      <c r="F35" s="166"/>
      <c r="G35" s="54"/>
      <c r="H35" s="54"/>
      <c r="I35" s="54"/>
      <c r="J35" s="54"/>
    </row>
    <row r="36" spans="2:12" x14ac:dyDescent="0.25">
      <c r="F36" s="46" t="str">
        <f>"ARP_"&amp;F40</f>
        <v>ARP_Inputs by customer type</v>
      </c>
      <c r="H36" s="270" t="s">
        <v>651</v>
      </c>
      <c r="I36" s="46" t="s">
        <v>588</v>
      </c>
      <c r="J36" s="95">
        <f>'ARP_Inputs by customer type'!$H$1994</f>
        <v>0</v>
      </c>
    </row>
    <row r="37" spans="2:12" x14ac:dyDescent="0.25">
      <c r="F37" s="46" t="str">
        <f>"ARP_"&amp;F41</f>
        <v>ARP_Inputs by network level</v>
      </c>
      <c r="H37" s="270" t="s">
        <v>652</v>
      </c>
      <c r="I37" s="46" t="s">
        <v>588</v>
      </c>
      <c r="J37" s="95">
        <f>'ARP_Inputs by network level'!$H$218</f>
        <v>0</v>
      </c>
    </row>
    <row r="38" spans="2:12" x14ac:dyDescent="0.25">
      <c r="F38" s="46" t="str">
        <f>"ARP_"&amp;F42</f>
        <v>ARP_General inputs</v>
      </c>
      <c r="H38" s="270" t="s">
        <v>653</v>
      </c>
      <c r="I38" s="46" t="s">
        <v>588</v>
      </c>
      <c r="J38" s="95">
        <f>'ARP_General inputs'!$H$125</f>
        <v>0</v>
      </c>
    </row>
    <row r="39" spans="2:12" x14ac:dyDescent="0.25">
      <c r="F39" s="46" t="s">
        <v>428</v>
      </c>
      <c r="H39" s="270" t="s">
        <v>833</v>
      </c>
      <c r="I39" s="46" t="s">
        <v>588</v>
      </c>
      <c r="J39" s="96">
        <f>'Fixed inputs'!H197</f>
        <v>0</v>
      </c>
    </row>
    <row r="40" spans="2:12" x14ac:dyDescent="0.25">
      <c r="F40" s="46" t="s">
        <v>445</v>
      </c>
      <c r="H40" s="270" t="s">
        <v>834</v>
      </c>
      <c r="I40" s="46" t="s">
        <v>588</v>
      </c>
      <c r="J40" s="96">
        <f>'Inputs by customer type'!H216</f>
        <v>0</v>
      </c>
    </row>
    <row r="41" spans="2:12" x14ac:dyDescent="0.25">
      <c r="F41" s="46" t="s">
        <v>195</v>
      </c>
      <c r="H41" s="270" t="s">
        <v>835</v>
      </c>
      <c r="I41" s="46" t="s">
        <v>588</v>
      </c>
      <c r="J41" s="96">
        <f>'General inputs'!H118</f>
        <v>0</v>
      </c>
    </row>
    <row r="42" spans="2:12" x14ac:dyDescent="0.25">
      <c r="F42" s="46" t="s">
        <v>552</v>
      </c>
      <c r="H42" s="270" t="s">
        <v>836</v>
      </c>
      <c r="I42" s="46" t="s">
        <v>588</v>
      </c>
      <c r="J42" s="96">
        <f>'General inputs'!H118</f>
        <v>0</v>
      </c>
    </row>
    <row r="43" spans="2:12" x14ac:dyDescent="0.25">
      <c r="F43" s="46" t="s">
        <v>431</v>
      </c>
      <c r="H43" s="270" t="s">
        <v>837</v>
      </c>
      <c r="I43" s="46" t="s">
        <v>588</v>
      </c>
      <c r="J43" s="96">
        <f>'Standing charge factors'!H58</f>
        <v>0</v>
      </c>
    </row>
    <row r="44" spans="2:12" x14ac:dyDescent="0.25">
      <c r="F44" s="46" t="s">
        <v>432</v>
      </c>
      <c r="H44" s="270" t="s">
        <v>838</v>
      </c>
      <c r="I44" s="46" t="s">
        <v>588</v>
      </c>
      <c r="J44" s="96">
        <f>'Load &amp; loss characteristics'!H183</f>
        <v>0</v>
      </c>
    </row>
    <row r="45" spans="2:12" x14ac:dyDescent="0.25">
      <c r="F45" s="46" t="s">
        <v>232</v>
      </c>
      <c r="H45" s="270" t="s">
        <v>839</v>
      </c>
      <c r="I45" s="46" t="s">
        <v>588</v>
      </c>
      <c r="J45" s="96">
        <f>'Customer contributions'!H70</f>
        <v>0</v>
      </c>
    </row>
    <row r="46" spans="2:12" x14ac:dyDescent="0.25">
      <c r="F46" s="46" t="s">
        <v>233</v>
      </c>
      <c r="H46" s="270" t="s">
        <v>840</v>
      </c>
      <c r="I46" s="46" t="s">
        <v>588</v>
      </c>
      <c r="J46" s="96">
        <f>'Volume adjustments'!H693</f>
        <v>0</v>
      </c>
    </row>
    <row r="47" spans="2:12" x14ac:dyDescent="0.25">
      <c r="F47" s="46" t="s">
        <v>224</v>
      </c>
      <c r="H47" s="270" t="s">
        <v>841</v>
      </c>
      <c r="I47" s="46" t="s">
        <v>588</v>
      </c>
      <c r="J47" s="96">
        <f>'Pseudo-load coefficients'!H306</f>
        <v>0</v>
      </c>
    </row>
    <row r="48" spans="2:12" x14ac:dyDescent="0.25">
      <c r="F48" s="46" t="s">
        <v>433</v>
      </c>
      <c r="H48" s="270" t="s">
        <v>842</v>
      </c>
      <c r="I48" s="46" t="s">
        <v>588</v>
      </c>
      <c r="J48" s="96">
        <f>'System peak demand'!H281</f>
        <v>0</v>
      </c>
    </row>
    <row r="49" spans="6:10" x14ac:dyDescent="0.25">
      <c r="F49" s="46" t="s">
        <v>225</v>
      </c>
      <c r="H49" s="270" t="s">
        <v>843</v>
      </c>
      <c r="I49" s="46" t="s">
        <v>588</v>
      </c>
      <c r="J49" s="96">
        <f>'Service model assets'!H38</f>
        <v>0</v>
      </c>
    </row>
    <row r="50" spans="6:10" x14ac:dyDescent="0.25">
      <c r="F50" s="46" t="s">
        <v>294</v>
      </c>
      <c r="H50" s="270" t="s">
        <v>844</v>
      </c>
      <c r="I50" s="46" t="s">
        <v>588</v>
      </c>
      <c r="J50" s="96">
        <f>'Unit costs'!H131</f>
        <v>0</v>
      </c>
    </row>
    <row r="51" spans="6:10" x14ac:dyDescent="0.25">
      <c r="F51" s="46" t="s">
        <v>234</v>
      </c>
      <c r="H51" s="270" t="s">
        <v>845</v>
      </c>
      <c r="I51" s="46" t="s">
        <v>588</v>
      </c>
      <c r="J51" s="96">
        <f>'Initial unit rates'!H241</f>
        <v>0</v>
      </c>
    </row>
    <row r="52" spans="6:10" x14ac:dyDescent="0.25">
      <c r="F52" s="46" t="s">
        <v>434</v>
      </c>
      <c r="H52" s="270" t="s">
        <v>846</v>
      </c>
      <c r="I52" s="46" t="s">
        <v>588</v>
      </c>
      <c r="J52" s="96">
        <f>'Service model charges'!H48</f>
        <v>0</v>
      </c>
    </row>
    <row r="53" spans="6:10" x14ac:dyDescent="0.25">
      <c r="F53" s="46" t="s">
        <v>435</v>
      </c>
      <c r="H53" s="270" t="s">
        <v>847</v>
      </c>
      <c r="I53" s="46" t="s">
        <v>588</v>
      </c>
      <c r="J53" s="96">
        <f>'Unit rate charges'!H223</f>
        <v>0</v>
      </c>
    </row>
    <row r="54" spans="6:10" x14ac:dyDescent="0.25">
      <c r="F54" s="46" t="s">
        <v>236</v>
      </c>
      <c r="H54" s="270" t="s">
        <v>848</v>
      </c>
      <c r="I54" s="46" t="s">
        <v>588</v>
      </c>
      <c r="J54" s="96">
        <f>'Capacity charges'!H295</f>
        <v>0</v>
      </c>
    </row>
    <row r="55" spans="6:10" x14ac:dyDescent="0.25">
      <c r="F55" s="46" t="s">
        <v>394</v>
      </c>
      <c r="H55" s="270" t="s">
        <v>849</v>
      </c>
      <c r="I55" s="46" t="s">
        <v>588</v>
      </c>
      <c r="J55" s="96">
        <f>'Reactive power charges'!H254</f>
        <v>0</v>
      </c>
    </row>
    <row r="56" spans="6:10" x14ac:dyDescent="0.25">
      <c r="F56" s="46" t="s">
        <v>237</v>
      </c>
      <c r="H56" s="270" t="s">
        <v>850</v>
      </c>
      <c r="I56" s="46" t="s">
        <v>588</v>
      </c>
      <c r="J56" s="96">
        <f>'Fixed charges'!H165</f>
        <v>0</v>
      </c>
    </row>
    <row r="57" spans="6:10" x14ac:dyDescent="0.25">
      <c r="F57" s="46" t="s">
        <v>1245</v>
      </c>
      <c r="H57" s="270" t="s">
        <v>851</v>
      </c>
      <c r="I57" s="46" t="s">
        <v>588</v>
      </c>
      <c r="J57" s="96">
        <f>'SoLR &amp; bad debt adders'!H71</f>
        <v>0</v>
      </c>
    </row>
    <row r="58" spans="6:10" x14ac:dyDescent="0.25">
      <c r="F58" s="46" t="s">
        <v>238</v>
      </c>
      <c r="H58" s="270" t="s">
        <v>852</v>
      </c>
      <c r="I58" s="46" t="s">
        <v>588</v>
      </c>
      <c r="J58" s="96">
        <f>'Revenue matching'!H433</f>
        <v>0</v>
      </c>
    </row>
    <row r="59" spans="6:10" x14ac:dyDescent="0.25">
      <c r="F59" s="46" t="s">
        <v>185</v>
      </c>
      <c r="H59" s="270" t="s">
        <v>988</v>
      </c>
      <c r="I59" s="46" t="s">
        <v>588</v>
      </c>
      <c r="J59" s="96">
        <f>Rounding!H178</f>
        <v>0</v>
      </c>
    </row>
    <row r="60" spans="6:10" x14ac:dyDescent="0.25">
      <c r="F60" s="46" t="s">
        <v>553</v>
      </c>
      <c r="H60" s="270" t="s">
        <v>997</v>
      </c>
      <c r="I60" s="46" t="s">
        <v>588</v>
      </c>
      <c r="J60" s="95">
        <f>'Net revenue summary'!H146</f>
        <v>0</v>
      </c>
    </row>
    <row r="61" spans="6:10" x14ac:dyDescent="0.25">
      <c r="F61" s="46" t="s">
        <v>436</v>
      </c>
      <c r="H61" s="270" t="s">
        <v>998</v>
      </c>
      <c r="I61" s="46" t="s">
        <v>588</v>
      </c>
      <c r="J61" s="96">
        <f>'Tariff summary'!H641</f>
        <v>0</v>
      </c>
    </row>
    <row r="62" spans="6:10" x14ac:dyDescent="0.25">
      <c r="F62" s="46" t="s">
        <v>483</v>
      </c>
      <c r="H62" s="270" t="s">
        <v>999</v>
      </c>
      <c r="I62" s="46" t="s">
        <v>588</v>
      </c>
      <c r="J62" s="95">
        <f>'Typical bills'!H121</f>
        <v>0</v>
      </c>
    </row>
    <row r="63" spans="6:10" x14ac:dyDescent="0.25">
      <c r="F63" s="251" t="s">
        <v>111</v>
      </c>
      <c r="G63" s="251"/>
      <c r="H63" s="251"/>
      <c r="I63" s="251" t="s">
        <v>588</v>
      </c>
      <c r="J63" s="460">
        <f>IFERROR(SUM(J36:J62), 1)</f>
        <v>0</v>
      </c>
    </row>
    <row r="65" spans="2:12" x14ac:dyDescent="0.25">
      <c r="B65" s="42" t="s">
        <v>229</v>
      </c>
      <c r="C65" s="42"/>
      <c r="D65" s="42"/>
      <c r="E65" s="42"/>
      <c r="F65" s="42"/>
      <c r="G65" s="47"/>
      <c r="H65" s="47"/>
      <c r="I65" s="47"/>
      <c r="J65" s="47"/>
      <c r="K65" s="47"/>
      <c r="L65" s="42"/>
    </row>
    <row r="67" spans="2:12" x14ac:dyDescent="0.25">
      <c r="F67" s="51" t="s">
        <v>230</v>
      </c>
    </row>
    <row r="68" spans="2:12" x14ac:dyDescent="0.25">
      <c r="F68" s="271" t="s">
        <v>223</v>
      </c>
    </row>
    <row r="69" spans="2:12" x14ac:dyDescent="0.25">
      <c r="F69" s="271" t="s">
        <v>677</v>
      </c>
    </row>
    <row r="70" spans="2:12" x14ac:dyDescent="0.25">
      <c r="F70" s="271" t="s">
        <v>912</v>
      </c>
    </row>
    <row r="71" spans="2:12" ht="30" x14ac:dyDescent="0.25">
      <c r="F71" s="313" t="s">
        <v>918</v>
      </c>
    </row>
    <row r="72" spans="2:12" x14ac:dyDescent="0.25">
      <c r="F72" s="271"/>
    </row>
    <row r="73" spans="2:12" x14ac:dyDescent="0.25">
      <c r="F73" s="271"/>
    </row>
    <row r="74" spans="2:12" x14ac:dyDescent="0.25">
      <c r="F74" s="271"/>
    </row>
    <row r="75" spans="2:12" x14ac:dyDescent="0.25">
      <c r="F75" s="271"/>
    </row>
    <row r="76" spans="2:12" x14ac:dyDescent="0.25">
      <c r="F76" s="271"/>
    </row>
    <row r="77" spans="2:12" x14ac:dyDescent="0.25">
      <c r="F77" s="271"/>
    </row>
    <row r="78" spans="2:12" x14ac:dyDescent="0.25">
      <c r="F78" s="271" t="s">
        <v>231</v>
      </c>
    </row>
    <row r="80" spans="2:12" x14ac:dyDescent="0.25">
      <c r="B80" s="42" t="s">
        <v>110</v>
      </c>
      <c r="C80" s="42"/>
      <c r="D80" s="42"/>
      <c r="E80" s="42"/>
      <c r="F80" s="42"/>
      <c r="G80" s="47"/>
      <c r="H80" s="47"/>
      <c r="I80" s="47"/>
      <c r="J80" s="47"/>
      <c r="K80" s="47"/>
      <c r="L80" s="42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6:J63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1" xr:uid="{00000000-0002-0000-0100-000000000000}">
      <formula1>0</formula1>
    </dataValidation>
    <dataValidation type="date" operator="greaterThan" allowBlank="1" showInputMessage="1" showErrorMessage="1" promptTitle="Model date" prompt="Input a date" sqref="F20:F31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1" xr:uid="{00000000-0002-0000-0100-000001000000}">
      <formula1>$F$68:$F$78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$F$65:$F$75</formula1>
    </dataValidation>
  </dataValidations>
  <hyperlinks>
    <hyperlink ref="I68" location="'Cover'!A1" display="Cover" xr:uid="{00000000-0004-0000-0100-000000000000}"/>
    <hyperlink ref="I69" location="'Version control'!A1" display="Version control" xr:uid="{00000000-0004-0000-0100-000001000000}"/>
    <hyperlink ref="I78" location="'Model map'!A1" display="Model map" xr:uid="{00000000-0004-0000-0100-000002000000}"/>
    <hyperlink ref="I79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19" customWidth="1"/>
    <col min="6" max="6" width="30.5703125" style="19" customWidth="1"/>
    <col min="7" max="7" width="2.5703125" style="19" customWidth="1"/>
    <col min="8" max="8" width="25.5703125" style="23" customWidth="1"/>
    <col min="9" max="9" width="125.42578125" style="23" customWidth="1"/>
    <col min="10" max="10" width="2.5703125" style="19" customWidth="1"/>
    <col min="11" max="16384" width="9.140625" style="19" hidden="1"/>
  </cols>
  <sheetData>
    <row r="1" spans="1:9" s="8" customFormat="1" x14ac:dyDescent="0.25">
      <c r="A1" s="8" t="str">
        <f ca="1">MID(CELL("filename",A1),FIND("]",CELL("filename",A1))+1,255)</f>
        <v>Model map</v>
      </c>
    </row>
    <row r="2" spans="1:9" s="8" customFormat="1" x14ac:dyDescent="0.25">
      <c r="A2" s="8" t="str">
        <f>Cover!D21&amp;" - "&amp;Cover!D23</f>
        <v>SP Distribution - One</v>
      </c>
    </row>
    <row r="3" spans="1:9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9" customFormat="1" x14ac:dyDescent="0.25">
      <c r="A5" s="18"/>
      <c r="B5" s="42" t="s">
        <v>430</v>
      </c>
      <c r="C5" s="42"/>
      <c r="D5" s="42"/>
      <c r="E5" s="42"/>
      <c r="F5" s="42"/>
      <c r="G5" s="42"/>
      <c r="H5" s="42"/>
      <c r="I5" s="42"/>
    </row>
    <row r="7" spans="1:9" ht="15" customHeight="1" x14ac:dyDescent="0.25">
      <c r="F7" s="27"/>
      <c r="G7" s="27"/>
      <c r="H7" s="26"/>
      <c r="I7" s="26"/>
    </row>
    <row r="8" spans="1:9" ht="15" customHeight="1" x14ac:dyDescent="0.25">
      <c r="F8" s="27"/>
      <c r="G8" s="27"/>
    </row>
    <row r="9" spans="1:9" ht="15" customHeight="1" x14ac:dyDescent="0.25">
      <c r="F9" s="27"/>
      <c r="G9" s="27"/>
      <c r="H9" s="27"/>
      <c r="I9" s="27"/>
    </row>
    <row r="10" spans="1:9" ht="15" customHeight="1" x14ac:dyDescent="0.25">
      <c r="F10" s="27"/>
      <c r="G10" s="27"/>
      <c r="H10" s="27"/>
      <c r="I10" s="27"/>
    </row>
    <row r="11" spans="1:9" ht="15" customHeight="1" x14ac:dyDescent="0.25">
      <c r="F11" s="27"/>
      <c r="G11" s="27"/>
      <c r="H11" s="27"/>
      <c r="I11" s="19"/>
    </row>
    <row r="12" spans="1:9" ht="15" customHeight="1" x14ac:dyDescent="0.25">
      <c r="F12" s="27"/>
      <c r="H12" s="27"/>
      <c r="I12" s="19"/>
    </row>
    <row r="13" spans="1:9" ht="15" customHeight="1" x14ac:dyDescent="0.25">
      <c r="F13" s="27"/>
      <c r="H13" s="27"/>
      <c r="I13" s="19"/>
    </row>
    <row r="14" spans="1:9" ht="15" customHeight="1" x14ac:dyDescent="0.25">
      <c r="F14" s="27"/>
      <c r="H14" s="27"/>
      <c r="I14" s="19"/>
    </row>
    <row r="15" spans="1:9" x14ac:dyDescent="0.25">
      <c r="F15" s="28"/>
      <c r="G15" s="28"/>
      <c r="H15" s="28"/>
      <c r="I15" s="28"/>
    </row>
    <row r="16" spans="1:9" ht="15" customHeight="1" x14ac:dyDescent="0.25">
      <c r="H16" s="28"/>
      <c r="I16" s="28"/>
    </row>
    <row r="17" spans="6:9" ht="15" customHeight="1" x14ac:dyDescent="0.25">
      <c r="H17" s="28"/>
      <c r="I17" s="28"/>
    </row>
    <row r="18" spans="6:9" ht="15" customHeight="1" x14ac:dyDescent="0.25">
      <c r="H18" s="28"/>
      <c r="I18" s="28"/>
    </row>
    <row r="19" spans="6:9" ht="15" customHeight="1" x14ac:dyDescent="0.25">
      <c r="F19" s="28"/>
      <c r="G19" s="28"/>
      <c r="H19" s="28"/>
      <c r="I19" s="28"/>
    </row>
    <row r="20" spans="6:9" ht="15" customHeight="1" x14ac:dyDescent="0.25">
      <c r="F20" s="28"/>
      <c r="G20" s="28"/>
      <c r="H20" s="28"/>
      <c r="I20" s="28"/>
    </row>
    <row r="21" spans="6:9" ht="15" customHeight="1" x14ac:dyDescent="0.25">
      <c r="F21" s="28"/>
      <c r="G21" s="28"/>
      <c r="H21" s="28"/>
      <c r="I21" s="28"/>
    </row>
    <row r="22" spans="6:9" ht="15" customHeight="1" x14ac:dyDescent="0.25">
      <c r="F22" s="28"/>
      <c r="G22" s="28"/>
      <c r="H22" s="28"/>
      <c r="I22" s="28"/>
    </row>
    <row r="23" spans="6:9" ht="15" customHeight="1" x14ac:dyDescent="0.25">
      <c r="F23" s="28"/>
      <c r="G23" s="28"/>
      <c r="H23" s="28"/>
      <c r="I23" s="28"/>
    </row>
    <row r="24" spans="6:9" ht="15" customHeight="1" x14ac:dyDescent="0.25">
      <c r="F24" s="28"/>
      <c r="G24" s="28"/>
      <c r="H24" s="28"/>
      <c r="I24" s="28"/>
    </row>
    <row r="25" spans="6:9" ht="15" customHeight="1" x14ac:dyDescent="0.25">
      <c r="F25" s="28"/>
      <c r="G25" s="28"/>
      <c r="H25" s="28"/>
      <c r="I25" s="28"/>
    </row>
    <row r="26" spans="6:9" ht="15" customHeight="1" x14ac:dyDescent="0.25">
      <c r="F26" s="28"/>
      <c r="G26" s="28"/>
      <c r="H26" s="28"/>
      <c r="I26" s="28"/>
    </row>
    <row r="27" spans="6:9" ht="15" customHeight="1" x14ac:dyDescent="0.25">
      <c r="F27" s="28"/>
      <c r="G27" s="28"/>
      <c r="H27" s="28"/>
      <c r="I27" s="28"/>
    </row>
    <row r="28" spans="6:9" ht="15" customHeight="1" x14ac:dyDescent="0.25">
      <c r="F28" s="28"/>
      <c r="G28" s="28"/>
      <c r="H28" s="28"/>
      <c r="I28" s="28"/>
    </row>
    <row r="29" spans="6:9" ht="15" customHeight="1" x14ac:dyDescent="0.25">
      <c r="F29" s="28"/>
      <c r="G29" s="28"/>
      <c r="H29" s="28"/>
      <c r="I29" s="28"/>
    </row>
    <row r="30" spans="6:9" ht="15" customHeight="1" x14ac:dyDescent="0.25">
      <c r="F30" s="28"/>
      <c r="G30" s="28"/>
      <c r="H30" s="28"/>
      <c r="I30" s="28"/>
    </row>
    <row r="31" spans="6:9" ht="15" customHeight="1" x14ac:dyDescent="0.25">
      <c r="F31" s="28"/>
      <c r="G31" s="28"/>
      <c r="H31" s="28"/>
      <c r="I31" s="28"/>
    </row>
    <row r="32" spans="6:9" ht="15" customHeight="1" x14ac:dyDescent="0.25">
      <c r="F32" s="28"/>
      <c r="G32" s="28"/>
      <c r="H32" s="28"/>
      <c r="I32" s="28"/>
    </row>
    <row r="33" spans="6:9" ht="15" customHeight="1" x14ac:dyDescent="0.25">
      <c r="F33" s="28"/>
      <c r="G33" s="28"/>
      <c r="H33" s="28"/>
      <c r="I33" s="28"/>
    </row>
    <row r="34" spans="6:9" customFormat="1" x14ac:dyDescent="0.25">
      <c r="F34" s="28"/>
      <c r="G34" s="28"/>
      <c r="H34" s="28"/>
      <c r="I34" s="28"/>
    </row>
    <row r="35" spans="6:9" customFormat="1" x14ac:dyDescent="0.25">
      <c r="F35" s="28"/>
      <c r="G35" s="28"/>
      <c r="H35" s="28"/>
      <c r="I35" s="28"/>
    </row>
    <row r="36" spans="6:9" customFormat="1" x14ac:dyDescent="0.25">
      <c r="F36" s="28"/>
      <c r="G36" s="28"/>
      <c r="H36" s="28"/>
      <c r="I36" s="28"/>
    </row>
    <row r="37" spans="6:9" customFormat="1" x14ac:dyDescent="0.25">
      <c r="F37" s="28"/>
      <c r="G37" s="28"/>
      <c r="H37" s="28"/>
      <c r="I37" s="28"/>
    </row>
    <row r="38" spans="6:9" customFormat="1" x14ac:dyDescent="0.25">
      <c r="F38" s="28"/>
      <c r="G38" s="28"/>
      <c r="H38" s="28"/>
      <c r="I38" s="28"/>
    </row>
    <row r="39" spans="6:9" customFormat="1" x14ac:dyDescent="0.25">
      <c r="F39" s="28"/>
      <c r="G39" s="28"/>
      <c r="H39" s="28"/>
      <c r="I39" s="28"/>
    </row>
    <row r="40" spans="6:9" customFormat="1" x14ac:dyDescent="0.25">
      <c r="F40" s="28"/>
      <c r="G40" s="28"/>
      <c r="H40" s="28"/>
      <c r="I40" s="28"/>
    </row>
    <row r="41" spans="6:9" ht="15" customHeight="1" x14ac:dyDescent="0.25">
      <c r="F41" s="28"/>
      <c r="G41" s="28"/>
      <c r="H41" s="28"/>
      <c r="I41" s="28"/>
    </row>
    <row r="42" spans="6:9" ht="15" customHeight="1" x14ac:dyDescent="0.25">
      <c r="F42" s="28"/>
      <c r="G42" s="28"/>
      <c r="H42" s="28"/>
      <c r="I42" s="28"/>
    </row>
    <row r="43" spans="6:9" ht="15" customHeight="1" x14ac:dyDescent="0.25">
      <c r="F43" s="28"/>
      <c r="G43" s="28"/>
      <c r="H43" s="28"/>
      <c r="I43" s="28"/>
    </row>
    <row r="44" spans="6:9" ht="15" customHeight="1" x14ac:dyDescent="0.25">
      <c r="F44" s="28"/>
      <c r="G44" s="28"/>
      <c r="H44" s="28"/>
      <c r="I44" s="28"/>
    </row>
    <row r="45" spans="6:9" ht="15" customHeight="1" x14ac:dyDescent="0.25">
      <c r="F45" s="28"/>
      <c r="G45" s="28"/>
      <c r="H45" s="28"/>
      <c r="I45" s="28"/>
    </row>
    <row r="46" spans="6:9" ht="15" customHeight="1" x14ac:dyDescent="0.25">
      <c r="F46" s="28"/>
      <c r="G46" s="28"/>
      <c r="H46" s="28"/>
      <c r="I46" s="28"/>
    </row>
    <row r="47" spans="6:9" ht="15" customHeight="1" x14ac:dyDescent="0.25">
      <c r="F47" s="25"/>
      <c r="H47" s="19"/>
      <c r="I47" s="19"/>
    </row>
    <row r="51" spans="1:10" customFormat="1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</row>
    <row r="62" spans="1:10" ht="15" customHeight="1" x14ac:dyDescent="0.25">
      <c r="I62" s="19"/>
    </row>
    <row r="65" spans="2:9" ht="15" customHeight="1" x14ac:dyDescent="0.25">
      <c r="B65" s="42" t="s">
        <v>110</v>
      </c>
      <c r="C65" s="42"/>
      <c r="D65" s="42"/>
      <c r="E65" s="42"/>
      <c r="F65" s="42"/>
      <c r="G65" s="42"/>
      <c r="H65" s="42"/>
      <c r="I65" s="42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19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26.140625" bestFit="1" customWidth="1"/>
    <col min="7" max="7" width="115.5703125" bestFit="1" customWidth="1"/>
    <col min="8" max="8" width="2.5703125" customWidth="1"/>
    <col min="9" max="9" width="59.5703125" hidden="1" customWidth="1"/>
    <col min="10" max="20" width="15.42578125" hidden="1" customWidth="1"/>
    <col min="21" max="21" width="2.5703125" hidden="1" customWidth="1"/>
    <col min="22" max="16384" width="9.140625" hidden="1"/>
  </cols>
  <sheetData>
    <row r="1" spans="1:7" s="8" customFormat="1" x14ac:dyDescent="0.25">
      <c r="A1" s="8" t="str">
        <f ca="1">MID(CELL("filename",A1),FIND("]",CELL("filename",A1))+1,255)</f>
        <v>Index</v>
      </c>
    </row>
    <row r="2" spans="1:7" s="8" customFormat="1" x14ac:dyDescent="0.25">
      <c r="A2" s="8" t="str">
        <f>Cover!D21&amp;" - "&amp;Cover!D23</f>
        <v>SP Distribution - One</v>
      </c>
    </row>
    <row r="3" spans="1:7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7" x14ac:dyDescent="0.25">
      <c r="B5" s="82" t="s">
        <v>90</v>
      </c>
      <c r="C5" s="82"/>
      <c r="D5" s="82"/>
      <c r="E5" s="82"/>
      <c r="F5" s="82"/>
      <c r="G5" s="82"/>
    </row>
    <row r="7" spans="1:7" x14ac:dyDescent="0.25">
      <c r="C7" s="73" t="s">
        <v>645</v>
      </c>
    </row>
    <row r="8" spans="1:7" x14ac:dyDescent="0.25">
      <c r="C8" s="73" t="s">
        <v>646</v>
      </c>
    </row>
    <row r="10" spans="1:7" x14ac:dyDescent="0.25">
      <c r="B10" s="82" t="s">
        <v>649</v>
      </c>
      <c r="C10" s="82"/>
      <c r="D10" s="82"/>
      <c r="E10" s="82"/>
      <c r="F10" s="82"/>
      <c r="G10" s="82"/>
    </row>
    <row r="12" spans="1:7" x14ac:dyDescent="0.25">
      <c r="C12" s="73" t="s">
        <v>596</v>
      </c>
    </row>
    <row r="14" spans="1:7" ht="15.75" thickBot="1" x14ac:dyDescent="0.3">
      <c r="F14" s="32" t="s">
        <v>597</v>
      </c>
      <c r="G14" s="172" t="s">
        <v>598</v>
      </c>
    </row>
    <row r="15" spans="1:7" ht="16.5" thickTop="1" thickBot="1" x14ac:dyDescent="0.3">
      <c r="F15" s="174" t="s">
        <v>594</v>
      </c>
    </row>
    <row r="16" spans="1:7" ht="15.75" thickTop="1" x14ac:dyDescent="0.25">
      <c r="F16" s="174" t="s">
        <v>600</v>
      </c>
      <c r="G16" s="175" t="str">
        <f>'Version control'!$B$5</f>
        <v>Model version</v>
      </c>
    </row>
    <row r="17" spans="6:7" x14ac:dyDescent="0.25">
      <c r="F17" s="173" t="s">
        <v>599</v>
      </c>
      <c r="G17" s="175" t="str">
        <f>'Version control'!$B$17</f>
        <v>Version log</v>
      </c>
    </row>
    <row r="18" spans="6:7" x14ac:dyDescent="0.25">
      <c r="F18" s="173" t="s">
        <v>599</v>
      </c>
      <c r="G18" s="175" t="str">
        <f>'Version control'!$B$33</f>
        <v>Model checks</v>
      </c>
    </row>
    <row r="19" spans="6:7" ht="15.75" thickBot="1" x14ac:dyDescent="0.3">
      <c r="F19" s="173" t="s">
        <v>599</v>
      </c>
      <c r="G19" s="175" t="str">
        <f>'Version control'!$B$65</f>
        <v>Version log lists</v>
      </c>
    </row>
    <row r="20" spans="6:7" ht="16.5" thickTop="1" thickBot="1" x14ac:dyDescent="0.3">
      <c r="F20" s="174" t="s">
        <v>430</v>
      </c>
      <c r="G20" s="175" t="str">
        <f>'Model map'!$B$5</f>
        <v>Model map</v>
      </c>
    </row>
    <row r="21" spans="6:7" ht="16.5" thickTop="1" thickBot="1" x14ac:dyDescent="0.3">
      <c r="F21" s="174" t="s">
        <v>601</v>
      </c>
      <c r="G21" s="175" t="str">
        <f>'Named ranges'!$B$5</f>
        <v>List of named ranges</v>
      </c>
    </row>
    <row r="22" spans="6:7" ht="16.5" thickTop="1" thickBot="1" x14ac:dyDescent="0.3">
      <c r="F22" s="174" t="s">
        <v>602</v>
      </c>
      <c r="G22" s="175" t="str">
        <f>'ARP_DNO commentary'!$B$9</f>
        <v>Commentary</v>
      </c>
    </row>
    <row r="23" spans="6:7" ht="16.5" thickTop="1" thickBot="1" x14ac:dyDescent="0.3">
      <c r="F23" s="174" t="s">
        <v>603</v>
      </c>
      <c r="G23" s="175" t="str">
        <f>'ARP_CDCM timebands'!$B$12</f>
        <v>CDCM timebands</v>
      </c>
    </row>
    <row r="24" spans="6:7" ht="15.75" thickTop="1" x14ac:dyDescent="0.25">
      <c r="F24" s="174" t="s">
        <v>604</v>
      </c>
      <c r="G24" s="175" t="str">
        <f>'ARP_Load characteristics'!$B$13</f>
        <v>Years</v>
      </c>
    </row>
    <row r="25" spans="6:7" ht="15.75" thickBot="1" x14ac:dyDescent="0.3">
      <c r="F25" s="173" t="s">
        <v>599</v>
      </c>
      <c r="G25" s="175" t="str">
        <f>'ARP_Load characteristics'!$B$20</f>
        <v>Load characteristics</v>
      </c>
    </row>
    <row r="26" spans="6:7" ht="15.75" thickTop="1" x14ac:dyDescent="0.25">
      <c r="F26" s="174" t="s">
        <v>605</v>
      </c>
      <c r="G26" s="175" t="str">
        <f>'ARP_Peaking probabilities'!$B$14</f>
        <v>Years</v>
      </c>
    </row>
    <row r="27" spans="6:7" ht="15.75" thickBot="1" x14ac:dyDescent="0.3">
      <c r="F27" s="173" t="s">
        <v>599</v>
      </c>
      <c r="G27" s="175" t="str">
        <f>'ARP_Peaking probabilities'!$B$21</f>
        <v>Peaking probabilities, by distribution timeband</v>
      </c>
    </row>
    <row r="28" spans="6:7" ht="15.75" thickTop="1" x14ac:dyDescent="0.25">
      <c r="F28" s="248" t="s">
        <v>595</v>
      </c>
      <c r="G28" s="175" t="str">
        <f>'ARP_User control'!$B$10</f>
        <v>User interface</v>
      </c>
    </row>
    <row r="29" spans="6:7" ht="15.75" thickBot="1" x14ac:dyDescent="0.3">
      <c r="F29" s="247" t="s">
        <v>599</v>
      </c>
      <c r="G29" s="175" t="str">
        <f>'ARP_User control'!$B$25</f>
        <v>Lists</v>
      </c>
    </row>
    <row r="30" spans="6:7" ht="15.75" thickTop="1" x14ac:dyDescent="0.25">
      <c r="F30" s="177" t="s">
        <v>606</v>
      </c>
      <c r="G30" s="175" t="str">
        <f>'ARP_Inputs by customer type'!$B$14</f>
        <v>Load characteristics</v>
      </c>
    </row>
    <row r="31" spans="6:7" x14ac:dyDescent="0.25">
      <c r="F31" s="176" t="s">
        <v>599</v>
      </c>
      <c r="G31" s="175" t="str">
        <f>'ARP_Inputs by customer type'!$B$56</f>
        <v>Volumes</v>
      </c>
    </row>
    <row r="32" spans="6:7" x14ac:dyDescent="0.25">
      <c r="F32" s="176" t="s">
        <v>599</v>
      </c>
      <c r="G32" s="175" t="str">
        <f>'ARP_Inputs by customer type'!$B$1998</f>
        <v>Non-Domestic Aggregated (Related MPAN) distribution by bands</v>
      </c>
    </row>
    <row r="33" spans="6:7" ht="15.75" thickBot="1" x14ac:dyDescent="0.3">
      <c r="F33" s="176" t="s">
        <v>599</v>
      </c>
      <c r="G33" s="175" t="str">
        <f>'ARP_Inputs by customer type'!$B$2072</f>
        <v>Service model asset values</v>
      </c>
    </row>
    <row r="34" spans="6:7" ht="16.5" thickTop="1" thickBot="1" x14ac:dyDescent="0.3">
      <c r="F34" s="177" t="s">
        <v>607</v>
      </c>
      <c r="G34" s="175" t="str">
        <f>'ARP_Inputs by network level'!$B$14</f>
        <v>Inputs by network level</v>
      </c>
    </row>
    <row r="35" spans="6:7" ht="16.5" thickTop="1" thickBot="1" x14ac:dyDescent="0.3">
      <c r="F35" s="177" t="s">
        <v>608</v>
      </c>
      <c r="G35" s="175" t="str">
        <f>'ARP_General inputs'!$B$14</f>
        <v>General inputs</v>
      </c>
    </row>
    <row r="36" spans="6:7" ht="16.5" thickTop="1" thickBot="1" x14ac:dyDescent="0.3">
      <c r="F36" s="177" t="s">
        <v>428</v>
      </c>
      <c r="G36" s="175" t="str">
        <f>'Fixed inputs'!$B$11</f>
        <v>Fixed inputs</v>
      </c>
    </row>
    <row r="37" spans="6:7" ht="16.5" thickTop="1" thickBot="1" x14ac:dyDescent="0.3">
      <c r="F37" s="179" t="s">
        <v>445</v>
      </c>
      <c r="G37" s="175" t="str">
        <f>'Inputs by customer type'!$B$14</f>
        <v>Inputs by customer type</v>
      </c>
    </row>
    <row r="38" spans="6:7" ht="16.5" thickTop="1" thickBot="1" x14ac:dyDescent="0.3">
      <c r="F38" s="179" t="s">
        <v>195</v>
      </c>
      <c r="G38" s="175" t="str">
        <f>'Inputs by network level'!$B$14</f>
        <v>Inputs by network level</v>
      </c>
    </row>
    <row r="39" spans="6:7" ht="16.5" thickTop="1" thickBot="1" x14ac:dyDescent="0.3">
      <c r="F39" s="179" t="s">
        <v>552</v>
      </c>
      <c r="G39" s="175" t="str">
        <f>'General inputs'!$B$14</f>
        <v>General inputs</v>
      </c>
    </row>
    <row r="40" spans="6:7" ht="16.5" thickTop="1" thickBot="1" x14ac:dyDescent="0.3">
      <c r="F40" s="179" t="s">
        <v>263</v>
      </c>
      <c r="G40" s="175" t="str">
        <f>'Standing charge factors'!$B$17</f>
        <v>Adjustments to standing charges</v>
      </c>
    </row>
    <row r="41" spans="6:7" ht="15.75" thickTop="1" x14ac:dyDescent="0.25">
      <c r="F41" s="179" t="s">
        <v>432</v>
      </c>
      <c r="G41" s="175" t="str">
        <f>'Load &amp; loss characteristics'!$B$13</f>
        <v>Load and loss characteristics</v>
      </c>
    </row>
    <row r="42" spans="6:7" ht="15.75" thickBot="1" x14ac:dyDescent="0.3">
      <c r="F42" s="178" t="s">
        <v>599</v>
      </c>
      <c r="G42" s="175" t="str">
        <f>'Load &amp; loss characteristics'!$B$31</f>
        <v>User loss factor adjustments</v>
      </c>
    </row>
    <row r="43" spans="6:7" ht="16.5" thickTop="1" thickBot="1" x14ac:dyDescent="0.3">
      <c r="F43" s="179" t="s">
        <v>232</v>
      </c>
      <c r="G43" s="175" t="str">
        <f>'Customer contributions'!$B$12</f>
        <v>Customer contributions</v>
      </c>
    </row>
    <row r="44" spans="6:7" ht="15.75" thickTop="1" x14ac:dyDescent="0.25">
      <c r="F44" s="179" t="s">
        <v>233</v>
      </c>
      <c r="G44" s="175" t="str">
        <f>'Volume adjustments'!$B$13</f>
        <v>LDNO discounts</v>
      </c>
    </row>
    <row r="45" spans="6:7" x14ac:dyDescent="0.25">
      <c r="F45" s="178" t="s">
        <v>599</v>
      </c>
      <c r="G45" s="175" t="str">
        <f>'Volume adjustments'!$B$51</f>
        <v>Volume discounting</v>
      </c>
    </row>
    <row r="46" spans="6:7" ht="15.75" thickBot="1" x14ac:dyDescent="0.3">
      <c r="F46" s="178" t="s">
        <v>599</v>
      </c>
      <c r="G46" s="175" t="str">
        <f>'Volume adjustments'!$B$310</f>
        <v>Volume discounting for revenue matching</v>
      </c>
    </row>
    <row r="47" spans="6:7" ht="15.75" thickTop="1" x14ac:dyDescent="0.25">
      <c r="F47" s="179" t="s">
        <v>224</v>
      </c>
      <c r="G47" s="175" t="str">
        <f>'Pseudo-load coefficients'!$B$13</f>
        <v>Step 1: Ratio of coincidence to load factor assuming units evenly spread within time bands, and peak falls in Red period</v>
      </c>
    </row>
    <row r="48" spans="6:7" x14ac:dyDescent="0.25">
      <c r="F48" s="178" t="s">
        <v>599</v>
      </c>
      <c r="G48" s="175" t="str">
        <f>'Pseudo-load coefficients'!$B$56</f>
        <v>Step 2: Calculate correction factor</v>
      </c>
    </row>
    <row r="49" spans="6:7" x14ac:dyDescent="0.25">
      <c r="F49" s="178" t="s">
        <v>599</v>
      </c>
      <c r="G49" s="175" t="str">
        <f>'Pseudo-load coefficients'!$B$95</f>
        <v>Step 3: Ratio of coincidence factor (to network asset peak) to load factor, given peaking probabilities, multiplied by correction factor</v>
      </c>
    </row>
    <row r="50" spans="6:7" ht="15.75" thickBot="1" x14ac:dyDescent="0.3">
      <c r="F50" s="178" t="s">
        <v>599</v>
      </c>
      <c r="G50" s="175" t="str">
        <f>'Pseudo-load coefficients'!$B$261</f>
        <v>Step 4: Results of Step 3</v>
      </c>
    </row>
    <row r="51" spans="6:7" ht="15.75" thickTop="1" x14ac:dyDescent="0.25">
      <c r="F51" s="179" t="s">
        <v>433</v>
      </c>
      <c r="G51" s="175" t="str">
        <f>'System peak demand'!$B$16</f>
        <v>Common inputs for chargeable load calculations</v>
      </c>
    </row>
    <row r="52" spans="6:7" x14ac:dyDescent="0.25">
      <c r="F52" s="178" t="s">
        <v>599</v>
      </c>
      <c r="G52" s="175" t="str">
        <f>'System peak demand'!$B$63</f>
        <v>Load at system peak charged to unit rates</v>
      </c>
    </row>
    <row r="53" spans="6:7" x14ac:dyDescent="0.25">
      <c r="F53" s="178" t="s">
        <v>599</v>
      </c>
      <c r="G53" s="175" t="str">
        <f>'System peak demand'!$B$179</f>
        <v>Load at system peak charged to standing charges</v>
      </c>
    </row>
    <row r="54" spans="6:7" ht="15.75" thickBot="1" x14ac:dyDescent="0.3">
      <c r="F54" s="178" t="s">
        <v>599</v>
      </c>
      <c r="G54" s="175" t="str">
        <f>'System peak demand'!$B$262</f>
        <v>System peak based on chargeable load</v>
      </c>
    </row>
    <row r="55" spans="6:7" ht="16.5" thickTop="1" thickBot="1" x14ac:dyDescent="0.3">
      <c r="F55" s="179" t="s">
        <v>225</v>
      </c>
      <c r="G55" s="175" t="str">
        <f>'Service model assets'!$B$12</f>
        <v>Service model notional asset values</v>
      </c>
    </row>
    <row r="56" spans="6:7" ht="15.75" thickTop="1" x14ac:dyDescent="0.25">
      <c r="F56" s="179" t="s">
        <v>294</v>
      </c>
      <c r="G56" s="175" t="str">
        <f>'Unit costs'!$B$15</f>
        <v>500MW model costs</v>
      </c>
    </row>
    <row r="57" spans="6:7" x14ac:dyDescent="0.25">
      <c r="F57" s="178" t="s">
        <v>599</v>
      </c>
      <c r="G57" s="175" t="str">
        <f>'Unit costs'!$B$58</f>
        <v>Allocation of other costs</v>
      </c>
    </row>
    <row r="58" spans="6:7" ht="15.75" thickBot="1" x14ac:dyDescent="0.3">
      <c r="F58" s="178" t="s">
        <v>599</v>
      </c>
      <c r="G58" s="175" t="str">
        <f>'Unit costs'!$B$102</f>
        <v>Outputs</v>
      </c>
    </row>
    <row r="59" spans="6:7" ht="15.75" thickTop="1" x14ac:dyDescent="0.25">
      <c r="F59" s="179" t="s">
        <v>234</v>
      </c>
      <c r="G59" s="175" t="str">
        <f>'Initial unit rates'!$B$11</f>
        <v>Inputs for yardstick and unit rate calculations</v>
      </c>
    </row>
    <row r="60" spans="6:7" ht="15.75" thickBot="1" x14ac:dyDescent="0.3">
      <c r="F60" s="178" t="s">
        <v>599</v>
      </c>
      <c r="G60" s="175" t="str">
        <f>'Initial unit rates'!$B$116</f>
        <v>Calculation of yardstick &amp; unit rate charges</v>
      </c>
    </row>
    <row r="61" spans="6:7" ht="15.75" thickTop="1" x14ac:dyDescent="0.25">
      <c r="F61" s="179" t="s">
        <v>434</v>
      </c>
      <c r="G61" s="175" t="str">
        <f>'Service model charges'!$B$13</f>
        <v>Inputs to service model charge calculation</v>
      </c>
    </row>
    <row r="62" spans="6:7" ht="15.75" thickBot="1" x14ac:dyDescent="0.3">
      <c r="F62" s="178" t="s">
        <v>599</v>
      </c>
      <c r="G62" s="175" t="str">
        <f>'Service model charges'!$B$29</f>
        <v>Allocation of service model costs</v>
      </c>
    </row>
    <row r="63" spans="6:7" ht="15.75" thickTop="1" x14ac:dyDescent="0.25">
      <c r="F63" s="179" t="s">
        <v>435</v>
      </c>
      <c r="G63" s="175" t="str">
        <f>'Unit rate charges'!$B$15</f>
        <v>Inputs to unit rate charge calculations</v>
      </c>
    </row>
    <row r="64" spans="6:7" ht="15.75" thickBot="1" x14ac:dyDescent="0.3">
      <c r="F64" s="178" t="s">
        <v>599</v>
      </c>
      <c r="G64" s="175" t="str">
        <f>'Unit rate charges'!$B$122</f>
        <v>Application of standing charges to unit rates</v>
      </c>
    </row>
    <row r="65" spans="6:7" ht="15.75" thickTop="1" x14ac:dyDescent="0.25">
      <c r="F65" s="179" t="s">
        <v>236</v>
      </c>
      <c r="G65" s="175" t="str">
        <f>'Capacity charges'!$B$17</f>
        <v>Inputs to capacity charge calculations</v>
      </c>
    </row>
    <row r="66" spans="6:7" x14ac:dyDescent="0.25">
      <c r="F66" s="178" t="s">
        <v>599</v>
      </c>
      <c r="G66" s="175" t="str">
        <f>'Capacity charges'!$B$125</f>
        <v>Calculation of capacity charges</v>
      </c>
    </row>
    <row r="67" spans="6:7" ht="15.75" thickBot="1" x14ac:dyDescent="0.3">
      <c r="F67" s="178" t="s">
        <v>599</v>
      </c>
      <c r="G67" s="175" t="str">
        <f>'Capacity charges'!$B$249</f>
        <v>Capacity charges (and elements allocated to fixed charges)</v>
      </c>
    </row>
    <row r="68" spans="6:7" ht="15.75" thickTop="1" x14ac:dyDescent="0.25">
      <c r="F68" s="179" t="s">
        <v>394</v>
      </c>
      <c r="G68" s="175" t="str">
        <f>'Reactive power charges'!$B$13</f>
        <v>Inputs to reactive power charge calculations</v>
      </c>
    </row>
    <row r="69" spans="6:7" x14ac:dyDescent="0.25">
      <c r="F69" s="178" t="s">
        <v>599</v>
      </c>
      <c r="G69" s="175" t="str">
        <f>'Reactive power charges'!$B$150</f>
        <v>Calculation of yardstick charges for generation</v>
      </c>
    </row>
    <row r="70" spans="6:7" ht="15.75" thickBot="1" x14ac:dyDescent="0.3">
      <c r="F70" s="178" t="s">
        <v>599</v>
      </c>
      <c r="G70" s="175" t="str">
        <f>'Reactive power charges'!$B$185</f>
        <v>Calculation of reactive power charges</v>
      </c>
    </row>
    <row r="71" spans="6:7" ht="15.75" thickTop="1" x14ac:dyDescent="0.25">
      <c r="F71" s="179" t="s">
        <v>237</v>
      </c>
      <c r="G71" s="175" t="str">
        <f>'Fixed charges'!$B$14</f>
        <v>Inputs to fixed charge calculations</v>
      </c>
    </row>
    <row r="72" spans="6:7" ht="15.75" thickBot="1" x14ac:dyDescent="0.3">
      <c r="F72" s="178" t="s">
        <v>599</v>
      </c>
      <c r="G72" s="175" t="str">
        <f>'Fixed charges'!$B$65</f>
        <v>Calculation of fixed charges</v>
      </c>
    </row>
    <row r="73" spans="6:7" ht="16.5" thickTop="1" thickBot="1" x14ac:dyDescent="0.3">
      <c r="F73" s="179" t="s">
        <v>1245</v>
      </c>
      <c r="G73" s="175" t="str">
        <f>'SoLR &amp; bad debt adders'!$B$12</f>
        <v>Fixed tariff adjustments</v>
      </c>
    </row>
    <row r="74" spans="6:7" ht="15.75" thickTop="1" x14ac:dyDescent="0.25">
      <c r="F74" s="179" t="s">
        <v>238</v>
      </c>
      <c r="G74" s="175" t="str">
        <f>'Revenue matching'!$B$13</f>
        <v>Pre-matching net revenue calculations</v>
      </c>
    </row>
    <row r="75" spans="6:7" x14ac:dyDescent="0.25">
      <c r="F75" s="178" t="s">
        <v>599</v>
      </c>
      <c r="G75" s="175" t="str">
        <f>'Revenue matching'!$B$87</f>
        <v>Residual charge calculation</v>
      </c>
    </row>
    <row r="76" spans="6:7" x14ac:dyDescent="0.25">
      <c r="F76" s="178" t="s">
        <v>599</v>
      </c>
      <c r="G76" s="175" t="str">
        <f>'Revenue matching'!$B$210</f>
        <v>Adjustments for negative fixed charges</v>
      </c>
    </row>
    <row r="77" spans="6:7" ht="15.75" thickBot="1" x14ac:dyDescent="0.3">
      <c r="F77" s="178" t="s">
        <v>599</v>
      </c>
      <c r="G77" s="175" t="str">
        <f>'Revenue matching'!$B$408</f>
        <v>Final adders</v>
      </c>
    </row>
    <row r="78" spans="6:7" ht="15.75" thickTop="1" x14ac:dyDescent="0.25">
      <c r="F78" s="179" t="s">
        <v>185</v>
      </c>
      <c r="G78" s="175" t="str">
        <f>Rounding!$B$12</f>
        <v>Inputs</v>
      </c>
    </row>
    <row r="79" spans="6:7" ht="15.75" thickBot="1" x14ac:dyDescent="0.3">
      <c r="F79" s="178" t="s">
        <v>599</v>
      </c>
      <c r="G79" s="175" t="str">
        <f>Rounding!$B$103</f>
        <v>Rounding of tariff forecast</v>
      </c>
    </row>
    <row r="80" spans="6:7" ht="15.75" thickTop="1" x14ac:dyDescent="0.25">
      <c r="F80" s="179" t="s">
        <v>553</v>
      </c>
      <c r="G80" s="175" t="str">
        <f>'Net revenue summary'!$B$11</f>
        <v>Inputs to net revenue summary calculation</v>
      </c>
    </row>
    <row r="81" spans="2:7" ht="15.75" thickBot="1" x14ac:dyDescent="0.3">
      <c r="F81" s="178" t="s">
        <v>599</v>
      </c>
      <c r="G81" s="175" t="str">
        <f>'Net revenue summary'!$B$90</f>
        <v>Typical bills</v>
      </c>
    </row>
    <row r="82" spans="2:7" ht="16.5" thickTop="1" thickBot="1" x14ac:dyDescent="0.3">
      <c r="F82" s="181" t="s">
        <v>436</v>
      </c>
      <c r="G82" s="175" t="str">
        <f>'Tariff summary'!$B$13</f>
        <v>Tariff summary</v>
      </c>
    </row>
    <row r="83" spans="2:7" ht="15.75" thickTop="1" x14ac:dyDescent="0.25">
      <c r="F83" s="181" t="s">
        <v>483</v>
      </c>
      <c r="G83" s="175" t="str">
        <f>'Typical bills'!$B$13</f>
        <v>Typical bills</v>
      </c>
    </row>
    <row r="85" spans="2:7" x14ac:dyDescent="0.25">
      <c r="B85" s="82" t="s">
        <v>648</v>
      </c>
      <c r="C85" s="82"/>
      <c r="D85" s="82"/>
      <c r="E85" s="82"/>
      <c r="F85" s="82"/>
      <c r="G85" s="82"/>
    </row>
    <row r="87" spans="2:7" x14ac:dyDescent="0.25">
      <c r="C87" s="73" t="s">
        <v>647</v>
      </c>
    </row>
    <row r="89" spans="2:7" ht="15.75" thickBot="1" x14ac:dyDescent="0.3">
      <c r="F89" s="32" t="s">
        <v>597</v>
      </c>
      <c r="G89" s="172" t="s">
        <v>598</v>
      </c>
    </row>
    <row r="90" spans="2:7" ht="15.75" thickTop="1" x14ac:dyDescent="0.25">
      <c r="F90" s="174" t="s">
        <v>603</v>
      </c>
      <c r="G90" s="175" t="str">
        <f>'ARP_CDCM timebands'!$C$14</f>
        <v>Distribution time bands</v>
      </c>
    </row>
    <row r="91" spans="2:7" ht="15.75" thickBot="1" x14ac:dyDescent="0.3">
      <c r="F91" s="173" t="s">
        <v>599</v>
      </c>
      <c r="G91" s="175" t="str">
        <f>'ARP_CDCM timebands'!$C$26</f>
        <v>Special distribution time bands</v>
      </c>
    </row>
    <row r="92" spans="2:7" ht="15.75" thickTop="1" x14ac:dyDescent="0.25">
      <c r="F92" s="248" t="s">
        <v>595</v>
      </c>
      <c r="G92" s="175" t="str">
        <f>'ARP_User control'!$C$15</f>
        <v>Inputs for manually running selected year</v>
      </c>
    </row>
    <row r="93" spans="2:7" ht="15.75" thickBot="1" x14ac:dyDescent="0.3">
      <c r="F93" s="247" t="s">
        <v>599</v>
      </c>
      <c r="G93" s="175" t="str">
        <f>'ARP_User control'!$C$19</f>
        <v>Macro to run all years</v>
      </c>
    </row>
    <row r="94" spans="2:7" ht="15.75" thickTop="1" x14ac:dyDescent="0.25">
      <c r="F94" s="177" t="s">
        <v>606</v>
      </c>
      <c r="G94" s="175" t="str">
        <f ca="1">'ARP_Inputs by customer type'!$C$16</f>
        <v>Input 501-A: Load factor</v>
      </c>
    </row>
    <row r="95" spans="2:7" x14ac:dyDescent="0.25">
      <c r="F95" s="176" t="s">
        <v>599</v>
      </c>
      <c r="G95" s="175" t="str">
        <f ca="1">'ARP_Inputs by customer type'!$C$36</f>
        <v>Input 501-B: Coincidence factor</v>
      </c>
    </row>
    <row r="96" spans="2:7" x14ac:dyDescent="0.25">
      <c r="F96" s="176" t="s">
        <v>599</v>
      </c>
      <c r="G96" s="175" t="str">
        <f ca="1">'ARP_Inputs by customer type'!$C$58</f>
        <v>Input 501-C: All-the-way volumes - No residual</v>
      </c>
    </row>
    <row r="97" spans="6:7" x14ac:dyDescent="0.25">
      <c r="F97" s="176" t="s">
        <v>599</v>
      </c>
      <c r="G97" s="175" t="str">
        <f ca="1">'ARP_Inputs by customer type'!$C$186</f>
        <v>Input 501-D: All-the-way volumes - Residual Band 1</v>
      </c>
    </row>
    <row r="98" spans="6:7" x14ac:dyDescent="0.25">
      <c r="F98" s="176" t="s">
        <v>599</v>
      </c>
      <c r="G98" s="175" t="str">
        <f ca="1">'ARP_Inputs by customer type'!$C$314</f>
        <v>Input 501-E: All-the-way volumes - Residual Band 2</v>
      </c>
    </row>
    <row r="99" spans="6:7" x14ac:dyDescent="0.25">
      <c r="F99" s="176" t="s">
        <v>599</v>
      </c>
      <c r="G99" s="175" t="str">
        <f ca="1">'ARP_Inputs by customer type'!$C$442</f>
        <v>Input 501-F: All-the-way volumes - Residual Band 3</v>
      </c>
    </row>
    <row r="100" spans="6:7" x14ac:dyDescent="0.25">
      <c r="F100" s="176" t="s">
        <v>599</v>
      </c>
      <c r="G100" s="175" t="str">
        <f ca="1">'ARP_Inputs by customer type'!$C$570</f>
        <v>Input 501-G: All-the-way volumes - Residual Band 4</v>
      </c>
    </row>
    <row r="101" spans="6:7" x14ac:dyDescent="0.25">
      <c r="F101" s="176" t="s">
        <v>599</v>
      </c>
      <c r="G101" s="175" t="str">
        <f ca="1">'ARP_Inputs by customer type'!$C$698</f>
        <v>Input 501-H: LDNO LV volumes - No residual</v>
      </c>
    </row>
    <row r="102" spans="6:7" x14ac:dyDescent="0.25">
      <c r="F102" s="176" t="s">
        <v>599</v>
      </c>
      <c r="G102" s="175" t="str">
        <f ca="1">'ARP_Inputs by customer type'!$C$826</f>
        <v>Input 501-I: LDNO LV volumes - Residual band 1</v>
      </c>
    </row>
    <row r="103" spans="6:7" x14ac:dyDescent="0.25">
      <c r="F103" s="176" t="s">
        <v>599</v>
      </c>
      <c r="G103" s="175" t="str">
        <f ca="1">'ARP_Inputs by customer type'!$C$954</f>
        <v>Input 501-J: LDNO LV volumes - Residual band 2</v>
      </c>
    </row>
    <row r="104" spans="6:7" x14ac:dyDescent="0.25">
      <c r="F104" s="176" t="s">
        <v>599</v>
      </c>
      <c r="G104" s="175" t="str">
        <f ca="1">'ARP_Inputs by customer type'!$C$1082</f>
        <v>Input 501-K: LDNO LV volumes - Residual band 3</v>
      </c>
    </row>
    <row r="105" spans="6:7" x14ac:dyDescent="0.25">
      <c r="F105" s="176" t="s">
        <v>599</v>
      </c>
      <c r="G105" s="175" t="str">
        <f ca="1">'ARP_Inputs by customer type'!$C$1210</f>
        <v>Input 501-L: LDNO LV volumes - Residual band 4</v>
      </c>
    </row>
    <row r="106" spans="6:7" x14ac:dyDescent="0.25">
      <c r="F106" s="176" t="s">
        <v>599</v>
      </c>
      <c r="G106" s="175" t="str">
        <f ca="1">'ARP_Inputs by customer type'!$C$1338</f>
        <v>Input 501-M: LDNO HV volumes - No residual</v>
      </c>
    </row>
    <row r="107" spans="6:7" x14ac:dyDescent="0.25">
      <c r="F107" s="176" t="s">
        <v>599</v>
      </c>
      <c r="G107" s="175" t="str">
        <f ca="1">'ARP_Inputs by customer type'!$C$1466</f>
        <v>Input 501-N: LDNO HV volumes - Residual band 1</v>
      </c>
    </row>
    <row r="108" spans="6:7" x14ac:dyDescent="0.25">
      <c r="F108" s="176" t="s">
        <v>599</v>
      </c>
      <c r="G108" s="175" t="str">
        <f ca="1">'ARP_Inputs by customer type'!$C$1594</f>
        <v>Input 501-O: LDNO HV volumes - Residual band 2</v>
      </c>
    </row>
    <row r="109" spans="6:7" x14ac:dyDescent="0.25">
      <c r="F109" s="176" t="s">
        <v>599</v>
      </c>
      <c r="G109" s="175" t="str">
        <f ca="1">'ARP_Inputs by customer type'!$C$1722</f>
        <v>Input 501-P: LDNO HV volumes - Residual band 3</v>
      </c>
    </row>
    <row r="110" spans="6:7" x14ac:dyDescent="0.25">
      <c r="F110" s="176" t="s">
        <v>599</v>
      </c>
      <c r="G110" s="175" t="str">
        <f ca="1">'ARP_Inputs by customer type'!$C$1850</f>
        <v>Input 501-Q: LDNO HV volumes - Residual band 4</v>
      </c>
    </row>
    <row r="111" spans="6:7" x14ac:dyDescent="0.25">
      <c r="F111" s="176" t="s">
        <v>599</v>
      </c>
      <c r="G111" s="175" t="str">
        <f ca="1">'ARP_Inputs by customer type'!$C$1978</f>
        <v>Input 501-R: 'Designated Property' MPANs with EDCM-level LDNO boundaries</v>
      </c>
    </row>
    <row r="112" spans="6:7" x14ac:dyDescent="0.25">
      <c r="F112" s="176" t="s">
        <v>599</v>
      </c>
      <c r="G112" s="175" t="str">
        <f ca="1">'ARP_Inputs by customer type'!$C$2003</f>
        <v>Input 501-S: All the way non-domestic aggregated (related MPAN) distribution by bands</v>
      </c>
    </row>
    <row r="113" spans="6:7" x14ac:dyDescent="0.25">
      <c r="F113" s="176" t="s">
        <v>599</v>
      </c>
      <c r="G113" s="175" t="str">
        <f ca="1">'ARP_Inputs by customer type'!$C$2026</f>
        <v>Input 501-T: LDNO LV non-domestic aggregated (related MPAN) distribution by bands</v>
      </c>
    </row>
    <row r="114" spans="6:7" x14ac:dyDescent="0.25">
      <c r="F114" s="176" t="s">
        <v>599</v>
      </c>
      <c r="G114" s="175" t="str">
        <f ca="1">'ARP_Inputs by customer type'!$C$2049</f>
        <v>Input 501-U: LDNO HV non-domestic aggregated (related MPAN) distribution by bands</v>
      </c>
    </row>
    <row r="115" spans="6:7" x14ac:dyDescent="0.25">
      <c r="F115" s="176" t="s">
        <v>599</v>
      </c>
      <c r="G115" s="175" t="str">
        <f ca="1">'ARP_Inputs by customer type'!$C$2076</f>
        <v>Input 501-V: LV customer service model asset values</v>
      </c>
    </row>
    <row r="116" spans="6:7" x14ac:dyDescent="0.25">
      <c r="F116" s="176" t="s">
        <v>599</v>
      </c>
      <c r="G116" s="175" t="str">
        <f ca="1">'ARP_Inputs by customer type'!$C$2096</f>
        <v>Input 501-W: HV customer service model asset values</v>
      </c>
    </row>
    <row r="117" spans="6:7" ht="15.75" thickBot="1" x14ac:dyDescent="0.3">
      <c r="F117" s="176" t="s">
        <v>599</v>
      </c>
      <c r="G117" s="175" t="str">
        <f ca="1">'ARP_Inputs by customer type'!$C$2116</f>
        <v>Input 501-X: LV UMS customer service model asset values</v>
      </c>
    </row>
    <row r="118" spans="6:7" ht="15.75" thickTop="1" x14ac:dyDescent="0.25">
      <c r="F118" s="177" t="s">
        <v>607</v>
      </c>
      <c r="G118" s="175" t="str">
        <f ca="1">'ARP_Inputs by network level'!$C$16</f>
        <v>Input 502-A: Diversity allowance between top and bottom of network level</v>
      </c>
    </row>
    <row r="119" spans="6:7" x14ac:dyDescent="0.25">
      <c r="F119" s="176" t="s">
        <v>599</v>
      </c>
      <c r="G119" s="175" t="str">
        <f ca="1">'ARP_Inputs by network level'!$C$30</f>
        <v>Input 502-B: Proportion of EHV/HV load going through 132kV/HV direct transformation</v>
      </c>
    </row>
    <row r="120" spans="6:7" x14ac:dyDescent="0.25">
      <c r="F120" s="176" t="s">
        <v>599</v>
      </c>
      <c r="G120" s="175" t="str">
        <f ca="1">'ARP_Inputs by network level'!$C$44</f>
        <v>Input 502-C: Loss adjustment factors to transmission</v>
      </c>
    </row>
    <row r="121" spans="6:7" x14ac:dyDescent="0.25">
      <c r="F121" s="176" t="s">
        <v>599</v>
      </c>
      <c r="G121" s="175" t="str">
        <f ca="1">'ARP_Inputs by network level'!$C$58</f>
        <v>Input 502-D: Average kVAr by kVA, by network level</v>
      </c>
    </row>
    <row r="122" spans="6:7" x14ac:dyDescent="0.25">
      <c r="F122" s="176" t="s">
        <v>599</v>
      </c>
      <c r="G122" s="175" t="str">
        <f ca="1">'ARP_Inputs by network level'!$C$72</f>
        <v>Input 502-E: Customer contributions under current connection charging policy</v>
      </c>
    </row>
    <row r="123" spans="6:7" x14ac:dyDescent="0.25">
      <c r="F123" s="176" t="s">
        <v>599</v>
      </c>
      <c r="G123" s="175" t="str">
        <f ca="1">'ARP_Inputs by network level'!$C$120</f>
        <v>Input 502-F: Gross asset cost by network level</v>
      </c>
    </row>
    <row r="124" spans="6:7" ht="15.75" thickBot="1" x14ac:dyDescent="0.3">
      <c r="F124" s="176" t="s">
        <v>599</v>
      </c>
      <c r="G124" s="175" t="str">
        <f ca="1">'ARP_Inputs by network level'!$C$134</f>
        <v>Input 502-G: Peaking probabilities, by timeband &amp; network level</v>
      </c>
    </row>
    <row r="125" spans="6:7" ht="15.75" thickTop="1" x14ac:dyDescent="0.25">
      <c r="F125" s="177" t="s">
        <v>608</v>
      </c>
      <c r="G125" s="175" t="str">
        <f ca="1">'ARP_General inputs'!$C$16</f>
        <v>Input 503-A: Split of hours by distribution timeband</v>
      </c>
    </row>
    <row r="126" spans="6:7" x14ac:dyDescent="0.25">
      <c r="F126" s="176" t="s">
        <v>599</v>
      </c>
      <c r="G126" s="175" t="str">
        <f ca="1">'ARP_General inputs'!$C$28</f>
        <v>Input 503-B: Embedded network (LDNO) discount percentages</v>
      </c>
    </row>
    <row r="127" spans="6:7" x14ac:dyDescent="0.25">
      <c r="F127" s="176" t="s">
        <v>599</v>
      </c>
      <c r="G127" s="175" t="str">
        <f ca="1">'ARP_General inputs'!$C$38</f>
        <v>Input 503-C: CDCM target revenue</v>
      </c>
    </row>
    <row r="128" spans="6:7" x14ac:dyDescent="0.25">
      <c r="F128" s="176" t="s">
        <v>599</v>
      </c>
      <c r="G128" s="175" t="str">
        <f ca="1">'ARP_General inputs'!$C$99</f>
        <v>Input 503-D: Financial and general assumptions</v>
      </c>
    </row>
    <row r="129" spans="6:7" x14ac:dyDescent="0.25">
      <c r="F129" s="176" t="s">
        <v>599</v>
      </c>
      <c r="G129" s="175" t="str">
        <f ca="1">'ARP_General inputs'!$C$104</f>
        <v>Input 503-E: Transmission exit charges</v>
      </c>
    </row>
    <row r="130" spans="6:7" ht="15.75" thickBot="1" x14ac:dyDescent="0.3">
      <c r="F130" s="176" t="s">
        <v>599</v>
      </c>
      <c r="G130" s="175" t="str">
        <f ca="1">'ARP_General inputs'!$C$108</f>
        <v>Input 503-F: Other expenditure</v>
      </c>
    </row>
    <row r="131" spans="6:7" ht="15.75" thickTop="1" x14ac:dyDescent="0.25">
      <c r="F131" s="177" t="s">
        <v>428</v>
      </c>
      <c r="G131" s="175" t="str">
        <f ca="1">'Fixed inputs'!$C$13</f>
        <v>Input 504-A: Conversions and time</v>
      </c>
    </row>
    <row r="132" spans="6:7" x14ac:dyDescent="0.25">
      <c r="F132" s="176" t="s">
        <v>599</v>
      </c>
      <c r="G132" s="175" t="str">
        <f ca="1">'Fixed inputs'!$C$20</f>
        <v>Input 504-B: Input 101-B: Rounding</v>
      </c>
    </row>
    <row r="133" spans="6:7" x14ac:dyDescent="0.25">
      <c r="F133" s="176" t="s">
        <v>599</v>
      </c>
      <c r="G133" s="175" t="str">
        <f ca="1">'Fixed inputs'!$C$33</f>
        <v>Input 504-C: Financial and general assumptions</v>
      </c>
    </row>
    <row r="134" spans="6:7" x14ac:dyDescent="0.25">
      <c r="F134" s="176" t="s">
        <v>599</v>
      </c>
      <c r="G134" s="175" t="str">
        <f ca="1">'Fixed inputs'!$C$43</f>
        <v>Input 504-D: Mappings</v>
      </c>
    </row>
    <row r="135" spans="6:7" x14ac:dyDescent="0.25">
      <c r="F135" s="176" t="s">
        <v>599</v>
      </c>
      <c r="G135" s="175" t="str">
        <f ca="1">'Fixed inputs'!$C$84</f>
        <v>Input 504-E: Standing charge factors</v>
      </c>
    </row>
    <row r="136" spans="6:7" x14ac:dyDescent="0.25">
      <c r="F136" s="176" t="s">
        <v>599</v>
      </c>
      <c r="G136" s="175" t="str">
        <f ca="1">'Fixed inputs'!$C$99</f>
        <v>Input 504-F: Flags</v>
      </c>
    </row>
    <row r="137" spans="6:7" x14ac:dyDescent="0.25">
      <c r="F137" s="176" t="s">
        <v>599</v>
      </c>
      <c r="G137" s="175" t="str">
        <f ca="1">'Fixed inputs'!$C$141</f>
        <v>Input 504-G: Identifiers for customer groupings</v>
      </c>
    </row>
    <row r="138" spans="6:7" x14ac:dyDescent="0.25">
      <c r="F138" s="176" t="s">
        <v>599</v>
      </c>
      <c r="G138" s="175" t="str">
        <f ca="1">'Fixed inputs'!$C$151</f>
        <v>Input 504-H: Decimal places for error checks</v>
      </c>
    </row>
    <row r="139" spans="6:7" x14ac:dyDescent="0.25">
      <c r="F139" s="176" t="s">
        <v>599</v>
      </c>
      <c r="G139" s="175" t="str">
        <f ca="1">'Fixed inputs'!$C$155</f>
        <v>Input 504-I: Map of applicable MPANs</v>
      </c>
    </row>
    <row r="140" spans="6:7" ht="15.75" thickBot="1" x14ac:dyDescent="0.3">
      <c r="F140" s="176" t="s">
        <v>599</v>
      </c>
      <c r="G140" s="175" t="str">
        <f ca="1">'Fixed inputs'!$C$162</f>
        <v>Input 504-J: Revenue matching inputs</v>
      </c>
    </row>
    <row r="141" spans="6:7" ht="15.75" thickTop="1" x14ac:dyDescent="0.25">
      <c r="F141" s="179" t="s">
        <v>445</v>
      </c>
      <c r="G141" s="175" t="str">
        <f ca="1">'Inputs by customer type'!$C$16</f>
        <v>Section 501-A: Load characteristics</v>
      </c>
    </row>
    <row r="142" spans="6:7" x14ac:dyDescent="0.25">
      <c r="F142" s="178" t="s">
        <v>599</v>
      </c>
      <c r="G142" s="175" t="str">
        <f ca="1">'Inputs by customer type'!$C$21</f>
        <v>Section 501-B: Volume forecasts for the charging year</v>
      </c>
    </row>
    <row r="143" spans="6:7" x14ac:dyDescent="0.25">
      <c r="F143" s="178" t="s">
        <v>599</v>
      </c>
      <c r="G143" s="175" t="str">
        <f ca="1">'Inputs by customer type'!$C$166</f>
        <v>Section 501-C: Non-Domestic Aggregated (Related MPAN) distribution by bands</v>
      </c>
    </row>
    <row r="144" spans="6:7" ht="15.75" thickBot="1" x14ac:dyDescent="0.3">
      <c r="F144" s="178" t="s">
        <v>599</v>
      </c>
      <c r="G144" s="175" t="str">
        <f ca="1">'Inputs by customer type'!$C$186</f>
        <v>Section 501-D: Service model asset values</v>
      </c>
    </row>
    <row r="145" spans="6:7" ht="15.75" thickTop="1" x14ac:dyDescent="0.25">
      <c r="F145" s="179" t="s">
        <v>195</v>
      </c>
      <c r="G145" s="175" t="str">
        <f ca="1">'Inputs by network level'!$C$16</f>
        <v>Section 502-A: Network and load inputs</v>
      </c>
    </row>
    <row r="146" spans="6:7" x14ac:dyDescent="0.25">
      <c r="F146" s="178" t="s">
        <v>599</v>
      </c>
      <c r="G146" s="175" t="str">
        <f ca="1">'Inputs by network level'!$C$26</f>
        <v>Section 502-B: Customer contributions under current connection charging policy</v>
      </c>
    </row>
    <row r="147" spans="6:7" x14ac:dyDescent="0.25">
      <c r="F147" s="178" t="s">
        <v>599</v>
      </c>
      <c r="G147" s="175" t="str">
        <f ca="1">'Inputs by network level'!$C$34</f>
        <v>Section 502-C: DRM asset costs</v>
      </c>
    </row>
    <row r="148" spans="6:7" ht="15.75" thickBot="1" x14ac:dyDescent="0.3">
      <c r="F148" s="178" t="s">
        <v>599</v>
      </c>
      <c r="G148" s="175" t="str">
        <f ca="1">'Inputs by network level'!$C$38</f>
        <v>Section 502-D: Peaking probabilities by network level</v>
      </c>
    </row>
    <row r="149" spans="6:7" ht="15.75" thickTop="1" x14ac:dyDescent="0.25">
      <c r="F149" s="179" t="s">
        <v>552</v>
      </c>
      <c r="G149" s="175" t="str">
        <f ca="1">'General inputs'!$C$16</f>
        <v>Section 503-A: Inputs by distribution timeband</v>
      </c>
    </row>
    <row r="150" spans="6:7" x14ac:dyDescent="0.25">
      <c r="F150" s="178" t="s">
        <v>599</v>
      </c>
      <c r="G150" s="175" t="str">
        <f ca="1">'General inputs'!$C$28</f>
        <v>Section 503-B: LDNO discount inputs</v>
      </c>
    </row>
    <row r="151" spans="6:7" x14ac:dyDescent="0.25">
      <c r="F151" s="178" t="s">
        <v>599</v>
      </c>
      <c r="G151" s="175" t="str">
        <f ca="1">'General inputs'!$C$38</f>
        <v>Section 503-C: CDCM target revenue</v>
      </c>
    </row>
    <row r="152" spans="6:7" x14ac:dyDescent="0.25">
      <c r="F152" s="178" t="s">
        <v>599</v>
      </c>
      <c r="G152" s="175" t="str">
        <f ca="1">'General inputs'!$C$93</f>
        <v>Section 503-D: Financial and general assumptions</v>
      </c>
    </row>
    <row r="153" spans="6:7" x14ac:dyDescent="0.25">
      <c r="F153" s="178" t="s">
        <v>599</v>
      </c>
      <c r="G153" s="175" t="str">
        <f ca="1">'General inputs'!$C$99</f>
        <v>Section 503-E: Transmission exit charges</v>
      </c>
    </row>
    <row r="154" spans="6:7" ht="15.75" thickBot="1" x14ac:dyDescent="0.3">
      <c r="F154" s="178" t="s">
        <v>599</v>
      </c>
      <c r="G154" s="175" t="str">
        <f ca="1">'General inputs'!$C$103</f>
        <v>Section 503-F: Other expenditure</v>
      </c>
    </row>
    <row r="155" spans="6:7" ht="16.5" thickTop="1" thickBot="1" x14ac:dyDescent="0.3">
      <c r="F155" s="179" t="s">
        <v>263</v>
      </c>
      <c r="G155" s="175" t="str">
        <f ca="1">'Standing charge factors'!$C$19</f>
        <v>Section 504-A: Adjustments to standing charges</v>
      </c>
    </row>
    <row r="156" spans="6:7" ht="15.75" thickTop="1" x14ac:dyDescent="0.25">
      <c r="F156" s="179" t="s">
        <v>432</v>
      </c>
      <c r="G156" s="175" t="str">
        <f ca="1">'Load &amp; loss characteristics'!$C$17</f>
        <v>Section 505-A: Load characteristics</v>
      </c>
    </row>
    <row r="157" spans="6:7" x14ac:dyDescent="0.25">
      <c r="F157" s="178" t="s">
        <v>599</v>
      </c>
      <c r="G157" s="175" t="str">
        <f ca="1">'Load &amp; loss characteristics'!$C$25</f>
        <v>Section 505-B: Loss adjustment factors</v>
      </c>
    </row>
    <row r="158" spans="6:7" x14ac:dyDescent="0.25">
      <c r="F158" s="178" t="s">
        <v>599</v>
      </c>
      <c r="G158" s="175" t="str">
        <f ca="1">'Load &amp; loss characteristics'!$C$35</f>
        <v>Section 505-C: Proportion of relevant load going through 132kV/HV direct transformation</v>
      </c>
    </row>
    <row r="159" spans="6:7" x14ac:dyDescent="0.25">
      <c r="F159" s="178" t="s">
        <v>599</v>
      </c>
      <c r="G159" s="175" t="str">
        <f ca="1">'Load &amp; loss characteristics'!$C$40</f>
        <v>Section 505-D: Network use factors</v>
      </c>
    </row>
    <row r="160" spans="6:7" ht="15.75" thickBot="1" x14ac:dyDescent="0.3">
      <c r="F160" s="178" t="s">
        <v>599</v>
      </c>
      <c r="G160" s="175" t="str">
        <f ca="1">'Load &amp; loss characteristics'!$C$121</f>
        <v>Section 505-E: User loss factors</v>
      </c>
    </row>
    <row r="161" spans="6:7" ht="15.75" thickTop="1" x14ac:dyDescent="0.25">
      <c r="F161" s="179" t="s">
        <v>232</v>
      </c>
      <c r="G161" s="175" t="str">
        <f ca="1">'Customer contributions'!$C$16</f>
        <v>Section 506-A: Network use factors</v>
      </c>
    </row>
    <row r="162" spans="6:7" ht="15.75" thickBot="1" x14ac:dyDescent="0.3">
      <c r="F162" s="178" t="s">
        <v>599</v>
      </c>
      <c r="G162" s="175" t="str">
        <f ca="1">'Customer contributions'!$C$38</f>
        <v>Section 506-B: Customer contributions</v>
      </c>
    </row>
    <row r="163" spans="6:7" ht="15.75" thickTop="1" x14ac:dyDescent="0.25">
      <c r="F163" s="179" t="s">
        <v>233</v>
      </c>
      <c r="G163" s="175" t="str">
        <f ca="1">'Volume adjustments'!$C$15</f>
        <v>Section 507-A: LDNO discounts</v>
      </c>
    </row>
    <row r="164" spans="6:7" x14ac:dyDescent="0.25">
      <c r="F164" s="178" t="s">
        <v>599</v>
      </c>
      <c r="G164" s="175" t="str">
        <f ca="1">'Volume adjustments'!$C$53</f>
        <v>Section 507-B: Aggregation of volumes</v>
      </c>
    </row>
    <row r="165" spans="6:7" x14ac:dyDescent="0.25">
      <c r="F165" s="178" t="s">
        <v>599</v>
      </c>
      <c r="G165" s="175" t="str">
        <f ca="1">'Volume adjustments'!$C$225</f>
        <v>Section 507-C: Volume discounting</v>
      </c>
    </row>
    <row r="166" spans="6:7" x14ac:dyDescent="0.25">
      <c r="F166" s="178" t="s">
        <v>599</v>
      </c>
      <c r="G166" s="175" t="str">
        <f ca="1">'Volume adjustments'!$C$332</f>
        <v>Section 507-D: No residual volume discounting</v>
      </c>
    </row>
    <row r="167" spans="6:7" x14ac:dyDescent="0.25">
      <c r="F167" s="178" t="s">
        <v>599</v>
      </c>
      <c r="G167" s="175" t="str">
        <f ca="1">'Volume adjustments'!$C$361</f>
        <v>Section 507-E: Residual band 1 volume discounting</v>
      </c>
    </row>
    <row r="168" spans="6:7" x14ac:dyDescent="0.25">
      <c r="F168" s="178" t="s">
        <v>599</v>
      </c>
      <c r="G168" s="175" t="str">
        <f ca="1">'Volume adjustments'!$C$390</f>
        <v>Section 507-F: Residual band 2 volume discounting</v>
      </c>
    </row>
    <row r="169" spans="6:7" x14ac:dyDescent="0.25">
      <c r="F169" s="178" t="s">
        <v>599</v>
      </c>
      <c r="G169" s="175" t="str">
        <f ca="1">'Volume adjustments'!$C$419</f>
        <v>Section 507-G: Residual band 3 volume discounting</v>
      </c>
    </row>
    <row r="170" spans="6:7" x14ac:dyDescent="0.25">
      <c r="F170" s="178" t="s">
        <v>599</v>
      </c>
      <c r="G170" s="175" t="str">
        <f ca="1">'Volume adjustments'!$C$448</f>
        <v>Section 507-H: Residual band 4 volume discounting</v>
      </c>
    </row>
    <row r="171" spans="6:7" x14ac:dyDescent="0.25">
      <c r="F171" s="178" t="s">
        <v>599</v>
      </c>
      <c r="G171" s="175" t="str">
        <f ca="1">'Volume adjustments'!$C$477</f>
        <v>Section 507-I: Discounted volumes by residual band</v>
      </c>
    </row>
    <row r="172" spans="6:7" x14ac:dyDescent="0.25">
      <c r="F172" s="178" t="s">
        <v>599</v>
      </c>
      <c r="G172" s="175" t="str">
        <f ca="1">'Volume adjustments'!$C$523</f>
        <v>Section 507-J: Volumes by residual band</v>
      </c>
    </row>
    <row r="173" spans="6:7" ht="15.75" thickBot="1" x14ac:dyDescent="0.3">
      <c r="F173" s="178" t="s">
        <v>599</v>
      </c>
      <c r="G173" s="175" t="str">
        <f ca="1">'Volume adjustments'!$C$657</f>
        <v>Section 507-K: Non-domestic aggregated (related MPAN) distribution across bands</v>
      </c>
    </row>
    <row r="174" spans="6:7" ht="15.75" thickTop="1" x14ac:dyDescent="0.25">
      <c r="F174" s="179" t="s">
        <v>224</v>
      </c>
      <c r="G174" s="175" t="str">
        <f ca="1">'Pseudo-load coefficients'!$C$18</f>
        <v>Section 508-A: Flags and hours in timebands</v>
      </c>
    </row>
    <row r="175" spans="6:7" x14ac:dyDescent="0.25">
      <c r="F175" s="178" t="s">
        <v>599</v>
      </c>
      <c r="G175" s="175" t="str">
        <f ca="1">'Pseudo-load coefficients'!$C$28</f>
        <v>Section 508-B: Average load by timeband</v>
      </c>
    </row>
    <row r="176" spans="6:7" x14ac:dyDescent="0.25">
      <c r="F176" s="178" t="s">
        <v>599</v>
      </c>
      <c r="G176" s="175" t="str">
        <f ca="1">'Pseudo-load coefficients'!$C$36</f>
        <v>Section 508-C: Aggregated groups for pseudo-load coefficients</v>
      </c>
    </row>
    <row r="177" spans="6:7" x14ac:dyDescent="0.25">
      <c r="F177" s="178" t="s">
        <v>599</v>
      </c>
      <c r="G177" s="175" t="str">
        <f ca="1">'Pseudo-load coefficients'!$C$52</f>
        <v>Section 508-D: Ratio of coincidence to load factor assuming units evenly spread within time bands, and peak falls in Red period</v>
      </c>
    </row>
    <row r="178" spans="6:7" x14ac:dyDescent="0.25">
      <c r="F178" s="178" t="s">
        <v>599</v>
      </c>
      <c r="G178" s="175" t="str">
        <f ca="1">'Pseudo-load coefficients'!$C$60</f>
        <v>Section 508-E: Load characteristics for all customers</v>
      </c>
    </row>
    <row r="179" spans="6:7" x14ac:dyDescent="0.25">
      <c r="F179" s="178" t="s">
        <v>599</v>
      </c>
      <c r="G179" s="175" t="str">
        <f ca="1">'Pseudo-load coefficients'!$C$65</f>
        <v>Section 508-F: Aggregated load characteristics for grouped customers</v>
      </c>
    </row>
    <row r="180" spans="6:7" x14ac:dyDescent="0.25">
      <c r="F180" s="178" t="s">
        <v>599</v>
      </c>
      <c r="G180" s="175" t="str">
        <f ca="1">'Pseudo-load coefficients'!$C$87</f>
        <v>Section 508-G: Calculation of correction factor</v>
      </c>
    </row>
    <row r="181" spans="6:7" x14ac:dyDescent="0.25">
      <c r="F181" s="178" t="s">
        <v>599</v>
      </c>
      <c r="G181" s="175" t="str">
        <f ca="1">'Pseudo-load coefficients'!$C$100</f>
        <v>Section 508-H: Peaking probabilities, by network level</v>
      </c>
    </row>
    <row r="182" spans="6:7" x14ac:dyDescent="0.25">
      <c r="F182" s="178" t="s">
        <v>599</v>
      </c>
      <c r="G182" s="175" t="str">
        <f ca="1">'Pseudo-load coefficients'!$C$174</f>
        <v>Section 508-I: Peaking probabilities, by network level and customer type</v>
      </c>
    </row>
    <row r="183" spans="6:7" x14ac:dyDescent="0.25">
      <c r="F183" s="178" t="s">
        <v>599</v>
      </c>
      <c r="G183" s="175" t="str">
        <f ca="1">'Pseudo-load coefficients'!$C$221</f>
        <v>Section 508-J: Ratio of coincidence factor to load factor, based on uniform distribution in timebands and peaking probabilities</v>
      </c>
    </row>
    <row r="184" spans="6:7" x14ac:dyDescent="0.25">
      <c r="F184" s="178" t="s">
        <v>599</v>
      </c>
      <c r="G184" s="175" t="str">
        <f ca="1">'Pseudo-load coefficients'!$C$265</f>
        <v>Section 508-K: Load coefficient</v>
      </c>
    </row>
    <row r="185" spans="6:7" ht="15.75" thickBot="1" x14ac:dyDescent="0.3">
      <c r="F185" s="178" t="s">
        <v>599</v>
      </c>
      <c r="G185" s="175" t="str">
        <f ca="1">'Pseudo-load coefficients'!$C$269</f>
        <v>Section 508-L: Pseudo load coefficients, by unit rate</v>
      </c>
    </row>
    <row r="186" spans="6:7" ht="15.75" thickTop="1" x14ac:dyDescent="0.25">
      <c r="F186" s="179" t="s">
        <v>433</v>
      </c>
      <c r="G186" s="175" t="str">
        <f ca="1">'System peak demand'!$C$18</f>
        <v>Section 509-A: Common inputs for chargeable load calculations</v>
      </c>
    </row>
    <row r="187" spans="6:7" x14ac:dyDescent="0.25">
      <c r="F187" s="178" t="s">
        <v>599</v>
      </c>
      <c r="G187" s="175" t="str">
        <f ca="1">'System peak demand'!$C$67</f>
        <v>Section 509-B: System peak load, by unit rate</v>
      </c>
    </row>
    <row r="188" spans="6:7" x14ac:dyDescent="0.25">
      <c r="F188" s="178" t="s">
        <v>599</v>
      </c>
      <c r="G188" s="175" t="str">
        <f ca="1">'System peak demand'!$C$138</f>
        <v>Section 509-C: System peak load, all unit rates</v>
      </c>
    </row>
    <row r="189" spans="6:7" x14ac:dyDescent="0.25">
      <c r="F189" s="178" t="s">
        <v>599</v>
      </c>
      <c r="G189" s="175" t="str">
        <f ca="1">'System peak demand'!$C$164</f>
        <v>Section 509-D: Unit rate contributions to chargeable peak load</v>
      </c>
    </row>
    <row r="190" spans="6:7" x14ac:dyDescent="0.25">
      <c r="F190" s="178" t="s">
        <v>599</v>
      </c>
      <c r="G190" s="175" t="str">
        <f ca="1">'System peak demand'!$C$184</f>
        <v>Section 509-E: Adjustment of import and exceeded capacity</v>
      </c>
    </row>
    <row r="191" spans="6:7" x14ac:dyDescent="0.25">
      <c r="F191" s="178" t="s">
        <v>599</v>
      </c>
      <c r="G191" s="175" t="str">
        <f ca="1">'System peak demand'!$C$194</f>
        <v>Section 509-F: Calculation of LV circuit diversity factor</v>
      </c>
    </row>
    <row r="192" spans="6:7" x14ac:dyDescent="0.25">
      <c r="F192" s="178" t="s">
        <v>599</v>
      </c>
      <c r="G192" s="175" t="str">
        <f ca="1">'System peak demand'!$C$236</f>
        <v>Section 509-G: Import/exceeded capacity contribution to system peak</v>
      </c>
    </row>
    <row r="193" spans="6:7" x14ac:dyDescent="0.25">
      <c r="F193" s="178" t="s">
        <v>599</v>
      </c>
      <c r="G193" s="175" t="str">
        <f ca="1">'System peak demand'!$C$249</f>
        <v>Section 509-H: Estimated capacity contribution to system peak</v>
      </c>
    </row>
    <row r="194" spans="6:7" ht="15.75" thickBot="1" x14ac:dyDescent="0.3">
      <c r="F194" s="178" t="s">
        <v>599</v>
      </c>
      <c r="G194" s="175" t="str">
        <f ca="1">'System peak demand'!$C$266</f>
        <v>Section 509-I: System peak based on chargeable load</v>
      </c>
    </row>
    <row r="195" spans="6:7" ht="16.5" thickTop="1" thickBot="1" x14ac:dyDescent="0.3">
      <c r="F195" s="179" t="s">
        <v>225</v>
      </c>
      <c r="G195" s="175" t="str">
        <f ca="1">'Service model assets'!$C$14</f>
        <v>Section 510-A: Service model notional asset values</v>
      </c>
    </row>
    <row r="196" spans="6:7" ht="15.75" thickTop="1" x14ac:dyDescent="0.25">
      <c r="F196" s="179" t="s">
        <v>294</v>
      </c>
      <c r="G196" s="175" t="str">
        <f ca="1">'Unit costs'!$C$19</f>
        <v>Section 511-A: Financial data</v>
      </c>
    </row>
    <row r="197" spans="6:7" x14ac:dyDescent="0.25">
      <c r="F197" s="178" t="s">
        <v>599</v>
      </c>
      <c r="G197" s="175" t="str">
        <f ca="1">'Unit costs'!$C$27</f>
        <v>Section 511-B: Diversity and loss adjustment factors</v>
      </c>
    </row>
    <row r="198" spans="6:7" x14ac:dyDescent="0.25">
      <c r="F198" s="178" t="s">
        <v>599</v>
      </c>
      <c r="G198" s="175" t="str">
        <f ca="1">'Unit costs'!$C$35</f>
        <v>Section 511-C: Maximum demand</v>
      </c>
    </row>
    <row r="199" spans="6:7" x14ac:dyDescent="0.25">
      <c r="F199" s="178" t="s">
        <v>599</v>
      </c>
      <c r="G199" s="175" t="str">
        <f ca="1">'Unit costs'!$C$42</f>
        <v>Section 511-D: Rerouting matrix</v>
      </c>
    </row>
    <row r="200" spans="6:7" x14ac:dyDescent="0.25">
      <c r="F200" s="178" t="s">
        <v>599</v>
      </c>
      <c r="G200" s="175" t="str">
        <f ca="1">'Unit costs'!$C$50</f>
        <v>Section 511-E: Annuitised cost of assets</v>
      </c>
    </row>
    <row r="201" spans="6:7" x14ac:dyDescent="0.25">
      <c r="F201" s="178" t="s">
        <v>599</v>
      </c>
      <c r="G201" s="175" t="str">
        <f ca="1">'Unit costs'!$C$62</f>
        <v>Section 511-F: System simultaneous peak load based on charegable units</v>
      </c>
    </row>
    <row r="202" spans="6:7" x14ac:dyDescent="0.25">
      <c r="F202" s="178" t="s">
        <v>599</v>
      </c>
      <c r="G202" s="175" t="str">
        <f ca="1">'Unit costs'!$C$69</f>
        <v>Section 511-G: Notional asset values, by network level</v>
      </c>
    </row>
    <row r="203" spans="6:7" x14ac:dyDescent="0.25">
      <c r="F203" s="178" t="s">
        <v>599</v>
      </c>
      <c r="G203" s="175" t="str">
        <f ca="1">'Unit costs'!$C$80</f>
        <v>Section 511-H: Other operating costs</v>
      </c>
    </row>
    <row r="204" spans="6:7" x14ac:dyDescent="0.25">
      <c r="F204" s="178" t="s">
        <v>599</v>
      </c>
      <c r="G204" s="175" t="str">
        <f ca="1">'Unit costs'!$C$92</f>
        <v>Section 511-I: Other operating costs by network level</v>
      </c>
    </row>
    <row r="205" spans="6:7" x14ac:dyDescent="0.25">
      <c r="F205" s="178" t="s">
        <v>599</v>
      </c>
      <c r="G205" s="175" t="str">
        <f ca="1">'Unit costs'!$C$104</f>
        <v>Section 511-J: Notional asset values by network level</v>
      </c>
    </row>
    <row r="206" spans="6:7" x14ac:dyDescent="0.25">
      <c r="F206" s="178" t="s">
        <v>599</v>
      </c>
      <c r="G206" s="175" t="str">
        <f ca="1">'Unit costs'!$C$110</f>
        <v>Section 511-K: Unit costs</v>
      </c>
    </row>
    <row r="207" spans="6:7" ht="15.75" thickBot="1" x14ac:dyDescent="0.3">
      <c r="F207" s="178" t="s">
        <v>599</v>
      </c>
      <c r="G207" s="175" t="str">
        <f ca="1">'Unit costs'!$C$117</f>
        <v>Section 511-L: Values used for allocating costs to service models</v>
      </c>
    </row>
    <row r="208" spans="6:7" ht="15.75" thickTop="1" x14ac:dyDescent="0.25">
      <c r="F208" s="179" t="s">
        <v>234</v>
      </c>
      <c r="G208" s="175" t="str">
        <f ca="1">'Initial unit rates'!$C$13</f>
        <v>Section 512-A: Inputs for yardstick and unit rate calculations</v>
      </c>
    </row>
    <row r="209" spans="6:7" x14ac:dyDescent="0.25">
      <c r="F209" s="178" t="s">
        <v>599</v>
      </c>
      <c r="G209" s="175" t="str">
        <f ca="1">'Initial unit rates'!$C$118</f>
        <v>Section 512-B: Yardstick charges</v>
      </c>
    </row>
    <row r="210" spans="6:7" x14ac:dyDescent="0.25">
      <c r="F210" s="178" t="s">
        <v>599</v>
      </c>
      <c r="G210" s="175" t="str">
        <f ca="1">'Initial unit rates'!$C$146</f>
        <v>Section 512-C: Unit rate 1</v>
      </c>
    </row>
    <row r="211" spans="6:7" x14ac:dyDescent="0.25">
      <c r="F211" s="178" t="s">
        <v>599</v>
      </c>
      <c r="G211" s="175" t="str">
        <f ca="1">'Initial unit rates'!$C$175</f>
        <v>Section 512-D: Unit rate 2</v>
      </c>
    </row>
    <row r="212" spans="6:7" ht="15.75" thickBot="1" x14ac:dyDescent="0.3">
      <c r="F212" s="178" t="s">
        <v>599</v>
      </c>
      <c r="G212" s="175" t="str">
        <f ca="1">'Initial unit rates'!$C$204</f>
        <v>Section 512-E: Unit rate 3</v>
      </c>
    </row>
    <row r="213" spans="6:7" ht="15.75" thickTop="1" x14ac:dyDescent="0.25">
      <c r="F213" s="179" t="s">
        <v>434</v>
      </c>
      <c r="G213" s="175" t="str">
        <f ca="1">'Service model charges'!$C$17</f>
        <v>Section 513-A: Inputs to service model charge calculation</v>
      </c>
    </row>
    <row r="214" spans="6:7" x14ac:dyDescent="0.25">
      <c r="F214" s="178" t="s">
        <v>599</v>
      </c>
      <c r="G214" s="175" t="str">
        <f ca="1">'Service model charges'!$C$33</f>
        <v>Section 513-B: Calculation of other operating expenditure per £ of notional asset value</v>
      </c>
    </row>
    <row r="215" spans="6:7" ht="15.75" thickBot="1" x14ac:dyDescent="0.3">
      <c r="F215" s="178" t="s">
        <v>599</v>
      </c>
      <c r="G215" s="175" t="str">
        <f ca="1">'Service model charges'!$C$37</f>
        <v>Section 513-C: Calculation of service model charges</v>
      </c>
    </row>
    <row r="216" spans="6:7" ht="15.75" thickTop="1" x14ac:dyDescent="0.25">
      <c r="F216" s="179" t="s">
        <v>435</v>
      </c>
      <c r="G216" s="175" t="str">
        <f ca="1">'Unit rate charges'!$C$19</f>
        <v>Section 514-A: Initial unit rate 1</v>
      </c>
    </row>
    <row r="217" spans="6:7" x14ac:dyDescent="0.25">
      <c r="F217" s="178" t="s">
        <v>599</v>
      </c>
      <c r="G217" s="175" t="str">
        <f ca="1">'Unit rate charges'!$C$49</f>
        <v>Section 514-B: Initial unit rate 2</v>
      </c>
    </row>
    <row r="218" spans="6:7" x14ac:dyDescent="0.25">
      <c r="F218" s="178" t="s">
        <v>599</v>
      </c>
      <c r="G218" s="175" t="str">
        <f ca="1">'Unit rate charges'!$C$79</f>
        <v>Section 514-C: Initial unit rate 3</v>
      </c>
    </row>
    <row r="219" spans="6:7" x14ac:dyDescent="0.25">
      <c r="F219" s="178" t="s">
        <v>599</v>
      </c>
      <c r="G219" s="175" t="str">
        <f ca="1">'Unit rate charges'!$C$109</f>
        <v>Section 514-D: Standing charge factors</v>
      </c>
    </row>
    <row r="220" spans="6:7" x14ac:dyDescent="0.25">
      <c r="F220" s="178" t="s">
        <v>599</v>
      </c>
      <c r="G220" s="175" t="str">
        <f ca="1">'Unit rate charges'!$C$124</f>
        <v>Section 514-E: Contributions to unit rate 1 p/kWh by network level (taking account of standing charges)</v>
      </c>
    </row>
    <row r="221" spans="6:7" x14ac:dyDescent="0.25">
      <c r="F221" s="178" t="s">
        <v>599</v>
      </c>
      <c r="G221" s="175" t="str">
        <f ca="1">'Unit rate charges'!$C$154</f>
        <v>Section 514-F: Contributions to unit rate 2 p/kWh by network level (taking account of standing charges)</v>
      </c>
    </row>
    <row r="222" spans="6:7" x14ac:dyDescent="0.25">
      <c r="F222" s="178" t="s">
        <v>599</v>
      </c>
      <c r="G222" s="175" t="str">
        <f ca="1">'Unit rate charges'!$C$184</f>
        <v>Section 514-G: Contributions to unit rate 3 p/kWh by network level (taking account of standing charges)</v>
      </c>
    </row>
    <row r="223" spans="6:7" ht="15.75" thickBot="1" x14ac:dyDescent="0.3">
      <c r="F223" s="178" t="s">
        <v>599</v>
      </c>
      <c r="G223" s="175" t="str">
        <f ca="1">'Unit rate charges'!$C$214</f>
        <v>Section 514-H: Unit rates, post application of standing charges</v>
      </c>
    </row>
    <row r="224" spans="6:7" ht="15.75" thickTop="1" x14ac:dyDescent="0.25">
      <c r="F224" s="179" t="s">
        <v>236</v>
      </c>
      <c r="G224" s="175" t="str">
        <f ca="1">'Capacity charges'!$C$19</f>
        <v>Section 515-A: Inputs to capacity charge calculations</v>
      </c>
    </row>
    <row r="225" spans="6:7" x14ac:dyDescent="0.25">
      <c r="F225" s="178" t="s">
        <v>599</v>
      </c>
      <c r="G225" s="175" t="str">
        <f ca="1">'Capacity charges'!$C$129</f>
        <v>Section 515-B: Capacity-based charge elements (to be split between capacity &amp; fixed charges)</v>
      </c>
    </row>
    <row r="226" spans="6:7" x14ac:dyDescent="0.25">
      <c r="F226" s="178" t="s">
        <v>599</v>
      </c>
      <c r="G226" s="175" t="str">
        <f ca="1">'Capacity charges'!$C$159</f>
        <v>Section 515-C: Exceeded capacity-based charge elements</v>
      </c>
    </row>
    <row r="227" spans="6:7" x14ac:dyDescent="0.25">
      <c r="F227" s="178" t="s">
        <v>599</v>
      </c>
      <c r="G227" s="175" t="str">
        <f ca="1">'Capacity charges'!$C$189</f>
        <v>Section 515-D: Capacity charges for eligible customers, by network level</v>
      </c>
    </row>
    <row r="228" spans="6:7" x14ac:dyDescent="0.25">
      <c r="F228" s="178" t="s">
        <v>599</v>
      </c>
      <c r="G228" s="175" t="str">
        <f ca="1">'Capacity charges'!$C$219</f>
        <v>Section 515-E: Exceeded capacity charges for eligible customers, by network level</v>
      </c>
    </row>
    <row r="229" spans="6:7" x14ac:dyDescent="0.25">
      <c r="F229" s="178" t="s">
        <v>599</v>
      </c>
      <c r="G229" s="175" t="str">
        <f ca="1">'Capacity charges'!$C$254</f>
        <v>Section 515-F: Capacity and exceeded capacity charges</v>
      </c>
    </row>
    <row r="230" spans="6:7" ht="15.75" thickBot="1" x14ac:dyDescent="0.3">
      <c r="F230" s="178" t="s">
        <v>599</v>
      </c>
      <c r="G230" s="175" t="str">
        <f ca="1">'Capacity charges'!$C$259</f>
        <v>Section 515-G: Capacity elements allocated to fixed charges</v>
      </c>
    </row>
    <row r="231" spans="6:7" ht="15.75" thickTop="1" x14ac:dyDescent="0.25">
      <c r="F231" s="179" t="s">
        <v>394</v>
      </c>
      <c r="G231" s="175" t="str">
        <f ca="1">'Reactive power charges'!$C$17</f>
        <v>Section 516-A: Inputs to reactive power charge calculations</v>
      </c>
    </row>
    <row r="232" spans="6:7" x14ac:dyDescent="0.25">
      <c r="F232" s="178" t="s">
        <v>599</v>
      </c>
      <c r="G232" s="175" t="str">
        <f ca="1">'Reactive power charges'!$C$120</f>
        <v>Section 516-B: Yardstick charge (demand)</v>
      </c>
    </row>
    <row r="233" spans="6:7" x14ac:dyDescent="0.25">
      <c r="F233" s="178" t="s">
        <v>599</v>
      </c>
      <c r="G233" s="175" t="str">
        <f ca="1">'Reactive power charges'!$C$155</f>
        <v>Section 516-C: Yardstick charge used for generation</v>
      </c>
    </row>
    <row r="234" spans="6:7" x14ac:dyDescent="0.25">
      <c r="F234" s="178" t="s">
        <v>599</v>
      </c>
      <c r="G234" s="175" t="str">
        <f ca="1">'Reactive power charges'!$C$190</f>
        <v>Section 516-D: Reactive power charges, all customer categories</v>
      </c>
    </row>
    <row r="235" spans="6:7" ht="15.75" thickBot="1" x14ac:dyDescent="0.3">
      <c r="F235" s="178" t="s">
        <v>599</v>
      </c>
      <c r="G235" s="175" t="str">
        <f ca="1">'Reactive power charges'!$C$220</f>
        <v>Section 516-E: Reactive power charges for applicable customers</v>
      </c>
    </row>
    <row r="236" spans="6:7" ht="15.75" thickTop="1" x14ac:dyDescent="0.25">
      <c r="F236" s="179" t="s">
        <v>237</v>
      </c>
      <c r="G236" s="175" t="str">
        <f ca="1">'Fixed charges'!$C$16</f>
        <v>Section 517-A: Volumes (discounted MPANs &amp; maximum load)</v>
      </c>
    </row>
    <row r="237" spans="6:7" x14ac:dyDescent="0.25">
      <c r="F237" s="178" t="s">
        <v>599</v>
      </c>
      <c r="G237" s="175" t="str">
        <f ca="1">'Fixed charges'!$C$22</f>
        <v>Section 517-B: Capacity elements allocated to fixed charges</v>
      </c>
    </row>
    <row r="238" spans="6:7" x14ac:dyDescent="0.25">
      <c r="F238" s="178" t="s">
        <v>599</v>
      </c>
      <c r="G238" s="175" t="str">
        <f ca="1">'Fixed charges'!$C$52</f>
        <v>Section 517-C: Service model costs allocated to fixed charges</v>
      </c>
    </row>
    <row r="239" spans="6:7" x14ac:dyDescent="0.25">
      <c r="F239" s="178" t="s">
        <v>599</v>
      </c>
      <c r="G239" s="175" t="str">
        <f ca="1">'Fixed charges'!$C$58</f>
        <v>Section 517-D: Flags</v>
      </c>
    </row>
    <row r="240" spans="6:7" x14ac:dyDescent="0.25">
      <c r="F240" s="178" t="s">
        <v>599</v>
      </c>
      <c r="G240" s="175" t="str">
        <f ca="1">'Fixed charges'!$C$67</f>
        <v>Section 517-E: Revenue allocated to fixed charges</v>
      </c>
    </row>
    <row r="241" spans="6:7" x14ac:dyDescent="0.25">
      <c r="F241" s="178" t="s">
        <v>599</v>
      </c>
      <c r="G241" s="175" t="str">
        <f ca="1">'Fixed charges'!$C$97</f>
        <v>Section 517-F: Revenue allocated to fixed charges, by aggregation group</v>
      </c>
    </row>
    <row r="242" spans="6:7" x14ac:dyDescent="0.25">
      <c r="F242" s="178" t="s">
        <v>599</v>
      </c>
      <c r="G242" s="175" t="str">
        <f ca="1">'Fixed charges'!$C$127</f>
        <v>Section 517-G: Fixed charges, by network level</v>
      </c>
    </row>
    <row r="243" spans="6:7" ht="15.75" thickBot="1" x14ac:dyDescent="0.3">
      <c r="F243" s="178" t="s">
        <v>599</v>
      </c>
      <c r="G243" s="175" t="str">
        <f ca="1">'Fixed charges'!$C$159</f>
        <v>Section 517-H: Aggregated fixed charges</v>
      </c>
    </row>
    <row r="244" spans="6:7" ht="15.75" thickTop="1" x14ac:dyDescent="0.25">
      <c r="F244" s="179" t="s">
        <v>1245</v>
      </c>
      <c r="G244" s="175" t="str">
        <f ca="1">'SoLR &amp; bad debt adders'!$C$16</f>
        <v>Section 518-A: Inputs for fixed tariff adjustments</v>
      </c>
    </row>
    <row r="245" spans="6:7" x14ac:dyDescent="0.25">
      <c r="F245" s="178" t="s">
        <v>599</v>
      </c>
      <c r="G245" s="175" t="str">
        <f ca="1">'SoLR &amp; bad debt adders'!$C$35</f>
        <v>Section 518-B: Calculation of fixed tariff adjustments</v>
      </c>
    </row>
    <row r="246" spans="6:7" ht="15.75" thickBot="1" x14ac:dyDescent="0.3">
      <c r="F246" s="178" t="s">
        <v>599</v>
      </c>
      <c r="G246" s="175" t="str">
        <f ca="1">'SoLR &amp; bad debt adders'!$C$53</f>
        <v>Section 518-C: Calculation of fixed charge adder revenue</v>
      </c>
    </row>
    <row r="247" spans="6:7" ht="15.75" thickTop="1" x14ac:dyDescent="0.25">
      <c r="F247" s="179" t="s">
        <v>238</v>
      </c>
      <c r="G247" s="175" t="str">
        <f ca="1">'Revenue matching'!$C$15</f>
        <v>Section 519-A: Inputs to revenue matching</v>
      </c>
    </row>
    <row r="248" spans="6:7" x14ac:dyDescent="0.25">
      <c r="F248" s="178" t="s">
        <v>599</v>
      </c>
      <c r="G248" s="175" t="str">
        <f ca="1">'Revenue matching'!$C$70</f>
        <v>Section 519-B: Net revenue before matching</v>
      </c>
    </row>
    <row r="249" spans="6:7" x14ac:dyDescent="0.25">
      <c r="F249" s="178" t="s">
        <v>599</v>
      </c>
      <c r="G249" s="175" t="str">
        <f ca="1">'Revenue matching'!$C$89</f>
        <v>Section 519-C: Grouping of residual bands where a band has insufficient customers</v>
      </c>
    </row>
    <row r="250" spans="6:7" x14ac:dyDescent="0.25">
      <c r="F250" s="178" t="s">
        <v>599</v>
      </c>
      <c r="G250" s="175" t="str">
        <f ca="1">'Revenue matching'!$C$152</f>
        <v>Section 519-D: Calculating MPANs for matching</v>
      </c>
    </row>
    <row r="251" spans="6:7" x14ac:dyDescent="0.25">
      <c r="F251" s="178" t="s">
        <v>599</v>
      </c>
      <c r="G251" s="175" t="str">
        <f ca="1">'Revenue matching'!$C$160</f>
        <v>Section 519-E: Calculating unit volumes for matching</v>
      </c>
    </row>
    <row r="252" spans="6:7" x14ac:dyDescent="0.25">
      <c r="F252" s="178" t="s">
        <v>599</v>
      </c>
      <c r="G252" s="175" t="str">
        <f ca="1">'Revenue matching'!$C$177</f>
        <v>Section 519-F: Allocating revenue to tariffs</v>
      </c>
    </row>
    <row r="253" spans="6:7" x14ac:dyDescent="0.25">
      <c r="F253" s="178" t="s">
        <v>599</v>
      </c>
      <c r="G253" s="175" t="str">
        <f ca="1">'Revenue matching'!$C$193</f>
        <v>Section 519-G: Calculating the residual fixed charge</v>
      </c>
    </row>
    <row r="254" spans="6:7" x14ac:dyDescent="0.25">
      <c r="F254" s="178" t="s">
        <v>599</v>
      </c>
      <c r="G254" s="175" t="str">
        <f ca="1">'Revenue matching'!$C$201</f>
        <v>Section 519-H: Calculating the initial residual unit rate</v>
      </c>
    </row>
    <row r="255" spans="6:7" x14ac:dyDescent="0.25">
      <c r="F255" s="178" t="s">
        <v>599</v>
      </c>
      <c r="G255" s="175" t="str">
        <f ca="1">'Revenue matching'!$C$214</f>
        <v>Section 519-I: Floor on negative residual fixed charges</v>
      </c>
    </row>
    <row r="256" spans="6:7" x14ac:dyDescent="0.25">
      <c r="F256" s="178" t="s">
        <v>599</v>
      </c>
      <c r="G256" s="175" t="str">
        <f ca="1">'Revenue matching'!$C$233</f>
        <v>Section 519-J: Ranking unit rate volumes and tariffs</v>
      </c>
    </row>
    <row r="257" spans="6:7" x14ac:dyDescent="0.25">
      <c r="F257" s="178" t="s">
        <v>599</v>
      </c>
      <c r="G257" s="175" t="str">
        <f ca="1">'Revenue matching'!$C$287</f>
        <v>Section 519-K: Revenue matching for three timebands</v>
      </c>
    </row>
    <row r="258" spans="6:7" x14ac:dyDescent="0.25">
      <c r="F258" s="178" t="s">
        <v>599</v>
      </c>
      <c r="G258" s="175" t="str">
        <f ca="1">'Revenue matching'!$C$314</f>
        <v>Section 519-L: Revenue matching for two timebands</v>
      </c>
    </row>
    <row r="259" spans="6:7" x14ac:dyDescent="0.25">
      <c r="F259" s="178" t="s">
        <v>599</v>
      </c>
      <c r="G259" s="175" t="str">
        <f ca="1">'Revenue matching'!$C$346</f>
        <v>Section 519-M: Revenue matching for one timeband</v>
      </c>
    </row>
    <row r="260" spans="6:7" x14ac:dyDescent="0.25">
      <c r="F260" s="178" t="s">
        <v>599</v>
      </c>
      <c r="G260" s="175" t="str">
        <f ca="1">'Revenue matching'!$C$378</f>
        <v>Section 519-N: Revenue matching adders by timeband</v>
      </c>
    </row>
    <row r="261" spans="6:7" ht="15.75" thickBot="1" x14ac:dyDescent="0.3">
      <c r="F261" s="178" t="s">
        <v>599</v>
      </c>
      <c r="G261" s="175" t="str">
        <f ca="1">'Revenue matching'!$C$410</f>
        <v>Section 519-O: Final adders</v>
      </c>
    </row>
    <row r="262" spans="6:7" ht="15.75" thickTop="1" x14ac:dyDescent="0.25">
      <c r="F262" s="179" t="s">
        <v>185</v>
      </c>
      <c r="G262" s="175" t="str">
        <f ca="1">Rounding!$C$16</f>
        <v>Section 520-A: Pre-match, pre-rounding tariff forecast</v>
      </c>
    </row>
    <row r="263" spans="6:7" x14ac:dyDescent="0.25">
      <c r="F263" s="178" t="s">
        <v>599</v>
      </c>
      <c r="G263" s="175" t="str">
        <f ca="1">Rounding!$C$28</f>
        <v>Section 520-B: Adders for revenue-matching</v>
      </c>
    </row>
    <row r="264" spans="6:7" x14ac:dyDescent="0.25">
      <c r="F264" s="178" t="s">
        <v>599</v>
      </c>
      <c r="G264" s="175" t="str">
        <f ca="1">Rounding!$C$40</f>
        <v>Section 520-C: Adder to fixed charge for allocated pass-through costs</v>
      </c>
    </row>
    <row r="265" spans="6:7" x14ac:dyDescent="0.25">
      <c r="F265" s="178" t="s">
        <v>599</v>
      </c>
      <c r="G265" s="175" t="str">
        <f ca="1">Rounding!$C$52</f>
        <v>Section 520-D: LDNO discounts</v>
      </c>
    </row>
    <row r="266" spans="6:7" x14ac:dyDescent="0.25">
      <c r="F266" s="178" t="s">
        <v>599</v>
      </c>
      <c r="G266" s="175" t="str">
        <f ca="1">Rounding!$C$92</f>
        <v>Section 520-E: Decimal places for rounding</v>
      </c>
    </row>
    <row r="267" spans="6:7" x14ac:dyDescent="0.25">
      <c r="F267" s="178" t="s">
        <v>599</v>
      </c>
      <c r="G267" s="175" t="str">
        <f ca="1">Rounding!$C$107</f>
        <v>Section 520-F: Tariff forecast, post-revenue matching</v>
      </c>
    </row>
    <row r="268" spans="6:7" x14ac:dyDescent="0.25">
      <c r="F268" s="178" t="s">
        <v>599</v>
      </c>
      <c r="G268" s="175" t="str">
        <f ca="1">Rounding!$C$118</f>
        <v>Section 520-G: Tariff forecast, post-adders &amp; discounting</v>
      </c>
    </row>
    <row r="269" spans="6:7" ht="15.75" thickBot="1" x14ac:dyDescent="0.3">
      <c r="F269" s="178" t="s">
        <v>599</v>
      </c>
      <c r="G269" s="175" t="str">
        <f ca="1">Rounding!$C$147</f>
        <v>Section 520-H: Tariff forecast, post-rounding</v>
      </c>
    </row>
    <row r="270" spans="6:7" ht="15.75" thickTop="1" x14ac:dyDescent="0.25">
      <c r="F270" s="179" t="s">
        <v>553</v>
      </c>
      <c r="G270" s="175" t="str">
        <f ca="1">'Net revenue summary'!$C$13</f>
        <v>Section 521-A: Volume forecasts</v>
      </c>
    </row>
    <row r="271" spans="6:7" x14ac:dyDescent="0.25">
      <c r="F271" s="178" t="s">
        <v>599</v>
      </c>
      <c r="G271" s="175" t="str">
        <f ca="1">'Net revenue summary'!$C$52</f>
        <v>Section 521-B: Tariff forecast</v>
      </c>
    </row>
    <row r="272" spans="6:7" x14ac:dyDescent="0.25">
      <c r="F272" s="178" t="s">
        <v>599</v>
      </c>
      <c r="G272" s="175" t="str">
        <f ca="1">'Net revenue summary'!$C$81</f>
        <v>Section 521-C: Net revenue components</v>
      </c>
    </row>
    <row r="273" spans="2:7" x14ac:dyDescent="0.25">
      <c r="F273" s="178" t="s">
        <v>599</v>
      </c>
      <c r="G273" s="175" t="str">
        <f ca="1">'Net revenue summary'!$C$92</f>
        <v>Section 521-D: Net revenue by tariff</v>
      </c>
    </row>
    <row r="274" spans="2:7" x14ac:dyDescent="0.25">
      <c r="F274" s="178" t="s">
        <v>599</v>
      </c>
      <c r="G274" s="175" t="str">
        <f ca="1">'Net revenue summary'!$C$124</f>
        <v>Section 521-E: Net revenue summary (for information only)</v>
      </c>
    </row>
    <row r="275" spans="2:7" ht="15.75" thickBot="1" x14ac:dyDescent="0.3">
      <c r="F275" s="178" t="s">
        <v>599</v>
      </c>
      <c r="G275" s="175" t="str">
        <f ca="1">'Net revenue summary'!$C$138</f>
        <v>Section 521-F: Typical bills</v>
      </c>
    </row>
    <row r="276" spans="2:7" ht="15.75" thickTop="1" x14ac:dyDescent="0.25">
      <c r="F276" s="181" t="s">
        <v>436</v>
      </c>
      <c r="G276" s="175" t="str">
        <f ca="1">'Tariff summary'!$C$15</f>
        <v>Output 501-A: Live tariff results (2024/25)</v>
      </c>
    </row>
    <row r="277" spans="2:7" x14ac:dyDescent="0.25">
      <c r="F277" s="180" t="s">
        <v>599</v>
      </c>
      <c r="G277" s="175" t="str">
        <f ca="1">'Tariff summary'!$C$119</f>
        <v>Output 501-B: tariff forecast results for charging year 2024/25</v>
      </c>
    </row>
    <row r="278" spans="2:7" x14ac:dyDescent="0.25">
      <c r="F278" s="180" t="s">
        <v>599</v>
      </c>
      <c r="G278" s="175" t="str">
        <f ca="1">'Tariff summary'!$C$223</f>
        <v>Output 501-C: Tariff results for charging year 2025/26</v>
      </c>
    </row>
    <row r="279" spans="2:7" x14ac:dyDescent="0.25">
      <c r="F279" s="180" t="s">
        <v>599</v>
      </c>
      <c r="G279" s="175" t="str">
        <f ca="1">'Tariff summary'!$C$327</f>
        <v>Output 501-D: Tariff results for charging year 2026/27</v>
      </c>
    </row>
    <row r="280" spans="2:7" x14ac:dyDescent="0.25">
      <c r="F280" s="180" t="s">
        <v>599</v>
      </c>
      <c r="G280" s="175" t="str">
        <f ca="1">'Tariff summary'!$C$431</f>
        <v>Output 501-E: Tariff results for charging year 2027/28</v>
      </c>
    </row>
    <row r="281" spans="2:7" ht="15.75" thickBot="1" x14ac:dyDescent="0.3">
      <c r="F281" s="180" t="s">
        <v>599</v>
      </c>
      <c r="G281" s="175" t="str">
        <f ca="1">'Tariff summary'!$C$535</f>
        <v>Output 501-F: Tariff results for charging year 2028/29</v>
      </c>
    </row>
    <row r="282" spans="2:7" ht="15.75" thickTop="1" x14ac:dyDescent="0.25">
      <c r="F282" s="181" t="s">
        <v>483</v>
      </c>
      <c r="G282" s="175" t="str">
        <f ca="1">'Typical bills'!$C$15</f>
        <v>Output 502-A: Typical bill results</v>
      </c>
    </row>
    <row r="284" spans="2:7" x14ac:dyDescent="0.25">
      <c r="B284" s="82" t="s">
        <v>110</v>
      </c>
      <c r="C284" s="82"/>
      <c r="D284" s="82"/>
      <c r="E284" s="82"/>
      <c r="F284" s="82"/>
      <c r="G284" s="82"/>
    </row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 activeCell="F7" sqref="F7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90.42578125" customWidth="1"/>
    <col min="8" max="8" width="20.5703125" customWidth="1"/>
    <col min="9" max="9" width="2.5703125" customWidth="1"/>
    <col min="10" max="16" width="15.42578125" hidden="1" customWidth="1"/>
    <col min="17" max="17" width="2.5703125" hidden="1" customWidth="1"/>
    <col min="18" max="27" width="0" hidden="1" customWidth="1"/>
    <col min="28" max="16384" width="9.140625" hidden="1"/>
  </cols>
  <sheetData>
    <row r="1" spans="1:8" s="8" customFormat="1" x14ac:dyDescent="0.25">
      <c r="A1" s="8" t="str">
        <f ca="1">MID(CELL("filename",A1),FIND("]",CELL("filename",A1))+1,255)</f>
        <v>Named ranges</v>
      </c>
    </row>
    <row r="2" spans="1:8" s="8" customFormat="1" x14ac:dyDescent="0.25">
      <c r="A2" s="8" t="str">
        <f>Cover!D21&amp;" - "&amp;Cover!D23</f>
        <v>SP Distribution - One</v>
      </c>
    </row>
    <row r="3" spans="1:8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8" x14ac:dyDescent="0.25">
      <c r="B5" s="42" t="s">
        <v>429</v>
      </c>
      <c r="C5" s="42"/>
      <c r="D5" s="42"/>
      <c r="E5" s="42"/>
      <c r="F5" s="47"/>
      <c r="G5" s="47"/>
      <c r="H5" s="47"/>
    </row>
    <row r="6" spans="1:8" x14ac:dyDescent="0.25">
      <c r="B6" s="44"/>
      <c r="C6" s="44"/>
      <c r="D6" s="44"/>
      <c r="E6" s="44"/>
      <c r="F6" s="45"/>
      <c r="G6" s="44"/>
      <c r="H6" s="44"/>
    </row>
    <row r="7" spans="1:8" x14ac:dyDescent="0.25">
      <c r="F7" s="175" t="s">
        <v>854</v>
      </c>
      <c r="G7" t="s">
        <v>853</v>
      </c>
      <c r="H7" t="s">
        <v>594</v>
      </c>
    </row>
    <row r="8" spans="1:8" x14ac:dyDescent="0.25">
      <c r="F8" s="175" t="s">
        <v>856</v>
      </c>
      <c r="G8" t="s">
        <v>855</v>
      </c>
      <c r="H8" t="s">
        <v>595</v>
      </c>
    </row>
    <row r="9" spans="1:8" x14ac:dyDescent="0.25">
      <c r="F9" s="175" t="s">
        <v>858</v>
      </c>
      <c r="G9" t="s">
        <v>857</v>
      </c>
      <c r="H9" t="s">
        <v>428</v>
      </c>
    </row>
    <row r="10" spans="1:8" x14ac:dyDescent="0.25">
      <c r="F10" s="175" t="s">
        <v>859</v>
      </c>
      <c r="G10" t="s">
        <v>41</v>
      </c>
      <c r="H10" t="s">
        <v>552</v>
      </c>
    </row>
    <row r="11" spans="1:8" x14ac:dyDescent="0.25">
      <c r="F11" s="175" t="s">
        <v>861</v>
      </c>
      <c r="G11" t="s">
        <v>860</v>
      </c>
      <c r="H11" t="s">
        <v>594</v>
      </c>
    </row>
    <row r="12" spans="1:8" x14ac:dyDescent="0.25">
      <c r="F12" s="175" t="s">
        <v>862</v>
      </c>
      <c r="G12" t="s">
        <v>133</v>
      </c>
      <c r="H12" t="s">
        <v>428</v>
      </c>
    </row>
    <row r="13" spans="1:8" x14ac:dyDescent="0.25">
      <c r="F13" s="175" t="s">
        <v>864</v>
      </c>
      <c r="G13" t="s">
        <v>863</v>
      </c>
      <c r="H13" t="s">
        <v>552</v>
      </c>
    </row>
    <row r="14" spans="1:8" x14ac:dyDescent="0.25">
      <c r="F14" s="175" t="s">
        <v>866</v>
      </c>
      <c r="G14" t="s">
        <v>865</v>
      </c>
      <c r="H14" t="s">
        <v>428</v>
      </c>
    </row>
    <row r="15" spans="1:8" x14ac:dyDescent="0.25">
      <c r="F15" s="175" t="s">
        <v>868</v>
      </c>
      <c r="G15" t="s">
        <v>867</v>
      </c>
      <c r="H15" t="s">
        <v>483</v>
      </c>
    </row>
    <row r="16" spans="1:8" x14ac:dyDescent="0.25">
      <c r="F16" s="175" t="s">
        <v>870</v>
      </c>
      <c r="G16" t="s">
        <v>869</v>
      </c>
      <c r="H16" t="s">
        <v>436</v>
      </c>
    </row>
    <row r="17" spans="2:8" x14ac:dyDescent="0.25">
      <c r="F17" s="175" t="s">
        <v>872</v>
      </c>
      <c r="G17" t="s">
        <v>871</v>
      </c>
      <c r="H17" t="s">
        <v>428</v>
      </c>
    </row>
    <row r="18" spans="2:8" x14ac:dyDescent="0.25">
      <c r="F18" s="175" t="s">
        <v>874</v>
      </c>
      <c r="G18" t="s">
        <v>873</v>
      </c>
      <c r="H18" t="s">
        <v>483</v>
      </c>
    </row>
    <row r="19" spans="2:8" x14ac:dyDescent="0.25">
      <c r="F19" s="175" t="s">
        <v>876</v>
      </c>
      <c r="G19" t="s">
        <v>875</v>
      </c>
      <c r="H19" t="s">
        <v>436</v>
      </c>
    </row>
    <row r="20" spans="2:8" x14ac:dyDescent="0.25">
      <c r="F20" s="175" t="s">
        <v>878</v>
      </c>
      <c r="G20" t="s">
        <v>877</v>
      </c>
      <c r="H20" t="s">
        <v>483</v>
      </c>
    </row>
    <row r="21" spans="2:8" x14ac:dyDescent="0.25">
      <c r="F21" s="175" t="s">
        <v>880</v>
      </c>
      <c r="G21" t="s">
        <v>879</v>
      </c>
      <c r="H21" t="s">
        <v>436</v>
      </c>
    </row>
    <row r="22" spans="2:8" x14ac:dyDescent="0.25">
      <c r="F22" s="175" t="s">
        <v>882</v>
      </c>
      <c r="G22" t="s">
        <v>881</v>
      </c>
      <c r="H22" t="s">
        <v>483</v>
      </c>
    </row>
    <row r="23" spans="2:8" x14ac:dyDescent="0.25">
      <c r="F23" s="175" t="s">
        <v>884</v>
      </c>
      <c r="G23" t="s">
        <v>883</v>
      </c>
      <c r="H23" t="s">
        <v>436</v>
      </c>
    </row>
    <row r="24" spans="2:8" x14ac:dyDescent="0.25">
      <c r="F24" s="175" t="s">
        <v>886</v>
      </c>
      <c r="G24" t="s">
        <v>885</v>
      </c>
      <c r="H24" t="s">
        <v>483</v>
      </c>
    </row>
    <row r="25" spans="2:8" x14ac:dyDescent="0.25">
      <c r="F25" s="175" t="s">
        <v>888</v>
      </c>
      <c r="G25" t="s">
        <v>887</v>
      </c>
      <c r="H25" t="s">
        <v>436</v>
      </c>
    </row>
    <row r="26" spans="2:8" x14ac:dyDescent="0.25">
      <c r="F26" s="175" t="s">
        <v>890</v>
      </c>
      <c r="G26" t="s">
        <v>889</v>
      </c>
      <c r="H26" t="s">
        <v>483</v>
      </c>
    </row>
    <row r="27" spans="2:8" x14ac:dyDescent="0.25">
      <c r="F27" s="175" t="s">
        <v>892</v>
      </c>
      <c r="G27" t="s">
        <v>891</v>
      </c>
      <c r="H27" t="s">
        <v>436</v>
      </c>
    </row>
    <row r="28" spans="2:8" x14ac:dyDescent="0.25">
      <c r="F28" s="175" t="s">
        <v>894</v>
      </c>
      <c r="G28" t="s">
        <v>893</v>
      </c>
      <c r="H28" t="s">
        <v>428</v>
      </c>
    </row>
    <row r="29" spans="2:8" x14ac:dyDescent="0.25">
      <c r="F29" s="175" t="s">
        <v>896</v>
      </c>
      <c r="G29" t="s">
        <v>895</v>
      </c>
      <c r="H29" t="s">
        <v>428</v>
      </c>
    </row>
    <row r="30" spans="2:8" x14ac:dyDescent="0.25">
      <c r="F30" s="175" t="s">
        <v>898</v>
      </c>
      <c r="G30" t="s">
        <v>897</v>
      </c>
      <c r="H30" t="s">
        <v>595</v>
      </c>
    </row>
    <row r="31" spans="2:8" x14ac:dyDescent="0.25">
      <c r="F31" s="175"/>
    </row>
    <row r="32" spans="2:8" x14ac:dyDescent="0.25">
      <c r="B32" s="42" t="s">
        <v>110</v>
      </c>
      <c r="C32" s="42"/>
      <c r="D32" s="42"/>
      <c r="E32" s="42"/>
      <c r="F32" s="47"/>
      <c r="G32" s="47"/>
      <c r="H32" s="47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 activeCell="F11" sqref="F11:F18"/>
    </sheetView>
  </sheetViews>
  <sheetFormatPr defaultColWidth="0" defaultRowHeight="15" x14ac:dyDescent="0.25"/>
  <cols>
    <col min="1" max="5" width="2.5703125" customWidth="1"/>
    <col min="6" max="6" width="149.42578125" customWidth="1"/>
    <col min="7" max="7" width="2.5703125" customWidth="1"/>
    <col min="8" max="14" width="15.42578125" hidden="1" customWidth="1"/>
    <col min="15" max="15" width="2.5703125" hidden="1" customWidth="1"/>
    <col min="16" max="27" width="0" hidden="1" customWidth="1"/>
    <col min="28" max="16384" width="9.140625" hidden="1"/>
  </cols>
  <sheetData>
    <row r="1" spans="1:6" s="8" customFormat="1" x14ac:dyDescent="0.25">
      <c r="A1" s="8" t="str">
        <f ca="1">MID(CELL("filename",A1),FIND("]",CELL("filename",A1))+1,255)</f>
        <v>ARP_DNO commentary</v>
      </c>
    </row>
    <row r="2" spans="1:6" s="8" customFormat="1" x14ac:dyDescent="0.25">
      <c r="A2" s="8" t="str">
        <f>Cover!D21&amp;" - "&amp;Cover!D23</f>
        <v>SP Distribution - One</v>
      </c>
    </row>
    <row r="3" spans="1:6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6" x14ac:dyDescent="0.25">
      <c r="B5" s="42" t="s">
        <v>90</v>
      </c>
      <c r="C5" s="42"/>
      <c r="D5" s="42"/>
      <c r="E5" s="42"/>
      <c r="F5" s="47"/>
    </row>
    <row r="6" spans="1:6" x14ac:dyDescent="0.25">
      <c r="B6" s="44"/>
      <c r="C6" s="44"/>
      <c r="D6" s="44"/>
      <c r="E6" s="44"/>
      <c r="F6" s="44"/>
    </row>
    <row r="7" spans="1:6" x14ac:dyDescent="0.25">
      <c r="C7" s="73" t="s">
        <v>745</v>
      </c>
      <c r="D7" s="102"/>
      <c r="E7" s="44"/>
      <c r="F7" s="44"/>
    </row>
    <row r="9" spans="1:6" x14ac:dyDescent="0.25">
      <c r="B9" s="42" t="s">
        <v>452</v>
      </c>
      <c r="C9" s="42"/>
      <c r="D9" s="42"/>
      <c r="E9" s="42"/>
      <c r="F9" s="47"/>
    </row>
    <row r="10" spans="1:6" x14ac:dyDescent="0.25">
      <c r="B10" s="44"/>
      <c r="C10" s="44"/>
      <c r="D10" s="44"/>
      <c r="E10" s="44"/>
      <c r="F10" s="44"/>
    </row>
    <row r="11" spans="1:6" x14ac:dyDescent="0.25">
      <c r="B11" s="46"/>
      <c r="C11" s="102"/>
      <c r="E11" s="46"/>
      <c r="F11" s="502"/>
    </row>
    <row r="12" spans="1:6" x14ac:dyDescent="0.25">
      <c r="B12" s="46"/>
      <c r="C12" s="102"/>
      <c r="E12" s="46"/>
      <c r="F12" s="503"/>
    </row>
    <row r="13" spans="1:6" x14ac:dyDescent="0.25">
      <c r="B13" s="46"/>
      <c r="C13" s="102"/>
      <c r="E13" s="46"/>
      <c r="F13" s="503"/>
    </row>
    <row r="14" spans="1:6" x14ac:dyDescent="0.25">
      <c r="B14" s="46"/>
      <c r="C14" s="102"/>
      <c r="E14" s="46"/>
      <c r="F14" s="503"/>
    </row>
    <row r="15" spans="1:6" x14ac:dyDescent="0.25">
      <c r="B15" s="46"/>
      <c r="C15" s="102"/>
      <c r="E15" s="46"/>
      <c r="F15" s="503"/>
    </row>
    <row r="16" spans="1:6" x14ac:dyDescent="0.25">
      <c r="B16" s="46"/>
      <c r="C16" s="102"/>
      <c r="E16" s="46"/>
      <c r="F16" s="503"/>
    </row>
    <row r="17" spans="2:6" x14ac:dyDescent="0.25">
      <c r="B17" s="46"/>
      <c r="C17" s="102"/>
      <c r="E17" s="46"/>
      <c r="F17" s="503"/>
    </row>
    <row r="18" spans="2:6" x14ac:dyDescent="0.25">
      <c r="B18" s="46"/>
      <c r="C18" s="102"/>
      <c r="D18" s="44"/>
      <c r="E18" s="46"/>
      <c r="F18" s="504"/>
    </row>
    <row r="19" spans="2:6" x14ac:dyDescent="0.25">
      <c r="B19" s="44"/>
      <c r="C19" s="44"/>
      <c r="D19" s="44"/>
      <c r="E19" s="46"/>
      <c r="F19" s="44"/>
    </row>
    <row r="20" spans="2:6" x14ac:dyDescent="0.25">
      <c r="B20" s="42" t="s">
        <v>110</v>
      </c>
      <c r="C20" s="42"/>
      <c r="D20" s="42"/>
      <c r="E20" s="42"/>
      <c r="F20" s="47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15" activePane="bottomRight" state="frozen"/>
      <selection pane="topRight"/>
      <selection pane="bottomLeft"/>
      <selection pane="bottomRight" activeCell="N39" sqref="N39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19.85546875" bestFit="1" customWidth="1"/>
    <col min="9" max="9" width="2.42578125" customWidth="1"/>
    <col min="10" max="10" width="14.5703125" customWidth="1"/>
    <col min="11" max="14" width="14.85546875" bestFit="1" customWidth="1"/>
    <col min="15" max="15" width="2.42578125" customWidth="1"/>
    <col min="16" max="267" width="20.5703125" hidden="1" customWidth="1"/>
    <col min="268" max="16384" width="9.140625" hidden="1"/>
  </cols>
  <sheetData>
    <row r="1" spans="1:14" s="8" customFormat="1" x14ac:dyDescent="0.25">
      <c r="A1" s="8" t="str">
        <f ca="1">MID(CELL("filename",A1),FIND("]",CELL("filename",A1))+1,255)</f>
        <v>ARP_CDCM timebands</v>
      </c>
    </row>
    <row r="2" spans="1:14" s="8" customFormat="1" x14ac:dyDescent="0.25">
      <c r="A2" s="8" t="str">
        <f>Cover!D21&amp;" - "&amp;Cover!D23</f>
        <v>SP Distribution - One</v>
      </c>
    </row>
    <row r="3" spans="1:14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14" x14ac:dyDescent="0.25">
      <c r="B5" s="112" t="s">
        <v>451</v>
      </c>
      <c r="C5" s="7"/>
      <c r="D5" s="7"/>
      <c r="E5" s="7"/>
      <c r="F5" s="7"/>
      <c r="G5" s="1" t="s">
        <v>91</v>
      </c>
      <c r="H5" s="2" t="s">
        <v>92</v>
      </c>
      <c r="J5" s="33" t="str">
        <f t="array" ref="J5:N5">TRANSPOSE('ARP_User control'!G31:G35)</f>
        <v>2024/25</v>
      </c>
      <c r="K5" s="33" t="str">
        <v>2025/26</v>
      </c>
      <c r="L5" s="33" t="str">
        <v>2026/27</v>
      </c>
      <c r="M5" s="33" t="str">
        <v>2027/28</v>
      </c>
      <c r="N5" s="33" t="str">
        <v>2028/29</v>
      </c>
    </row>
    <row r="7" spans="1:14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</row>
    <row r="9" spans="1:14" x14ac:dyDescent="0.25">
      <c r="C9" s="73" t="s">
        <v>828</v>
      </c>
    </row>
    <row r="10" spans="1:14" x14ac:dyDescent="0.25">
      <c r="C10" s="73" t="s">
        <v>829</v>
      </c>
    </row>
    <row r="11" spans="1:14" x14ac:dyDescent="0.25">
      <c r="D11" s="12"/>
    </row>
    <row r="12" spans="1:14" x14ac:dyDescent="0.25">
      <c r="B12" s="82" t="s">
        <v>453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</row>
    <row r="13" spans="1:14" x14ac:dyDescent="0.25">
      <c r="D13" s="12"/>
    </row>
    <row r="14" spans="1:14" x14ac:dyDescent="0.25">
      <c r="C14" s="5" t="s">
        <v>454</v>
      </c>
      <c r="D14" s="5"/>
      <c r="E14" s="5"/>
      <c r="F14" s="5"/>
      <c r="G14" s="144"/>
      <c r="H14" s="5"/>
      <c r="I14" s="5"/>
      <c r="J14" s="5"/>
      <c r="K14" s="5"/>
      <c r="L14" s="5"/>
      <c r="M14" s="5"/>
      <c r="N14" s="5"/>
    </row>
    <row r="15" spans="1:14" x14ac:dyDescent="0.25">
      <c r="C15" s="52"/>
      <c r="E15" s="52"/>
      <c r="G15" s="91"/>
    </row>
    <row r="16" spans="1:14" x14ac:dyDescent="0.25">
      <c r="E16" s="52" t="s">
        <v>455</v>
      </c>
    </row>
    <row r="17" spans="3:14" x14ac:dyDescent="0.25">
      <c r="F17" s="80" t="s">
        <v>84</v>
      </c>
      <c r="G17" s="108" t="s">
        <v>572</v>
      </c>
      <c r="H17" s="94"/>
      <c r="I17" s="94"/>
      <c r="J17" s="491" t="s">
        <v>1260</v>
      </c>
      <c r="K17" s="491" t="s">
        <v>1260</v>
      </c>
      <c r="L17" s="491" t="s">
        <v>1260</v>
      </c>
      <c r="M17" s="491" t="s">
        <v>1260</v>
      </c>
      <c r="N17" s="491" t="s">
        <v>1260</v>
      </c>
    </row>
    <row r="18" spans="3:14" ht="30" x14ac:dyDescent="0.25">
      <c r="F18" s="19" t="s">
        <v>85</v>
      </c>
      <c r="G18" s="140" t="s">
        <v>572</v>
      </c>
      <c r="H18" s="4"/>
      <c r="I18" s="59"/>
      <c r="J18" s="492" t="s">
        <v>1261</v>
      </c>
      <c r="K18" s="492" t="s">
        <v>1261</v>
      </c>
      <c r="L18" s="492" t="s">
        <v>1261</v>
      </c>
      <c r="M18" s="492" t="s">
        <v>1261</v>
      </c>
      <c r="N18" s="492" t="s">
        <v>1261</v>
      </c>
    </row>
    <row r="19" spans="3:14" ht="30" x14ac:dyDescent="0.25">
      <c r="F19" s="83" t="s">
        <v>86</v>
      </c>
      <c r="G19" s="495" t="s">
        <v>572</v>
      </c>
      <c r="H19" s="122"/>
      <c r="I19" s="122"/>
      <c r="J19" s="493" t="s">
        <v>1262</v>
      </c>
      <c r="K19" s="493" t="s">
        <v>1262</v>
      </c>
      <c r="L19" s="493" t="s">
        <v>1262</v>
      </c>
      <c r="M19" s="493" t="s">
        <v>1262</v>
      </c>
      <c r="N19" s="493" t="s">
        <v>1262</v>
      </c>
    </row>
    <row r="20" spans="3:14" x14ac:dyDescent="0.25">
      <c r="G20" s="91"/>
      <c r="H20" s="59"/>
      <c r="I20" s="59"/>
      <c r="J20" s="59"/>
      <c r="K20" s="59"/>
      <c r="L20" s="59"/>
      <c r="M20" s="59"/>
      <c r="N20" s="59"/>
    </row>
    <row r="21" spans="3:14" x14ac:dyDescent="0.25">
      <c r="E21" s="52" t="s">
        <v>456</v>
      </c>
      <c r="H21" s="59"/>
      <c r="I21" s="59"/>
      <c r="J21" s="59"/>
      <c r="K21" s="59"/>
      <c r="L21" s="59"/>
      <c r="M21" s="59"/>
      <c r="N21" s="59"/>
    </row>
    <row r="22" spans="3:14" x14ac:dyDescent="0.25">
      <c r="F22" s="80" t="s">
        <v>84</v>
      </c>
      <c r="G22" s="108" t="s">
        <v>572</v>
      </c>
      <c r="H22" s="94"/>
      <c r="I22" s="94"/>
      <c r="J22" s="272"/>
      <c r="K22" s="272"/>
      <c r="L22" s="272"/>
      <c r="M22" s="272"/>
      <c r="N22" s="272"/>
    </row>
    <row r="23" spans="3:14" x14ac:dyDescent="0.25">
      <c r="F23" t="s">
        <v>85</v>
      </c>
      <c r="G23" s="91" t="s">
        <v>572</v>
      </c>
      <c r="H23" s="59"/>
      <c r="I23" s="59"/>
      <c r="J23" s="494" t="s">
        <v>1263</v>
      </c>
      <c r="K23" s="494" t="s">
        <v>1263</v>
      </c>
      <c r="L23" s="494" t="s">
        <v>1263</v>
      </c>
      <c r="M23" s="494" t="s">
        <v>1263</v>
      </c>
      <c r="N23" s="494" t="s">
        <v>1263</v>
      </c>
    </row>
    <row r="24" spans="3:14" ht="30" x14ac:dyDescent="0.25">
      <c r="F24" s="17" t="s">
        <v>86</v>
      </c>
      <c r="G24" s="109" t="s">
        <v>572</v>
      </c>
      <c r="H24" s="122"/>
      <c r="I24" s="122"/>
      <c r="J24" s="493" t="s">
        <v>1264</v>
      </c>
      <c r="K24" s="493" t="s">
        <v>1264</v>
      </c>
      <c r="L24" s="493" t="s">
        <v>1264</v>
      </c>
      <c r="M24" s="493" t="s">
        <v>1264</v>
      </c>
      <c r="N24" s="493" t="s">
        <v>1264</v>
      </c>
    </row>
    <row r="25" spans="3:14" x14ac:dyDescent="0.25">
      <c r="G25" s="91"/>
      <c r="H25" s="59"/>
      <c r="I25" s="59"/>
      <c r="J25" s="59"/>
      <c r="K25" s="59"/>
      <c r="L25" s="59"/>
      <c r="M25" s="59"/>
      <c r="N25" s="59"/>
    </row>
    <row r="26" spans="3:14" x14ac:dyDescent="0.25">
      <c r="C26" s="5" t="s">
        <v>457</v>
      </c>
      <c r="D26" s="5"/>
      <c r="E26" s="5"/>
      <c r="F26" s="5"/>
      <c r="G26" s="144"/>
      <c r="H26" s="143"/>
      <c r="I26" s="143"/>
      <c r="J26" s="143"/>
      <c r="K26" s="143"/>
      <c r="L26" s="143"/>
      <c r="M26" s="143"/>
      <c r="N26" s="143"/>
    </row>
    <row r="27" spans="3:14" x14ac:dyDescent="0.25">
      <c r="E27" s="52"/>
      <c r="F27" s="52"/>
      <c r="G27" s="91"/>
      <c r="H27" s="59"/>
      <c r="I27" s="59"/>
      <c r="J27" s="59"/>
      <c r="K27" s="59"/>
      <c r="L27" s="59"/>
      <c r="M27" s="59"/>
      <c r="N27" s="59"/>
    </row>
    <row r="28" spans="3:14" x14ac:dyDescent="0.25">
      <c r="E28" s="52" t="s">
        <v>458</v>
      </c>
      <c r="H28" s="59"/>
      <c r="I28" s="59"/>
      <c r="J28" s="59"/>
      <c r="K28" s="59"/>
      <c r="L28" s="59"/>
      <c r="M28" s="59"/>
      <c r="N28" s="59"/>
    </row>
    <row r="29" spans="3:14" x14ac:dyDescent="0.25">
      <c r="F29" s="80" t="s">
        <v>87</v>
      </c>
      <c r="G29" s="108" t="s">
        <v>572</v>
      </c>
      <c r="H29" s="94"/>
      <c r="I29" s="94"/>
      <c r="J29" s="491" t="s">
        <v>1260</v>
      </c>
      <c r="K29" s="491" t="s">
        <v>1260</v>
      </c>
      <c r="L29" s="491" t="s">
        <v>1260</v>
      </c>
      <c r="M29" s="491" t="s">
        <v>1260</v>
      </c>
      <c r="N29" s="491" t="s">
        <v>1260</v>
      </c>
    </row>
    <row r="30" spans="3:14" ht="30" x14ac:dyDescent="0.25">
      <c r="F30" s="19" t="s">
        <v>88</v>
      </c>
      <c r="G30" s="140" t="s">
        <v>572</v>
      </c>
      <c r="H30" s="59"/>
      <c r="I30" s="59"/>
      <c r="J30" s="492" t="s">
        <v>1261</v>
      </c>
      <c r="K30" s="492" t="s">
        <v>1261</v>
      </c>
      <c r="L30" s="492" t="s">
        <v>1261</v>
      </c>
      <c r="M30" s="492" t="s">
        <v>1261</v>
      </c>
      <c r="N30" s="492" t="s">
        <v>1261</v>
      </c>
    </row>
    <row r="31" spans="3:14" ht="30" x14ac:dyDescent="0.25">
      <c r="F31" s="83" t="s">
        <v>86</v>
      </c>
      <c r="G31" s="495" t="s">
        <v>572</v>
      </c>
      <c r="H31" s="122"/>
      <c r="I31" s="122"/>
      <c r="J31" s="493" t="s">
        <v>1262</v>
      </c>
      <c r="K31" s="493" t="s">
        <v>1262</v>
      </c>
      <c r="L31" s="493" t="s">
        <v>1262</v>
      </c>
      <c r="M31" s="493" t="s">
        <v>1262</v>
      </c>
      <c r="N31" s="493" t="s">
        <v>1262</v>
      </c>
    </row>
    <row r="32" spans="3:14" x14ac:dyDescent="0.25">
      <c r="G32" s="91"/>
      <c r="H32" s="59"/>
      <c r="I32" s="59"/>
      <c r="J32" s="59"/>
      <c r="K32" s="59"/>
      <c r="L32" s="59"/>
      <c r="M32" s="59"/>
      <c r="N32" s="59"/>
    </row>
    <row r="33" spans="2:14" x14ac:dyDescent="0.25">
      <c r="E33" s="52" t="s">
        <v>459</v>
      </c>
      <c r="H33" s="59"/>
      <c r="I33" s="59"/>
      <c r="J33" s="59"/>
      <c r="K33" s="59"/>
      <c r="L33" s="59"/>
      <c r="M33" s="59"/>
      <c r="N33" s="59"/>
    </row>
    <row r="34" spans="2:14" x14ac:dyDescent="0.25">
      <c r="F34" s="80" t="s">
        <v>87</v>
      </c>
      <c r="G34" s="108" t="s">
        <v>572</v>
      </c>
      <c r="H34" s="94"/>
      <c r="I34" s="94"/>
      <c r="J34" s="272"/>
      <c r="K34" s="272"/>
      <c r="L34" s="272"/>
      <c r="M34" s="272"/>
      <c r="N34" s="272"/>
    </row>
    <row r="35" spans="2:14" x14ac:dyDescent="0.25">
      <c r="F35" t="s">
        <v>88</v>
      </c>
      <c r="G35" s="91" t="s">
        <v>572</v>
      </c>
      <c r="H35" s="59"/>
      <c r="I35" s="59"/>
      <c r="J35" s="494" t="s">
        <v>1265</v>
      </c>
      <c r="K35" s="494" t="s">
        <v>1265</v>
      </c>
      <c r="L35" s="494" t="s">
        <v>1265</v>
      </c>
      <c r="M35" s="494" t="s">
        <v>1265</v>
      </c>
      <c r="N35" s="494" t="s">
        <v>1265</v>
      </c>
    </row>
    <row r="36" spans="2:14" ht="30" x14ac:dyDescent="0.25">
      <c r="F36" s="17" t="s">
        <v>86</v>
      </c>
      <c r="G36" s="109" t="s">
        <v>572</v>
      </c>
      <c r="H36" s="122"/>
      <c r="I36" s="122"/>
      <c r="J36" s="493" t="s">
        <v>1262</v>
      </c>
      <c r="K36" s="493" t="s">
        <v>1262</v>
      </c>
      <c r="L36" s="493" t="s">
        <v>1262</v>
      </c>
      <c r="M36" s="493" t="s">
        <v>1262</v>
      </c>
      <c r="N36" s="493" t="s">
        <v>1262</v>
      </c>
    </row>
    <row r="37" spans="2:14" x14ac:dyDescent="0.25">
      <c r="G37" s="91"/>
      <c r="H37" s="59"/>
      <c r="I37" s="59"/>
      <c r="J37" s="59"/>
      <c r="K37" s="59"/>
      <c r="L37" s="59"/>
      <c r="M37" s="59"/>
      <c r="N37" s="59"/>
    </row>
    <row r="38" spans="2:14" x14ac:dyDescent="0.25">
      <c r="E38" s="52" t="s">
        <v>456</v>
      </c>
      <c r="H38" s="59"/>
      <c r="I38" s="59"/>
      <c r="J38" s="59"/>
      <c r="K38" s="59"/>
      <c r="L38" s="59"/>
      <c r="M38" s="59"/>
      <c r="N38" s="59"/>
    </row>
    <row r="39" spans="2:14" x14ac:dyDescent="0.25">
      <c r="F39" s="80" t="s">
        <v>87</v>
      </c>
      <c r="G39" s="108" t="s">
        <v>572</v>
      </c>
      <c r="H39" s="94"/>
      <c r="I39" s="94"/>
      <c r="J39" s="272"/>
      <c r="K39" s="272"/>
      <c r="L39" s="272"/>
      <c r="M39" s="272"/>
      <c r="N39" s="272"/>
    </row>
    <row r="40" spans="2:14" x14ac:dyDescent="0.25">
      <c r="F40" t="s">
        <v>88</v>
      </c>
      <c r="G40" s="91" t="s">
        <v>572</v>
      </c>
      <c r="H40" s="59"/>
      <c r="I40" s="59"/>
      <c r="J40" s="494" t="s">
        <v>1263</v>
      </c>
      <c r="K40" s="494" t="s">
        <v>1263</v>
      </c>
      <c r="L40" s="494" t="s">
        <v>1263</v>
      </c>
      <c r="M40" s="494" t="s">
        <v>1263</v>
      </c>
      <c r="N40" s="494" t="s">
        <v>1263</v>
      </c>
    </row>
    <row r="41" spans="2:14" ht="30" x14ac:dyDescent="0.25">
      <c r="F41" s="17" t="s">
        <v>86</v>
      </c>
      <c r="G41" s="109" t="s">
        <v>572</v>
      </c>
      <c r="H41" s="122"/>
      <c r="I41" s="122"/>
      <c r="J41" s="493" t="s">
        <v>1264</v>
      </c>
      <c r="K41" s="493" t="s">
        <v>1264</v>
      </c>
      <c r="L41" s="493" t="s">
        <v>1264</v>
      </c>
      <c r="M41" s="493" t="s">
        <v>1264</v>
      </c>
      <c r="N41" s="493" t="s">
        <v>1264</v>
      </c>
    </row>
    <row r="42" spans="2:14" x14ac:dyDescent="0.25">
      <c r="G42" s="91"/>
    </row>
    <row r="43" spans="2:14" x14ac:dyDescent="0.25">
      <c r="B43" s="82" t="s">
        <v>110</v>
      </c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scale="4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12" activePane="bottomRight" state="frozen"/>
      <selection pane="topRight"/>
      <selection pane="bottomLeft"/>
      <selection pane="bottomRight" activeCell="L29" sqref="L29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91" customWidth="1"/>
    <col min="8" max="8" width="19.85546875" bestFit="1" customWidth="1"/>
    <col min="9" max="9" width="2.42578125" customWidth="1"/>
    <col min="10" max="25" width="17" customWidth="1"/>
    <col min="26" max="26" width="2.42578125" customWidth="1"/>
    <col min="27" max="302" width="20.5703125" hidden="1" customWidth="1"/>
    <col min="303" max="16384" width="9.140625" hidden="1"/>
  </cols>
  <sheetData>
    <row r="1" spans="1:25" s="8" customFormat="1" x14ac:dyDescent="0.25">
      <c r="A1" s="8" t="str">
        <f ca="1">MID(CELL("filename",A1),FIND("]",CELL("filename",A1))+1,255)</f>
        <v>ARP_Load characteristics</v>
      </c>
      <c r="G1" s="160"/>
    </row>
    <row r="2" spans="1:25" s="8" customFormat="1" x14ac:dyDescent="0.25">
      <c r="A2" s="8" t="str">
        <f>Cover!D21&amp;" - "&amp;Cover!D23</f>
        <v>SP Distribution - One</v>
      </c>
      <c r="G2" s="160"/>
    </row>
    <row r="3" spans="1:25" s="43" customFormat="1" x14ac:dyDescent="0.25">
      <c r="A3" s="43" t="str">
        <f>Cover!D2&amp;" - "&amp;Cover!D8&amp;" v"&amp;Cover!D10&amp;" - "&amp;Cover!D19</f>
        <v>ARP model - Release for charge setting v7 - 2024/25</v>
      </c>
      <c r="G3" s="249"/>
    </row>
    <row r="5" spans="1:25" ht="60" x14ac:dyDescent="0.25">
      <c r="B5" s="112" t="s">
        <v>451</v>
      </c>
      <c r="C5" s="7"/>
      <c r="D5" s="7"/>
      <c r="E5" s="7"/>
      <c r="F5" s="7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</row>
    <row r="7" spans="1:25" x14ac:dyDescent="0.25">
      <c r="B7" s="82" t="s">
        <v>90</v>
      </c>
      <c r="C7" s="82"/>
      <c r="D7" s="82"/>
      <c r="E7" s="82"/>
      <c r="F7" s="82"/>
      <c r="G7" s="107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</row>
    <row r="9" spans="1:25" x14ac:dyDescent="0.25">
      <c r="C9" s="73" t="s">
        <v>746</v>
      </c>
    </row>
    <row r="10" spans="1:25" x14ac:dyDescent="0.25">
      <c r="C10" s="73" t="s">
        <v>460</v>
      </c>
    </row>
    <row r="11" spans="1:25" x14ac:dyDescent="0.25">
      <c r="C11" s="73" t="s">
        <v>461</v>
      </c>
    </row>
    <row r="12" spans="1:25" x14ac:dyDescent="0.25">
      <c r="D12" s="12"/>
    </row>
    <row r="13" spans="1:25" x14ac:dyDescent="0.25">
      <c r="B13" s="82" t="s">
        <v>208</v>
      </c>
      <c r="C13" s="82"/>
      <c r="D13" s="82"/>
      <c r="E13" s="82"/>
      <c r="F13" s="82"/>
      <c r="G13" s="107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</row>
    <row r="15" spans="1:25" x14ac:dyDescent="0.25">
      <c r="E15" s="52" t="s">
        <v>462</v>
      </c>
    </row>
    <row r="16" spans="1:25" x14ac:dyDescent="0.25">
      <c r="F16" s="80" t="s">
        <v>494</v>
      </c>
      <c r="G16" s="108" t="s">
        <v>482</v>
      </c>
      <c r="H16" s="169" t="str">
        <f>LEFT(H17,4) - 1 &amp; "/" &amp; RIGHT(H17,2) - 1</f>
        <v>2019/20</v>
      </c>
    </row>
    <row r="17" spans="2:25" x14ac:dyDescent="0.25">
      <c r="F17" t="s">
        <v>495</v>
      </c>
      <c r="G17" s="91" t="s">
        <v>482</v>
      </c>
      <c r="H17" s="75" t="str">
        <f>LEFT(H18,4) - 1 &amp; "/" &amp; RIGHT(H18,2) - 1</f>
        <v>2020/21</v>
      </c>
    </row>
    <row r="18" spans="2:25" x14ac:dyDescent="0.25">
      <c r="F18" s="17" t="s">
        <v>496</v>
      </c>
      <c r="G18" s="109" t="s">
        <v>482</v>
      </c>
      <c r="H18" s="168" t="str">
        <f>'ARP_User control'!$G$28</f>
        <v>2021/22</v>
      </c>
    </row>
    <row r="20" spans="2:25" x14ac:dyDescent="0.25">
      <c r="B20" s="82" t="s">
        <v>286</v>
      </c>
      <c r="C20" s="82"/>
      <c r="D20" s="82"/>
      <c r="E20" s="82"/>
      <c r="F20" s="82"/>
      <c r="G20" s="107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</row>
    <row r="22" spans="2:25" x14ac:dyDescent="0.25">
      <c r="E22" s="52" t="s">
        <v>71</v>
      </c>
    </row>
    <row r="23" spans="2:25" x14ac:dyDescent="0.25">
      <c r="F23" s="80" t="str">
        <f>$H$16</f>
        <v>2019/20</v>
      </c>
      <c r="G23" s="108" t="s">
        <v>94</v>
      </c>
      <c r="H23" s="94"/>
      <c r="I23" s="94"/>
      <c r="J23" s="274">
        <v>0.437</v>
      </c>
      <c r="K23" s="274">
        <v>6.4000000000000001E-2</v>
      </c>
      <c r="L23" s="274">
        <v>0.41299999999999998</v>
      </c>
      <c r="M23" s="274">
        <v>0.33600000000000002</v>
      </c>
      <c r="N23" s="274">
        <v>0.56100000000000005</v>
      </c>
      <c r="O23" s="274">
        <v>0.66300000000000003</v>
      </c>
      <c r="P23" s="274">
        <v>0.72499999999999998</v>
      </c>
      <c r="Q23" s="274">
        <v>0.47399999999999998</v>
      </c>
      <c r="R23" s="142"/>
      <c r="S23" s="142"/>
      <c r="T23" s="142"/>
      <c r="U23" s="142"/>
      <c r="V23" s="142"/>
      <c r="W23" s="142"/>
      <c r="X23" s="142"/>
      <c r="Y23" s="142"/>
    </row>
    <row r="24" spans="2:25" x14ac:dyDescent="0.25">
      <c r="F24" t="str">
        <f>$H$17</f>
        <v>2020/21</v>
      </c>
      <c r="G24" s="91" t="s">
        <v>94</v>
      </c>
      <c r="H24" s="59"/>
      <c r="I24" s="59"/>
      <c r="J24" s="275">
        <v>0.45700000000000002</v>
      </c>
      <c r="K24" s="275">
        <v>9.9000000000000005E-2</v>
      </c>
      <c r="L24" s="497">
        <v>0.41299999999999998</v>
      </c>
      <c r="M24" s="497">
        <v>0.28199999999999997</v>
      </c>
      <c r="N24" s="497">
        <v>0.54500000000000004</v>
      </c>
      <c r="O24" s="275">
        <v>0.68600000000000005</v>
      </c>
      <c r="P24" s="275">
        <v>0.72299999999999998</v>
      </c>
      <c r="Q24" s="275">
        <v>0.44400000000000001</v>
      </c>
      <c r="R24" s="135"/>
      <c r="S24" s="135"/>
      <c r="T24" s="135"/>
      <c r="U24" s="135"/>
      <c r="V24" s="135"/>
      <c r="W24" s="135"/>
      <c r="X24" s="135"/>
      <c r="Y24" s="135"/>
    </row>
    <row r="25" spans="2:25" x14ac:dyDescent="0.25">
      <c r="F25" s="17" t="str">
        <f>$H$18</f>
        <v>2021/22</v>
      </c>
      <c r="G25" s="109" t="s">
        <v>94</v>
      </c>
      <c r="H25" s="122"/>
      <c r="I25" s="122"/>
      <c r="J25" s="276">
        <v>0.44400000000000001</v>
      </c>
      <c r="K25" s="276">
        <v>7.4999999999999997E-2</v>
      </c>
      <c r="L25" s="276">
        <v>0.43099999999999999</v>
      </c>
      <c r="M25" s="276">
        <v>0.24399999999999999</v>
      </c>
      <c r="N25" s="276">
        <v>0.55300000000000005</v>
      </c>
      <c r="O25" s="276">
        <v>0.68500000000000005</v>
      </c>
      <c r="P25" s="276">
        <v>0.748</v>
      </c>
      <c r="Q25" s="276">
        <v>0.52300000000000002</v>
      </c>
      <c r="R25" s="135"/>
      <c r="S25" s="135"/>
      <c r="T25" s="135"/>
      <c r="U25" s="135"/>
      <c r="V25" s="135"/>
      <c r="W25" s="135"/>
      <c r="X25" s="135"/>
      <c r="Y25" s="135"/>
    </row>
    <row r="26" spans="2:25" x14ac:dyDescent="0.25">
      <c r="F26" s="66" t="s">
        <v>463</v>
      </c>
      <c r="G26" s="141" t="s">
        <v>94</v>
      </c>
      <c r="H26" s="258"/>
      <c r="I26" s="258"/>
      <c r="J26" s="259">
        <f>AVERAGE(J23:J25)</f>
        <v>0.44600000000000001</v>
      </c>
      <c r="K26" s="259">
        <f t="shared" ref="K26:Q26" si="0">AVERAGE(K23:K25)</f>
        <v>7.9333333333333325E-2</v>
      </c>
      <c r="L26" s="259">
        <f t="shared" si="0"/>
        <v>0.41899999999999998</v>
      </c>
      <c r="M26" s="259">
        <f t="shared" si="0"/>
        <v>0.28733333333333333</v>
      </c>
      <c r="N26" s="259">
        <f t="shared" si="0"/>
        <v>0.55300000000000005</v>
      </c>
      <c r="O26" s="259">
        <f t="shared" si="0"/>
        <v>0.67800000000000005</v>
      </c>
      <c r="P26" s="259">
        <f t="shared" si="0"/>
        <v>0.73199999999999987</v>
      </c>
      <c r="Q26" s="259">
        <f t="shared" si="0"/>
        <v>0.48033333333333328</v>
      </c>
      <c r="R26" s="260"/>
      <c r="S26" s="260"/>
      <c r="T26" s="260"/>
      <c r="U26" s="260"/>
      <c r="V26" s="260"/>
      <c r="W26" s="260"/>
      <c r="X26" s="260"/>
      <c r="Y26" s="260"/>
    </row>
    <row r="27" spans="2:25" x14ac:dyDescent="0.25"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</row>
    <row r="28" spans="2:25" x14ac:dyDescent="0.25">
      <c r="E28" s="121" t="s">
        <v>70</v>
      </c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</row>
    <row r="29" spans="2:25" x14ac:dyDescent="0.25">
      <c r="F29" s="80" t="str">
        <f>$H$16</f>
        <v>2019/20</v>
      </c>
      <c r="G29" s="108" t="s">
        <v>94</v>
      </c>
      <c r="H29" s="94"/>
      <c r="I29" s="94"/>
      <c r="J29" s="274">
        <v>0.755</v>
      </c>
      <c r="K29" s="142"/>
      <c r="L29" s="274">
        <v>0.73499999999999999</v>
      </c>
      <c r="M29" s="142"/>
      <c r="N29" s="274">
        <v>0.81899999999999995</v>
      </c>
      <c r="O29" s="274">
        <v>0.82799999999999996</v>
      </c>
      <c r="P29" s="274">
        <v>0.871</v>
      </c>
      <c r="Q29" s="274">
        <v>0.93600000000000005</v>
      </c>
      <c r="R29" s="142"/>
      <c r="S29" s="142"/>
      <c r="T29" s="142"/>
      <c r="U29" s="142"/>
      <c r="V29" s="142"/>
      <c r="W29" s="142"/>
      <c r="X29" s="142"/>
      <c r="Y29" s="142"/>
    </row>
    <row r="30" spans="2:25" x14ac:dyDescent="0.25">
      <c r="F30" t="str">
        <f>$H$17</f>
        <v>2020/21</v>
      </c>
      <c r="G30" s="91" t="s">
        <v>94</v>
      </c>
      <c r="H30" s="59"/>
      <c r="I30" s="59"/>
      <c r="J30" s="275">
        <v>0.85499999999999998</v>
      </c>
      <c r="K30" s="135"/>
      <c r="L30" s="275">
        <v>0.755</v>
      </c>
      <c r="M30" s="135"/>
      <c r="N30" s="275">
        <v>0.77800000000000002</v>
      </c>
      <c r="O30" s="275">
        <v>0.83399999999999996</v>
      </c>
      <c r="P30" s="275">
        <v>0.85399999999999998</v>
      </c>
      <c r="Q30" s="275">
        <v>0.875</v>
      </c>
      <c r="R30" s="135"/>
      <c r="S30" s="135"/>
      <c r="T30" s="135"/>
      <c r="U30" s="135"/>
      <c r="V30" s="135"/>
      <c r="W30" s="135"/>
      <c r="X30" s="135"/>
      <c r="Y30" s="135"/>
    </row>
    <row r="31" spans="2:25" x14ac:dyDescent="0.25">
      <c r="F31" t="str">
        <f>$H$18</f>
        <v>2021/22</v>
      </c>
      <c r="G31" s="91" t="s">
        <v>94</v>
      </c>
      <c r="H31" s="59"/>
      <c r="I31" s="59"/>
      <c r="J31" s="275">
        <v>0.86299999999999999</v>
      </c>
      <c r="K31" s="135"/>
      <c r="L31" s="275">
        <v>0.755</v>
      </c>
      <c r="M31" s="135"/>
      <c r="N31" s="275">
        <v>0.8</v>
      </c>
      <c r="O31" s="275">
        <v>0.82399999999999995</v>
      </c>
      <c r="P31" s="275">
        <v>0.873</v>
      </c>
      <c r="Q31" s="275">
        <v>0.94499999999999995</v>
      </c>
      <c r="R31" s="135"/>
      <c r="S31" s="135"/>
      <c r="T31" s="135"/>
      <c r="U31" s="135"/>
      <c r="V31" s="135"/>
      <c r="W31" s="135"/>
      <c r="X31" s="135"/>
      <c r="Y31" s="135"/>
    </row>
    <row r="32" spans="2:25" x14ac:dyDescent="0.25">
      <c r="F32" s="66" t="s">
        <v>463</v>
      </c>
      <c r="G32" s="141" t="s">
        <v>94</v>
      </c>
      <c r="H32" s="258"/>
      <c r="I32" s="258"/>
      <c r="J32" s="259">
        <f>AVERAGE(J29:J31)</f>
        <v>0.82433333333333325</v>
      </c>
      <c r="K32" s="260"/>
      <c r="L32" s="259">
        <f t="shared" ref="L32:O32" si="1">AVERAGE(L29:L31)</f>
        <v>0.74833333333333341</v>
      </c>
      <c r="M32" s="260"/>
      <c r="N32" s="259">
        <f t="shared" si="1"/>
        <v>0.79900000000000004</v>
      </c>
      <c r="O32" s="259">
        <f t="shared" si="1"/>
        <v>0.82866666666666655</v>
      </c>
      <c r="P32" s="259">
        <f t="shared" ref="P32:Q32" si="2">AVERAGE(P29:P31)</f>
        <v>0.86599999999999999</v>
      </c>
      <c r="Q32" s="259">
        <f t="shared" si="2"/>
        <v>0.91866666666666663</v>
      </c>
      <c r="R32" s="260"/>
      <c r="S32" s="260"/>
      <c r="T32" s="260"/>
      <c r="U32" s="260"/>
      <c r="V32" s="260"/>
      <c r="W32" s="260"/>
      <c r="X32" s="260"/>
      <c r="Y32" s="260"/>
    </row>
    <row r="33" spans="2:25" x14ac:dyDescent="0.25"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</row>
    <row r="34" spans="2:25" x14ac:dyDescent="0.25">
      <c r="B34" s="82" t="s">
        <v>110</v>
      </c>
      <c r="C34" s="82"/>
      <c r="D34" s="82"/>
      <c r="E34" s="82"/>
      <c r="F34" s="82"/>
      <c r="G34" s="107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</row>
  </sheetData>
  <sheetProtection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3:Y25 J29:Y31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scale="2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42" activePane="bottomRight" state="frozen"/>
      <selection pane="topRight"/>
      <selection pane="bottomLeft"/>
      <selection pane="bottomRight" activeCell="K44" sqref="K44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style="91" customWidth="1"/>
    <col min="8" max="8" width="19.85546875" bestFit="1" customWidth="1"/>
    <col min="9" max="9" width="2.42578125" customWidth="1"/>
    <col min="10" max="19" width="17" customWidth="1"/>
    <col min="20" max="20" width="2.42578125" customWidth="1"/>
    <col min="21" max="301" width="20.5703125" hidden="1" customWidth="1"/>
    <col min="302" max="16384" width="9.140625" hidden="1"/>
  </cols>
  <sheetData>
    <row r="1" spans="1:19" s="8" customFormat="1" x14ac:dyDescent="0.25">
      <c r="A1" s="8" t="str">
        <f ca="1">MID(CELL("filename",A1),FIND("]",CELL("filename",A1))+1,255)</f>
        <v>ARP_Peaking probabilities</v>
      </c>
      <c r="G1" s="160"/>
    </row>
    <row r="2" spans="1:19" s="8" customFormat="1" x14ac:dyDescent="0.25">
      <c r="A2" s="8" t="str">
        <f>Cover!D21&amp;" - "&amp;Cover!D23</f>
        <v>SP Distribution - One</v>
      </c>
      <c r="G2" s="160"/>
    </row>
    <row r="3" spans="1:19" s="43" customFormat="1" x14ac:dyDescent="0.25">
      <c r="A3" s="43" t="str">
        <f>Cover!D2&amp;" - "&amp;Cover!D8&amp;" v"&amp;Cover!D10&amp;" - "&amp;Cover!D19</f>
        <v>ARP model - Release for charge setting v7 - 2024/25</v>
      </c>
      <c r="G3" s="249"/>
    </row>
    <row r="5" spans="1:19" x14ac:dyDescent="0.25">
      <c r="B5" s="112" t="s">
        <v>451</v>
      </c>
      <c r="C5" s="7"/>
      <c r="D5" s="7"/>
      <c r="E5" s="7"/>
      <c r="F5" s="7"/>
      <c r="G5" s="1" t="s">
        <v>91</v>
      </c>
      <c r="H5" s="2" t="s">
        <v>92</v>
      </c>
      <c r="I5" s="59"/>
      <c r="J5" s="9" t="s">
        <v>267</v>
      </c>
      <c r="K5" s="9" t="s">
        <v>43</v>
      </c>
      <c r="L5" s="9" t="s">
        <v>44</v>
      </c>
      <c r="M5" s="9" t="s">
        <v>45</v>
      </c>
      <c r="N5" s="9" t="s">
        <v>46</v>
      </c>
      <c r="O5" s="9" t="s">
        <v>47</v>
      </c>
      <c r="P5" s="9" t="s">
        <v>51</v>
      </c>
      <c r="Q5" s="9" t="s">
        <v>48</v>
      </c>
      <c r="R5" s="9" t="s">
        <v>49</v>
      </c>
      <c r="S5" s="9" t="s">
        <v>50</v>
      </c>
    </row>
    <row r="7" spans="1:19" x14ac:dyDescent="0.25">
      <c r="B7" s="82" t="s">
        <v>90</v>
      </c>
      <c r="C7" s="82"/>
      <c r="D7" s="82"/>
      <c r="E7" s="82"/>
      <c r="F7" s="82"/>
      <c r="G7" s="107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</row>
    <row r="9" spans="1:19" x14ac:dyDescent="0.25">
      <c r="C9" s="73" t="s">
        <v>830</v>
      </c>
    </row>
    <row r="10" spans="1:19" x14ac:dyDescent="0.25">
      <c r="C10" s="73" t="s">
        <v>831</v>
      </c>
    </row>
    <row r="11" spans="1:19" x14ac:dyDescent="0.25">
      <c r="C11" s="73" t="s">
        <v>464</v>
      </c>
    </row>
    <row r="12" spans="1:19" x14ac:dyDescent="0.25">
      <c r="C12" s="73" t="s">
        <v>461</v>
      </c>
    </row>
    <row r="13" spans="1:19" x14ac:dyDescent="0.25">
      <c r="D13" s="12"/>
    </row>
    <row r="14" spans="1:19" x14ac:dyDescent="0.25">
      <c r="B14" s="82" t="s">
        <v>208</v>
      </c>
      <c r="C14" s="82"/>
      <c r="D14" s="82"/>
      <c r="E14" s="82"/>
      <c r="F14" s="82"/>
      <c r="G14" s="107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</row>
    <row r="16" spans="1:19" x14ac:dyDescent="0.25">
      <c r="E16" s="52" t="s">
        <v>462</v>
      </c>
    </row>
    <row r="17" spans="2:19" x14ac:dyDescent="0.25">
      <c r="F17" s="80" t="s">
        <v>494</v>
      </c>
      <c r="G17" s="108" t="s">
        <v>482</v>
      </c>
      <c r="H17" s="169" t="str">
        <f>LEFT(H18,4) - 1 &amp; "/" &amp; RIGHT(H18,2) - 1</f>
        <v>2019/20</v>
      </c>
    </row>
    <row r="18" spans="2:19" x14ac:dyDescent="0.25">
      <c r="F18" t="s">
        <v>495</v>
      </c>
      <c r="G18" s="91" t="s">
        <v>482</v>
      </c>
      <c r="H18" s="75" t="str">
        <f>LEFT(H19,4) - 1 &amp; "/" &amp; RIGHT(H19,2) - 1</f>
        <v>2020/21</v>
      </c>
    </row>
    <row r="19" spans="2:19" x14ac:dyDescent="0.25">
      <c r="F19" s="17" t="s">
        <v>496</v>
      </c>
      <c r="G19" s="109" t="s">
        <v>482</v>
      </c>
      <c r="H19" s="168" t="str">
        <f>'ARP_User control'!$G$28</f>
        <v>2021/22</v>
      </c>
    </row>
    <row r="21" spans="2:19" x14ac:dyDescent="0.25">
      <c r="B21" s="82" t="s">
        <v>497</v>
      </c>
      <c r="C21" s="82"/>
      <c r="D21" s="82"/>
      <c r="E21" s="82"/>
      <c r="F21" s="82"/>
      <c r="G21" s="107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</row>
    <row r="23" spans="2:19" x14ac:dyDescent="0.25">
      <c r="E23" s="52" t="s">
        <v>498</v>
      </c>
    </row>
    <row r="24" spans="2:19" x14ac:dyDescent="0.25">
      <c r="F24" s="80" t="str">
        <f>$H$17</f>
        <v>2019/20</v>
      </c>
      <c r="G24" s="108" t="s">
        <v>94</v>
      </c>
      <c r="H24" s="94"/>
      <c r="I24" s="94"/>
      <c r="J24" s="110"/>
      <c r="K24" s="274">
        <v>0.72010623486066183</v>
      </c>
      <c r="L24" s="274"/>
      <c r="M24" s="274"/>
      <c r="N24" s="274">
        <v>0.72010623486066183</v>
      </c>
      <c r="O24" s="274">
        <v>0.57056164406902121</v>
      </c>
      <c r="P24" s="274"/>
      <c r="Q24" s="274">
        <v>0.57056164406902121</v>
      </c>
      <c r="R24" s="274">
        <v>0.57056164406902121</v>
      </c>
      <c r="S24" s="274">
        <v>0.57056164406902121</v>
      </c>
    </row>
    <row r="25" spans="2:19" x14ac:dyDescent="0.25">
      <c r="F25" t="str">
        <f>$H$18</f>
        <v>2020/21</v>
      </c>
      <c r="G25" s="91" t="s">
        <v>94</v>
      </c>
      <c r="H25" s="59"/>
      <c r="I25" s="59"/>
      <c r="J25" s="35"/>
      <c r="K25" s="275">
        <v>0.78620570079919927</v>
      </c>
      <c r="L25" s="275"/>
      <c r="M25" s="275"/>
      <c r="N25" s="275">
        <v>0.78620570079919927</v>
      </c>
      <c r="O25" s="275">
        <v>0.62547979508367202</v>
      </c>
      <c r="P25" s="275"/>
      <c r="Q25" s="275">
        <v>0.62547979508367202</v>
      </c>
      <c r="R25" s="275">
        <v>0.62547979508367202</v>
      </c>
      <c r="S25" s="275">
        <v>0.62547979508367202</v>
      </c>
    </row>
    <row r="26" spans="2:19" x14ac:dyDescent="0.25">
      <c r="F26" s="17" t="str">
        <f>$H$19</f>
        <v>2021/22</v>
      </c>
      <c r="G26" s="109" t="s">
        <v>94</v>
      </c>
      <c r="H26" s="122"/>
      <c r="I26" s="122"/>
      <c r="J26" s="36"/>
      <c r="K26" s="276">
        <v>0.71095108263285434</v>
      </c>
      <c r="L26" s="276"/>
      <c r="M26" s="276"/>
      <c r="N26" s="276">
        <v>0.71095108263285434</v>
      </c>
      <c r="O26" s="276">
        <v>0.59046922633295673</v>
      </c>
      <c r="P26" s="276"/>
      <c r="Q26" s="276">
        <v>0.59046922633295673</v>
      </c>
      <c r="R26" s="276">
        <v>0.59046922633295673</v>
      </c>
      <c r="S26" s="276">
        <v>0.59046922633295673</v>
      </c>
    </row>
    <row r="27" spans="2:19" x14ac:dyDescent="0.25">
      <c r="F27" s="17" t="s">
        <v>463</v>
      </c>
      <c r="G27" s="109" t="s">
        <v>94</v>
      </c>
      <c r="H27" s="122"/>
      <c r="I27" s="122"/>
      <c r="J27" s="36"/>
      <c r="K27" s="261">
        <f t="shared" ref="K27:S27" si="0">AVERAGE(K24:K26)</f>
        <v>0.73908767276423848</v>
      </c>
      <c r="L27" s="261" t="e">
        <f t="shared" si="0"/>
        <v>#DIV/0!</v>
      </c>
      <c r="M27" s="261" t="e">
        <f t="shared" si="0"/>
        <v>#DIV/0!</v>
      </c>
      <c r="N27" s="261">
        <f t="shared" si="0"/>
        <v>0.73908767276423848</v>
      </c>
      <c r="O27" s="261">
        <f t="shared" si="0"/>
        <v>0.59550355516188336</v>
      </c>
      <c r="P27" s="261" t="e">
        <f t="shared" si="0"/>
        <v>#DIV/0!</v>
      </c>
      <c r="Q27" s="261">
        <f t="shared" si="0"/>
        <v>0.59550355516188336</v>
      </c>
      <c r="R27" s="261">
        <f t="shared" si="0"/>
        <v>0.59550355516188336</v>
      </c>
      <c r="S27" s="261">
        <f t="shared" si="0"/>
        <v>0.59550355516188336</v>
      </c>
    </row>
    <row r="29" spans="2:19" x14ac:dyDescent="0.25">
      <c r="E29" s="52" t="s">
        <v>499</v>
      </c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</row>
    <row r="30" spans="2:19" x14ac:dyDescent="0.25">
      <c r="F30" s="80" t="str">
        <f>$H$17</f>
        <v>2019/20</v>
      </c>
      <c r="G30" s="108" t="s">
        <v>94</v>
      </c>
      <c r="H30" s="94"/>
      <c r="I30" s="94"/>
      <c r="J30" s="110"/>
      <c r="K30" s="496">
        <v>0.27397473912393616</v>
      </c>
      <c r="L30" s="496"/>
      <c r="M30" s="496"/>
      <c r="N30" s="496">
        <v>0.27397473912393616</v>
      </c>
      <c r="O30" s="496">
        <v>0.41993524723020481</v>
      </c>
      <c r="P30" s="496"/>
      <c r="Q30" s="496">
        <v>0.41993524723020481</v>
      </c>
      <c r="R30" s="496">
        <v>0.41993524723020481</v>
      </c>
      <c r="S30" s="496">
        <v>0.41993524723020481</v>
      </c>
    </row>
    <row r="31" spans="2:19" x14ac:dyDescent="0.25">
      <c r="F31" t="str">
        <f>$H$18</f>
        <v>2020/21</v>
      </c>
      <c r="G31" s="91" t="s">
        <v>94</v>
      </c>
      <c r="H31" s="59"/>
      <c r="I31" s="59"/>
      <c r="J31" s="35"/>
      <c r="K31" s="497">
        <v>0.21010555654279531</v>
      </c>
      <c r="L31" s="497"/>
      <c r="M31" s="497"/>
      <c r="N31" s="497">
        <v>0.21010555654279531</v>
      </c>
      <c r="O31" s="497">
        <v>0.36491420199459562</v>
      </c>
      <c r="P31" s="497"/>
      <c r="Q31" s="497">
        <v>0.36491420199459562</v>
      </c>
      <c r="R31" s="497">
        <v>0.36491420199459562</v>
      </c>
      <c r="S31" s="497">
        <v>0.36491420199459562</v>
      </c>
    </row>
    <row r="32" spans="2:19" x14ac:dyDescent="0.25">
      <c r="F32" s="17" t="str">
        <f>$H$19</f>
        <v>2021/22</v>
      </c>
      <c r="G32" s="109" t="s">
        <v>94</v>
      </c>
      <c r="H32" s="122"/>
      <c r="I32" s="122"/>
      <c r="J32" s="36"/>
      <c r="K32" s="498">
        <v>0.28445510084579667</v>
      </c>
      <c r="L32" s="498"/>
      <c r="M32" s="498"/>
      <c r="N32" s="498">
        <v>0.28445510084579667</v>
      </c>
      <c r="O32" s="498">
        <v>0.39709182706000457</v>
      </c>
      <c r="P32" s="498"/>
      <c r="Q32" s="498">
        <v>0.39709182706000457</v>
      </c>
      <c r="R32" s="498">
        <v>0.39709182706000457</v>
      </c>
      <c r="S32" s="498">
        <v>0.39709182706000457</v>
      </c>
    </row>
    <row r="33" spans="2:19" x14ac:dyDescent="0.25">
      <c r="F33" s="17" t="s">
        <v>463</v>
      </c>
      <c r="G33" s="109" t="s">
        <v>94</v>
      </c>
      <c r="H33" s="122"/>
      <c r="I33" s="122"/>
      <c r="J33" s="36"/>
      <c r="K33" s="261">
        <f t="shared" ref="K33:S33" si="1">AVERAGE(K30:K32)</f>
        <v>0.25617846550417606</v>
      </c>
      <c r="L33" s="261" t="e">
        <f t="shared" si="1"/>
        <v>#DIV/0!</v>
      </c>
      <c r="M33" s="261" t="e">
        <f t="shared" si="1"/>
        <v>#DIV/0!</v>
      </c>
      <c r="N33" s="261">
        <f t="shared" si="1"/>
        <v>0.25617846550417606</v>
      </c>
      <c r="O33" s="261">
        <f t="shared" si="1"/>
        <v>0.39398042542826833</v>
      </c>
      <c r="P33" s="261" t="e">
        <f t="shared" si="1"/>
        <v>#DIV/0!</v>
      </c>
      <c r="Q33" s="261">
        <f t="shared" si="1"/>
        <v>0.39398042542826833</v>
      </c>
      <c r="R33" s="261">
        <f t="shared" si="1"/>
        <v>0.39398042542826833</v>
      </c>
      <c r="S33" s="261">
        <f t="shared" si="1"/>
        <v>0.39398042542826833</v>
      </c>
    </row>
    <row r="35" spans="2:19" x14ac:dyDescent="0.25">
      <c r="E35" s="52" t="s">
        <v>500</v>
      </c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</row>
    <row r="36" spans="2:19" x14ac:dyDescent="0.25">
      <c r="F36" s="80" t="str">
        <f>$H$17</f>
        <v>2019/20</v>
      </c>
      <c r="G36" s="108" t="s">
        <v>94</v>
      </c>
      <c r="H36" s="94"/>
      <c r="I36" s="94"/>
      <c r="J36" s="110"/>
      <c r="K36" s="496">
        <v>5.9190260154021205E-3</v>
      </c>
      <c r="L36" s="496"/>
      <c r="M36" s="496"/>
      <c r="N36" s="496">
        <v>5.9190260154021205E-3</v>
      </c>
      <c r="O36" s="496">
        <v>9.503108700773524E-3</v>
      </c>
      <c r="P36" s="496"/>
      <c r="Q36" s="496">
        <v>9.503108700773524E-3</v>
      </c>
      <c r="R36" s="496">
        <v>9.503108700773524E-3</v>
      </c>
      <c r="S36" s="496">
        <v>9.503108700773524E-3</v>
      </c>
    </row>
    <row r="37" spans="2:19" x14ac:dyDescent="0.25">
      <c r="F37" t="str">
        <f>$H$18</f>
        <v>2020/21</v>
      </c>
      <c r="G37" s="91" t="s">
        <v>94</v>
      </c>
      <c r="H37" s="59"/>
      <c r="I37" s="59"/>
      <c r="J37" s="35"/>
      <c r="K37" s="497">
        <v>3.6895860395341697E-3</v>
      </c>
      <c r="L37" s="497"/>
      <c r="M37" s="497"/>
      <c r="N37" s="497">
        <v>3.6895860395341697E-3</v>
      </c>
      <c r="O37" s="497">
        <v>9.6060029217322086E-3</v>
      </c>
      <c r="P37" s="497"/>
      <c r="Q37" s="497">
        <v>9.6060029217322086E-3</v>
      </c>
      <c r="R37" s="497">
        <v>9.6060029217322086E-3</v>
      </c>
      <c r="S37" s="497">
        <v>9.6060029217322086E-3</v>
      </c>
    </row>
    <row r="38" spans="2:19" x14ac:dyDescent="0.25">
      <c r="F38" s="17" t="str">
        <f>$H$19</f>
        <v>2021/22</v>
      </c>
      <c r="G38" s="109" t="s">
        <v>94</v>
      </c>
      <c r="H38" s="122"/>
      <c r="I38" s="122"/>
      <c r="J38" s="36"/>
      <c r="K38" s="498">
        <v>4.5938165213488718E-3</v>
      </c>
      <c r="L38" s="498"/>
      <c r="M38" s="498"/>
      <c r="N38" s="498">
        <v>4.5938165213488718E-3</v>
      </c>
      <c r="O38" s="498">
        <v>1.2438946607038235E-2</v>
      </c>
      <c r="P38" s="498"/>
      <c r="Q38" s="498">
        <v>1.2438946607038235E-2</v>
      </c>
      <c r="R38" s="498">
        <v>1.2438946607038235E-2</v>
      </c>
      <c r="S38" s="498">
        <v>1.2438946607038235E-2</v>
      </c>
    </row>
    <row r="39" spans="2:19" x14ac:dyDescent="0.25">
      <c r="F39" s="17" t="s">
        <v>463</v>
      </c>
      <c r="G39" s="109" t="s">
        <v>94</v>
      </c>
      <c r="H39" s="122"/>
      <c r="I39" s="122"/>
      <c r="J39" s="36"/>
      <c r="K39" s="261">
        <f t="shared" ref="K39:S39" si="2">AVERAGE(K36:K38)</f>
        <v>4.7341428587617208E-3</v>
      </c>
      <c r="L39" s="261" t="e">
        <f t="shared" si="2"/>
        <v>#DIV/0!</v>
      </c>
      <c r="M39" s="261" t="e">
        <f t="shared" si="2"/>
        <v>#DIV/0!</v>
      </c>
      <c r="N39" s="261">
        <f t="shared" si="2"/>
        <v>4.7341428587617208E-3</v>
      </c>
      <c r="O39" s="261">
        <f t="shared" si="2"/>
        <v>1.051601940984799E-2</v>
      </c>
      <c r="P39" s="261" t="e">
        <f t="shared" si="2"/>
        <v>#DIV/0!</v>
      </c>
      <c r="Q39" s="261">
        <f t="shared" si="2"/>
        <v>1.051601940984799E-2</v>
      </c>
      <c r="R39" s="261">
        <f t="shared" si="2"/>
        <v>1.051601940984799E-2</v>
      </c>
      <c r="S39" s="261">
        <f t="shared" si="2"/>
        <v>1.051601940984799E-2</v>
      </c>
    </row>
    <row r="41" spans="2:19" x14ac:dyDescent="0.25">
      <c r="E41" s="52" t="s">
        <v>501</v>
      </c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</row>
    <row r="42" spans="2:19" x14ac:dyDescent="0.25">
      <c r="F42" s="80" t="str">
        <f>$H$17</f>
        <v>2019/20</v>
      </c>
      <c r="G42" s="108" t="s">
        <v>94</v>
      </c>
      <c r="H42" s="94"/>
      <c r="I42" s="94"/>
      <c r="J42" s="110"/>
      <c r="K42" s="496">
        <v>0.62404288240203021</v>
      </c>
      <c r="L42" s="496"/>
      <c r="M42" s="496"/>
      <c r="N42" s="496">
        <v>0.62404288240203021</v>
      </c>
      <c r="O42" s="496">
        <v>0.5240241701750914</v>
      </c>
      <c r="P42" s="496"/>
      <c r="Q42" s="496">
        <v>0.5240241701750914</v>
      </c>
      <c r="R42" s="496">
        <v>0.5240241701750914</v>
      </c>
      <c r="S42" s="496">
        <v>0.5240241701750914</v>
      </c>
    </row>
    <row r="43" spans="2:19" x14ac:dyDescent="0.25">
      <c r="F43" t="str">
        <f>$H$18</f>
        <v>2020/21</v>
      </c>
      <c r="G43" s="91" t="s">
        <v>94</v>
      </c>
      <c r="H43" s="59"/>
      <c r="I43" s="59"/>
      <c r="J43" s="35"/>
      <c r="K43" s="497">
        <v>0.74426239539034877</v>
      </c>
      <c r="L43" s="497"/>
      <c r="M43" s="497"/>
      <c r="N43" s="497">
        <v>0.74426239539034877</v>
      </c>
      <c r="O43" s="497">
        <v>0.59869551772168583</v>
      </c>
      <c r="P43" s="497"/>
      <c r="Q43" s="497">
        <v>0.59869551772168583</v>
      </c>
      <c r="R43" s="497">
        <v>0.59869551772168583</v>
      </c>
      <c r="S43" s="497">
        <v>0.59869551772168583</v>
      </c>
    </row>
    <row r="44" spans="2:19" x14ac:dyDescent="0.25">
      <c r="F44" s="17" t="str">
        <f>$H$19</f>
        <v>2021/22</v>
      </c>
      <c r="G44" s="109" t="s">
        <v>94</v>
      </c>
      <c r="H44" s="122"/>
      <c r="I44" s="122"/>
      <c r="J44" s="36"/>
      <c r="K44" s="498">
        <v>0.63950980933026202</v>
      </c>
      <c r="L44" s="498"/>
      <c r="M44" s="498"/>
      <c r="N44" s="498">
        <v>0.63950980933026202</v>
      </c>
      <c r="O44" s="498">
        <v>0.57189363168190266</v>
      </c>
      <c r="P44" s="498"/>
      <c r="Q44" s="498">
        <v>0.57189363168190266</v>
      </c>
      <c r="R44" s="498">
        <v>0.57189363168190266</v>
      </c>
      <c r="S44" s="498">
        <v>0.57189363168190266</v>
      </c>
    </row>
    <row r="45" spans="2:19" x14ac:dyDescent="0.25">
      <c r="F45" s="17" t="s">
        <v>463</v>
      </c>
      <c r="G45" s="109" t="s">
        <v>94</v>
      </c>
      <c r="H45" s="122"/>
      <c r="I45" s="122"/>
      <c r="J45" s="36"/>
      <c r="K45" s="261">
        <f t="shared" ref="K45:S45" si="3">AVERAGE(K42:K44)</f>
        <v>0.66927169570754697</v>
      </c>
      <c r="L45" s="261" t="e">
        <f t="shared" si="3"/>
        <v>#DIV/0!</v>
      </c>
      <c r="M45" s="261" t="e">
        <f t="shared" si="3"/>
        <v>#DIV/0!</v>
      </c>
      <c r="N45" s="261">
        <f t="shared" si="3"/>
        <v>0.66927169570754697</v>
      </c>
      <c r="O45" s="261">
        <f t="shared" si="3"/>
        <v>0.56487110652622663</v>
      </c>
      <c r="P45" s="261" t="e">
        <f t="shared" si="3"/>
        <v>#DIV/0!</v>
      </c>
      <c r="Q45" s="261">
        <f t="shared" si="3"/>
        <v>0.56487110652622663</v>
      </c>
      <c r="R45" s="261">
        <f t="shared" si="3"/>
        <v>0.56487110652622663</v>
      </c>
      <c r="S45" s="261">
        <f t="shared" si="3"/>
        <v>0.56487110652622663</v>
      </c>
    </row>
    <row r="47" spans="2:19" x14ac:dyDescent="0.25">
      <c r="B47" s="82" t="s">
        <v>110</v>
      </c>
      <c r="C47" s="82"/>
      <c r="D47" s="82"/>
      <c r="E47" s="82"/>
      <c r="F47" s="82"/>
      <c r="G47" s="107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59.5703125" customWidth="1"/>
    <col min="7" max="7" width="15.42578125" customWidth="1"/>
    <col min="8" max="8" width="24.5703125" customWidth="1"/>
    <col min="9" max="10" width="4.42578125" customWidth="1"/>
    <col min="11" max="13" width="8.85546875" hidden="1" customWidth="1"/>
    <col min="14" max="28" width="0" hidden="1" customWidth="1"/>
    <col min="29" max="16384" width="8.85546875" hidden="1"/>
  </cols>
  <sheetData>
    <row r="1" spans="1:9" s="8" customFormat="1" x14ac:dyDescent="0.25">
      <c r="A1" s="8" t="str">
        <f ca="1">MID(CELL("filename",A1),FIND("]",CELL("filename",A1))+1,255)</f>
        <v>ARP_User control</v>
      </c>
    </row>
    <row r="2" spans="1:9" s="8" customFormat="1" x14ac:dyDescent="0.25">
      <c r="A2" s="8" t="str">
        <f>Cover!D21&amp;" - "&amp;Cover!D23</f>
        <v>SP Distribution - One</v>
      </c>
    </row>
    <row r="3" spans="1:9" s="43" customFormat="1" x14ac:dyDescent="0.25">
      <c r="A3" s="43" t="str">
        <f>Cover!D2&amp;" - "&amp;Cover!D8&amp;" v"&amp;Cover!D10&amp;" - "&amp;Cover!D19</f>
        <v>ARP model - Release for charge setting v7 - 2024/25</v>
      </c>
    </row>
    <row r="5" spans="1:9" x14ac:dyDescent="0.25">
      <c r="B5" s="82" t="s">
        <v>90</v>
      </c>
      <c r="C5" s="82"/>
      <c r="D5" s="82"/>
      <c r="E5" s="82"/>
      <c r="F5" s="82"/>
      <c r="G5" s="82"/>
      <c r="H5" s="82"/>
      <c r="I5" s="82"/>
    </row>
    <row r="7" spans="1:9" x14ac:dyDescent="0.25">
      <c r="C7" s="73" t="s">
        <v>683</v>
      </c>
    </row>
    <row r="8" spans="1:9" x14ac:dyDescent="0.25">
      <c r="C8" s="73" t="s">
        <v>684</v>
      </c>
    </row>
    <row r="9" spans="1:9" x14ac:dyDescent="0.25">
      <c r="E9" s="12"/>
    </row>
    <row r="10" spans="1:9" x14ac:dyDescent="0.25">
      <c r="B10" s="82" t="s">
        <v>465</v>
      </c>
      <c r="C10" s="82"/>
      <c r="D10" s="82"/>
      <c r="E10" s="82"/>
      <c r="F10" s="82"/>
      <c r="G10" s="82"/>
      <c r="H10" s="82"/>
      <c r="I10" s="82"/>
    </row>
    <row r="12" spans="1:9" x14ac:dyDescent="0.25">
      <c r="C12" s="73" t="s">
        <v>685</v>
      </c>
    </row>
    <row r="13" spans="1:9" x14ac:dyDescent="0.25">
      <c r="C13" s="73" t="s">
        <v>686</v>
      </c>
    </row>
    <row r="14" spans="1:9" x14ac:dyDescent="0.25">
      <c r="C14" s="73"/>
    </row>
    <row r="15" spans="1:9" x14ac:dyDescent="0.25">
      <c r="C15" s="5" t="s">
        <v>593</v>
      </c>
      <c r="D15" s="5"/>
      <c r="E15" s="5"/>
      <c r="F15" s="5"/>
      <c r="G15" s="5"/>
      <c r="H15" s="5"/>
      <c r="I15" s="5"/>
    </row>
    <row r="16" spans="1:9" x14ac:dyDescent="0.25">
      <c r="E16" s="73"/>
    </row>
    <row r="17" spans="2:9" x14ac:dyDescent="0.25">
      <c r="E17" s="68" t="s">
        <v>467</v>
      </c>
      <c r="G17" s="273" t="s">
        <v>1256</v>
      </c>
    </row>
    <row r="18" spans="2:9" x14ac:dyDescent="0.25">
      <c r="H18" s="91"/>
    </row>
    <row r="19" spans="2:9" x14ac:dyDescent="0.25">
      <c r="C19" s="5" t="s">
        <v>573</v>
      </c>
      <c r="D19" s="5"/>
      <c r="E19" s="5"/>
      <c r="F19" s="5"/>
      <c r="G19" s="5"/>
      <c r="H19" s="5"/>
      <c r="I19" s="5"/>
    </row>
    <row r="20" spans="2:9" x14ac:dyDescent="0.25">
      <c r="E20" s="73"/>
    </row>
    <row r="21" spans="2:9" x14ac:dyDescent="0.25">
      <c r="E21" s="73"/>
    </row>
    <row r="22" spans="2:9" x14ac:dyDescent="0.25">
      <c r="E22" s="73"/>
    </row>
    <row r="23" spans="2:9" x14ac:dyDescent="0.25">
      <c r="E23" s="73"/>
    </row>
    <row r="24" spans="2:9" x14ac:dyDescent="0.25">
      <c r="E24" s="73"/>
    </row>
    <row r="25" spans="2:9" x14ac:dyDescent="0.25">
      <c r="B25" s="82" t="s">
        <v>574</v>
      </c>
      <c r="C25" s="82"/>
      <c r="D25" s="82"/>
      <c r="E25" s="82"/>
      <c r="F25" s="82"/>
      <c r="G25" s="82"/>
      <c r="H25" s="82"/>
      <c r="I25" s="82"/>
    </row>
    <row r="27" spans="2:9" x14ac:dyDescent="0.25">
      <c r="D27" s="52" t="s">
        <v>489</v>
      </c>
      <c r="H27" s="91"/>
    </row>
    <row r="28" spans="2:9" x14ac:dyDescent="0.25">
      <c r="E28" s="38" t="s">
        <v>468</v>
      </c>
      <c r="F28" s="80"/>
      <c r="G28" s="132" t="str">
        <f>LEFT(G29,4) - 1 &amp; "/" &amp; RIGHT(G29,2) - 1</f>
        <v>2021/22</v>
      </c>
      <c r="H28" s="277" t="s">
        <v>469</v>
      </c>
    </row>
    <row r="29" spans="2:9" x14ac:dyDescent="0.25">
      <c r="E29" s="37" t="s">
        <v>470</v>
      </c>
      <c r="G29" s="125" t="str">
        <f>LEFT(G30,4) - 1 &amp; "/" &amp; RIGHT(G30,2) - 1</f>
        <v>2022/23</v>
      </c>
      <c r="H29" s="278" t="s">
        <v>469</v>
      </c>
    </row>
    <row r="30" spans="2:9" x14ac:dyDescent="0.25">
      <c r="E30" s="37" t="s">
        <v>471</v>
      </c>
      <c r="G30" s="125" t="str">
        <f>LEFT(G31,4) - 1 &amp; "/" &amp; RIGHT(G31,2) - 1</f>
        <v>2023/24</v>
      </c>
      <c r="H30" s="278" t="s">
        <v>469</v>
      </c>
    </row>
    <row r="31" spans="2:9" x14ac:dyDescent="0.25">
      <c r="E31" s="37" t="str">
        <f>"Charging year (" &amp; charging_year &amp;")"</f>
        <v>Charging year (2024/25)</v>
      </c>
      <c r="G31" s="125" t="str">
        <f>charging_year</f>
        <v>2024/25</v>
      </c>
      <c r="H31" s="278" t="s">
        <v>472</v>
      </c>
    </row>
    <row r="32" spans="2:9" x14ac:dyDescent="0.25">
      <c r="E32" s="37" t="s">
        <v>473</v>
      </c>
      <c r="G32" s="125" t="str">
        <f>LEFT(G31,4) + 1 &amp; "/" &amp; RIGHT(G31,2) + 1</f>
        <v>2025/26</v>
      </c>
      <c r="H32" s="278" t="s">
        <v>474</v>
      </c>
    </row>
    <row r="33" spans="2:9" x14ac:dyDescent="0.25">
      <c r="E33" s="37" t="s">
        <v>475</v>
      </c>
      <c r="G33" s="125" t="str">
        <f t="shared" ref="G33:G35" si="0">LEFT(G32,4) + 1 &amp; "/" &amp; RIGHT(G32,2) + 1</f>
        <v>2026/27</v>
      </c>
      <c r="H33" s="278" t="s">
        <v>474</v>
      </c>
    </row>
    <row r="34" spans="2:9" x14ac:dyDescent="0.25">
      <c r="E34" s="37" t="s">
        <v>476</v>
      </c>
      <c r="G34" s="125" t="str">
        <f t="shared" si="0"/>
        <v>2027/28</v>
      </c>
      <c r="H34" s="278" t="s">
        <v>474</v>
      </c>
    </row>
    <row r="35" spans="2:9" x14ac:dyDescent="0.25">
      <c r="E35" s="34" t="s">
        <v>477</v>
      </c>
      <c r="F35" s="17"/>
      <c r="G35" s="131" t="str">
        <f t="shared" si="0"/>
        <v>2028/29</v>
      </c>
      <c r="H35" s="279" t="s">
        <v>474</v>
      </c>
    </row>
    <row r="36" spans="2:9" x14ac:dyDescent="0.25">
      <c r="E36" s="133" t="s">
        <v>478</v>
      </c>
      <c r="F36" s="66"/>
      <c r="G36" s="134">
        <f>MATCH(G17,G28:G35)</f>
        <v>4</v>
      </c>
      <c r="H36" s="167" t="str">
        <f>INDEX(H28:H35,MATCH($G$17,$G$28:$G$35,0))</f>
        <v>Current</v>
      </c>
    </row>
    <row r="38" spans="2:9" x14ac:dyDescent="0.25">
      <c r="B38" s="82" t="s">
        <v>110</v>
      </c>
      <c r="C38" s="82"/>
      <c r="D38" s="82"/>
      <c r="E38" s="82"/>
      <c r="F38" s="82"/>
      <c r="G38" s="82"/>
      <c r="H38" s="82"/>
      <c r="I38" s="82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142875</xdr:colOff>
                    <xdr:row>20</xdr:row>
                    <xdr:rowOff>47625</xdr:rowOff>
                  </from>
                  <to>
                    <xdr:col>7</xdr:col>
                    <xdr:colOff>1666875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487" activePane="bottomRight" state="frozen"/>
      <selection pane="topRight"/>
      <selection pane="bottomLeft"/>
      <selection pane="bottomRight" activeCell="O502" sqref="O502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style="59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49" s="8" customFormat="1" x14ac:dyDescent="0.25">
      <c r="A1" s="8" t="str">
        <f ca="1">MID(CELL("filename",A1),FIND("]",CELL("filename",A1))+1,255)</f>
        <v>ARP_Inputs by customer type</v>
      </c>
      <c r="I1" s="6"/>
    </row>
    <row r="2" spans="1:49" s="8" customFormat="1" x14ac:dyDescent="0.25">
      <c r="A2" s="8" t="str">
        <f>Cover!D21&amp;" - "&amp;Cover!D23</f>
        <v>SP Distribution - One</v>
      </c>
      <c r="I2" s="6"/>
    </row>
    <row r="3" spans="1:49" s="43" customFormat="1" x14ac:dyDescent="0.25">
      <c r="A3" s="43" t="str">
        <f>Cover!D2&amp;" - "&amp;Cover!D8&amp;" v"&amp;Cover!D10&amp;" - "&amp;Cover!D19</f>
        <v>ARP model - Release for charge setting v7 - 2024/25</v>
      </c>
      <c r="I3" s="262"/>
    </row>
    <row r="4" spans="1:49" x14ac:dyDescent="0.25">
      <c r="A4" s="194" t="str">
        <f>H2140 &amp; IF(H2140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J4" s="91"/>
    </row>
    <row r="5" spans="1:49" ht="30" x14ac:dyDescent="0.25">
      <c r="B5" s="112"/>
      <c r="C5" s="7"/>
      <c r="D5" s="7"/>
      <c r="E5" s="7"/>
      <c r="F5" s="7"/>
      <c r="G5" s="106"/>
      <c r="H5" s="33"/>
      <c r="J5" s="124" t="str">
        <f>"Year selected ("&amp; charging_year_selected &amp;")"</f>
        <v>Year selected (2024/25)</v>
      </c>
      <c r="K5" s="59"/>
      <c r="L5" s="33" t="str">
        <f t="array" ref="L5:S6">TRANSPOSE('ARP_User control'!G28:H35)</f>
        <v>2021/22</v>
      </c>
      <c r="M5" s="33" t="str">
        <v>2022/23</v>
      </c>
      <c r="N5" s="33" t="str">
        <v>2023/24</v>
      </c>
      <c r="O5" s="33" t="str">
        <v>2024/25</v>
      </c>
      <c r="P5" s="33" t="str">
        <v>2025/26</v>
      </c>
      <c r="Q5" s="33" t="str">
        <v>2026/27</v>
      </c>
      <c r="R5" s="33" t="str">
        <v>2027/28</v>
      </c>
      <c r="S5" s="33" t="str">
        <v>2028/29</v>
      </c>
      <c r="U5" s="33"/>
    </row>
    <row r="6" spans="1:49" x14ac:dyDescent="0.25">
      <c r="B6" s="112" t="s">
        <v>451</v>
      </c>
      <c r="C6" s="7"/>
      <c r="D6" s="7"/>
      <c r="E6" s="7"/>
      <c r="F6" s="7"/>
      <c r="G6" s="106" t="s">
        <v>91</v>
      </c>
      <c r="H6" s="33" t="s">
        <v>92</v>
      </c>
      <c r="J6" s="126" t="str">
        <f>'ARP_User control'!$H$36</f>
        <v>Current</v>
      </c>
      <c r="K6" s="59"/>
      <c r="L6" s="33" t="str">
        <v>Historic</v>
      </c>
      <c r="M6" s="33" t="str">
        <v>Historic</v>
      </c>
      <c r="N6" s="33" t="str">
        <v>Historic</v>
      </c>
      <c r="O6" s="33" t="str">
        <v>Current</v>
      </c>
      <c r="P6" s="33" t="str">
        <v>Forecast</v>
      </c>
      <c r="Q6" s="33" t="str">
        <v>Forecast</v>
      </c>
      <c r="R6" s="33" t="str">
        <v>Forecast</v>
      </c>
      <c r="S6" s="33" t="str">
        <v>Forecast</v>
      </c>
      <c r="U6" s="106" t="s">
        <v>93</v>
      </c>
    </row>
    <row r="8" spans="1:49" x14ac:dyDescent="0.25">
      <c r="B8" s="82" t="s">
        <v>90</v>
      </c>
      <c r="C8" s="82"/>
      <c r="D8" s="82"/>
      <c r="E8" s="82"/>
      <c r="F8" s="82"/>
      <c r="G8" s="82"/>
      <c r="H8" s="82"/>
      <c r="I8" s="136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</row>
    <row r="9" spans="1:49" x14ac:dyDescent="0.25">
      <c r="D9" s="12"/>
    </row>
    <row r="10" spans="1:49" x14ac:dyDescent="0.25">
      <c r="C10" s="73" t="s">
        <v>687</v>
      </c>
    </row>
    <row r="11" spans="1:49" x14ac:dyDescent="0.25">
      <c r="C11" s="73" t="s">
        <v>688</v>
      </c>
    </row>
    <row r="12" spans="1:49" x14ac:dyDescent="0.25">
      <c r="C12" s="73" t="s">
        <v>780</v>
      </c>
    </row>
    <row r="13" spans="1:49" x14ac:dyDescent="0.25">
      <c r="D13" s="12"/>
    </row>
    <row r="14" spans="1:49" x14ac:dyDescent="0.25">
      <c r="B14" s="82" t="s">
        <v>286</v>
      </c>
      <c r="C14" s="82"/>
      <c r="D14" s="82"/>
      <c r="E14" s="82"/>
      <c r="F14" s="82"/>
      <c r="G14" s="82"/>
      <c r="H14" s="82"/>
      <c r="I14" s="136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</row>
    <row r="15" spans="1:49" x14ac:dyDescent="0.25">
      <c r="D15" s="12"/>
    </row>
    <row r="16" spans="1:49" x14ac:dyDescent="0.25">
      <c r="C16" s="5" t="str">
        <f ca="1">INDEX('Version control'!$H$36:$H$62,MATCH($A$1,'Version control'!$F$36:$F$62,0),1)&amp;"-A: Load factor"</f>
        <v>Input 501-A: Load factor</v>
      </c>
      <c r="D16" s="5"/>
      <c r="E16" s="5"/>
      <c r="F16" s="5"/>
      <c r="G16" s="5"/>
      <c r="H16" s="5"/>
      <c r="I16" s="143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3:21" x14ac:dyDescent="0.25">
      <c r="C17" s="52"/>
    </row>
    <row r="18" spans="3:21" x14ac:dyDescent="0.25">
      <c r="E18" s="121" t="s">
        <v>71</v>
      </c>
      <c r="G18" s="91"/>
      <c r="I18" s="59" t="s">
        <v>359</v>
      </c>
      <c r="U18" t="s">
        <v>806</v>
      </c>
    </row>
    <row r="19" spans="3:21" x14ac:dyDescent="0.25">
      <c r="F19" s="80" t="s">
        <v>925</v>
      </c>
      <c r="G19" s="80" t="s">
        <v>94</v>
      </c>
      <c r="H19" s="94"/>
      <c r="I19" s="94"/>
      <c r="J19" s="156">
        <f>CHOOSE(year_selection, L19,M19,N19,O19,P19,Q19,R19,S19)</f>
        <v>0.44600000000000001</v>
      </c>
      <c r="K19" s="94"/>
      <c r="L19" s="274"/>
      <c r="M19" s="274">
        <v>0.4363333333333333</v>
      </c>
      <c r="N19" s="274">
        <v>0.43433333333333329</v>
      </c>
      <c r="O19" s="274">
        <v>0.44600000000000001</v>
      </c>
      <c r="P19" s="274">
        <f>$O19</f>
        <v>0.44600000000000001</v>
      </c>
      <c r="Q19" s="274">
        <f t="shared" ref="Q19:S26" si="0">$O19</f>
        <v>0.44600000000000001</v>
      </c>
      <c r="R19" s="274">
        <f t="shared" si="0"/>
        <v>0.44600000000000001</v>
      </c>
      <c r="S19" s="274">
        <f t="shared" si="0"/>
        <v>0.44600000000000001</v>
      </c>
    </row>
    <row r="20" spans="3:21" x14ac:dyDescent="0.25">
      <c r="F20" t="s">
        <v>926</v>
      </c>
      <c r="G20" t="s">
        <v>94</v>
      </c>
      <c r="H20" s="59"/>
      <c r="J20" s="157">
        <f t="shared" ref="J20:J26" si="1">CHOOSE(year_selection, L20,M20,N20,O20,P20,Q20,R20,S20)</f>
        <v>7.9333333333333325E-2</v>
      </c>
      <c r="K20" s="59"/>
      <c r="L20" s="275"/>
      <c r="M20" s="275">
        <v>8.7000000000000008E-2</v>
      </c>
      <c r="N20" s="275">
        <v>8.4666666666666668E-2</v>
      </c>
      <c r="O20" s="275">
        <v>7.9333333333333325E-2</v>
      </c>
      <c r="P20" s="275">
        <f t="shared" ref="P20:P26" si="2">$O20</f>
        <v>7.9333333333333325E-2</v>
      </c>
      <c r="Q20" s="275">
        <f t="shared" si="0"/>
        <v>7.9333333333333325E-2</v>
      </c>
      <c r="R20" s="275">
        <f t="shared" si="0"/>
        <v>7.9333333333333325E-2</v>
      </c>
      <c r="S20" s="275">
        <f t="shared" si="0"/>
        <v>7.9333333333333325E-2</v>
      </c>
    </row>
    <row r="21" spans="3:21" x14ac:dyDescent="0.25">
      <c r="F21" t="s">
        <v>927</v>
      </c>
      <c r="G21" t="s">
        <v>94</v>
      </c>
      <c r="H21" s="59"/>
      <c r="J21" s="157">
        <f t="shared" si="1"/>
        <v>0.41899999999999998</v>
      </c>
      <c r="K21" s="59"/>
      <c r="L21" s="275"/>
      <c r="M21" s="275">
        <v>0.40833333333333338</v>
      </c>
      <c r="N21" s="275">
        <v>0.41399999999999998</v>
      </c>
      <c r="O21" s="275">
        <v>0.41899999999999998</v>
      </c>
      <c r="P21" s="275">
        <f t="shared" si="2"/>
        <v>0.41899999999999998</v>
      </c>
      <c r="Q21" s="275">
        <f t="shared" si="0"/>
        <v>0.41899999999999998</v>
      </c>
      <c r="R21" s="275">
        <f t="shared" si="0"/>
        <v>0.41899999999999998</v>
      </c>
      <c r="S21" s="275">
        <f t="shared" si="0"/>
        <v>0.41899999999999998</v>
      </c>
    </row>
    <row r="22" spans="3:21" x14ac:dyDescent="0.25">
      <c r="F22" t="s">
        <v>928</v>
      </c>
      <c r="G22" t="s">
        <v>94</v>
      </c>
      <c r="H22" s="59"/>
      <c r="J22" s="157">
        <f t="shared" si="1"/>
        <v>0.28733333333333338</v>
      </c>
      <c r="K22" s="59"/>
      <c r="L22" s="275"/>
      <c r="M22" s="275">
        <v>0.32600000000000001</v>
      </c>
      <c r="N22" s="275">
        <v>0.316</v>
      </c>
      <c r="O22" s="275">
        <v>0.28733333333333338</v>
      </c>
      <c r="P22" s="275">
        <f t="shared" si="2"/>
        <v>0.28733333333333338</v>
      </c>
      <c r="Q22" s="275">
        <f t="shared" si="0"/>
        <v>0.28733333333333338</v>
      </c>
      <c r="R22" s="275">
        <f t="shared" si="0"/>
        <v>0.28733333333333338</v>
      </c>
      <c r="S22" s="275">
        <f t="shared" si="0"/>
        <v>0.28733333333333338</v>
      </c>
    </row>
    <row r="23" spans="3:21" x14ac:dyDescent="0.25">
      <c r="F23" t="s">
        <v>929</v>
      </c>
      <c r="G23" t="s">
        <v>94</v>
      </c>
      <c r="H23" s="59"/>
      <c r="J23" s="157">
        <f t="shared" si="1"/>
        <v>0.55300000000000005</v>
      </c>
      <c r="K23" s="59"/>
      <c r="L23" s="275"/>
      <c r="M23" s="275">
        <v>0.56066666666666676</v>
      </c>
      <c r="N23" s="275">
        <v>0.55766666666666664</v>
      </c>
      <c r="O23" s="275">
        <v>0.55300000000000005</v>
      </c>
      <c r="P23" s="275">
        <f t="shared" si="2"/>
        <v>0.55300000000000005</v>
      </c>
      <c r="Q23" s="275">
        <f t="shared" si="0"/>
        <v>0.55300000000000005</v>
      </c>
      <c r="R23" s="275">
        <f t="shared" si="0"/>
        <v>0.55300000000000005</v>
      </c>
      <c r="S23" s="275">
        <f t="shared" si="0"/>
        <v>0.55300000000000005</v>
      </c>
    </row>
    <row r="24" spans="3:21" x14ac:dyDescent="0.25">
      <c r="F24" t="s">
        <v>930</v>
      </c>
      <c r="G24" t="s">
        <v>94</v>
      </c>
      <c r="H24" s="59"/>
      <c r="J24" s="157">
        <f t="shared" si="1"/>
        <v>0.67799999999999994</v>
      </c>
      <c r="K24" s="59"/>
      <c r="L24" s="275"/>
      <c r="M24" s="275">
        <v>0.66633333333333333</v>
      </c>
      <c r="N24" s="275">
        <v>0.67566666666666675</v>
      </c>
      <c r="O24" s="275">
        <v>0.67799999999999994</v>
      </c>
      <c r="P24" s="275">
        <f t="shared" si="2"/>
        <v>0.67799999999999994</v>
      </c>
      <c r="Q24" s="275">
        <f t="shared" si="0"/>
        <v>0.67799999999999994</v>
      </c>
      <c r="R24" s="275">
        <f t="shared" si="0"/>
        <v>0.67799999999999994</v>
      </c>
      <c r="S24" s="275">
        <f t="shared" si="0"/>
        <v>0.67799999999999994</v>
      </c>
    </row>
    <row r="25" spans="3:21" x14ac:dyDescent="0.25">
      <c r="F25" t="s">
        <v>931</v>
      </c>
      <c r="G25" t="s">
        <v>94</v>
      </c>
      <c r="H25" s="59"/>
      <c r="J25" s="157">
        <f t="shared" si="1"/>
        <v>0.7320000000000001</v>
      </c>
      <c r="K25" s="59"/>
      <c r="L25" s="275"/>
      <c r="M25" s="275">
        <v>0.73366666666666658</v>
      </c>
      <c r="N25" s="275">
        <v>0.72800000000000009</v>
      </c>
      <c r="O25" s="275">
        <v>0.7320000000000001</v>
      </c>
      <c r="P25" s="275">
        <f t="shared" si="2"/>
        <v>0.7320000000000001</v>
      </c>
      <c r="Q25" s="275">
        <f t="shared" si="0"/>
        <v>0.7320000000000001</v>
      </c>
      <c r="R25" s="275">
        <f t="shared" si="0"/>
        <v>0.7320000000000001</v>
      </c>
      <c r="S25" s="275">
        <f t="shared" si="0"/>
        <v>0.7320000000000001</v>
      </c>
    </row>
    <row r="26" spans="3:21" x14ac:dyDescent="0.25">
      <c r="F26" t="s">
        <v>932</v>
      </c>
      <c r="G26" t="s">
        <v>94</v>
      </c>
      <c r="H26" s="59"/>
      <c r="J26" s="157">
        <f t="shared" si="1"/>
        <v>0.48033333333333333</v>
      </c>
      <c r="K26" s="59"/>
      <c r="L26" s="275"/>
      <c r="M26" s="275">
        <v>0.46300000000000002</v>
      </c>
      <c r="N26" s="275">
        <v>0.45900000000000002</v>
      </c>
      <c r="O26" s="275">
        <v>0.48033333333333333</v>
      </c>
      <c r="P26" s="275">
        <f t="shared" si="2"/>
        <v>0.48033333333333333</v>
      </c>
      <c r="Q26" s="275">
        <f t="shared" si="0"/>
        <v>0.48033333333333333</v>
      </c>
      <c r="R26" s="275">
        <f t="shared" si="0"/>
        <v>0.48033333333333333</v>
      </c>
      <c r="S26" s="275">
        <f t="shared" si="0"/>
        <v>0.48033333333333333</v>
      </c>
    </row>
    <row r="27" spans="3:21" x14ac:dyDescent="0.25">
      <c r="F27" t="s">
        <v>933</v>
      </c>
      <c r="G27" t="s">
        <v>94</v>
      </c>
      <c r="H27" s="59"/>
      <c r="J27" s="202"/>
      <c r="K27" s="59"/>
      <c r="L27" s="35"/>
      <c r="M27" s="35"/>
      <c r="N27" s="35"/>
      <c r="O27" s="35"/>
      <c r="P27" s="35"/>
      <c r="Q27" s="35"/>
      <c r="R27" s="35"/>
      <c r="S27" s="35"/>
    </row>
    <row r="28" spans="3:21" x14ac:dyDescent="0.25">
      <c r="F28" t="s">
        <v>934</v>
      </c>
      <c r="G28" t="s">
        <v>94</v>
      </c>
      <c r="H28" s="59"/>
      <c r="J28" s="202"/>
      <c r="K28" s="59"/>
      <c r="L28" s="35"/>
      <c r="M28" s="35"/>
      <c r="N28" s="35"/>
      <c r="O28" s="35"/>
      <c r="P28" s="35"/>
      <c r="Q28" s="35"/>
      <c r="R28" s="35"/>
      <c r="S28" s="35"/>
    </row>
    <row r="29" spans="3:21" x14ac:dyDescent="0.25">
      <c r="F29" t="s">
        <v>935</v>
      </c>
      <c r="G29" t="s">
        <v>94</v>
      </c>
      <c r="H29" s="59"/>
      <c r="J29" s="202"/>
      <c r="K29" s="59"/>
      <c r="L29" s="35"/>
      <c r="M29" s="35"/>
      <c r="N29" s="35"/>
      <c r="O29" s="35"/>
      <c r="P29" s="35"/>
      <c r="Q29" s="35"/>
      <c r="R29" s="35"/>
      <c r="S29" s="35"/>
    </row>
    <row r="30" spans="3:21" x14ac:dyDescent="0.25">
      <c r="F30" t="s">
        <v>936</v>
      </c>
      <c r="G30" t="s">
        <v>94</v>
      </c>
      <c r="H30" s="59"/>
      <c r="J30" s="202"/>
      <c r="K30" s="59"/>
      <c r="L30" s="35"/>
      <c r="M30" s="35"/>
      <c r="N30" s="35"/>
      <c r="O30" s="35"/>
      <c r="P30" s="35"/>
      <c r="Q30" s="35"/>
      <c r="R30" s="35"/>
      <c r="S30" s="35"/>
    </row>
    <row r="31" spans="3:21" x14ac:dyDescent="0.25">
      <c r="F31" t="s">
        <v>937</v>
      </c>
      <c r="G31" t="s">
        <v>94</v>
      </c>
      <c r="H31" s="59"/>
      <c r="J31" s="202"/>
      <c r="K31" s="59"/>
      <c r="L31" s="35"/>
      <c r="M31" s="35"/>
      <c r="N31" s="35"/>
      <c r="O31" s="35"/>
      <c r="P31" s="35"/>
      <c r="Q31" s="35"/>
      <c r="R31" s="35"/>
      <c r="S31" s="35"/>
    </row>
    <row r="32" spans="3:21" x14ac:dyDescent="0.25">
      <c r="F32" t="s">
        <v>938</v>
      </c>
      <c r="G32" t="s">
        <v>94</v>
      </c>
      <c r="H32" s="59"/>
      <c r="J32" s="202"/>
      <c r="K32" s="59"/>
      <c r="L32" s="35"/>
      <c r="M32" s="35"/>
      <c r="N32" s="35"/>
      <c r="O32" s="35"/>
      <c r="P32" s="35"/>
      <c r="Q32" s="35"/>
      <c r="R32" s="35"/>
      <c r="S32" s="35"/>
    </row>
    <row r="33" spans="3:21" x14ac:dyDescent="0.25">
      <c r="F33" t="s">
        <v>939</v>
      </c>
      <c r="G33" t="s">
        <v>94</v>
      </c>
      <c r="H33" s="59"/>
      <c r="J33" s="202"/>
      <c r="K33" s="59"/>
      <c r="L33" s="35"/>
      <c r="M33" s="35"/>
      <c r="N33" s="35"/>
      <c r="O33" s="35"/>
      <c r="P33" s="35"/>
      <c r="Q33" s="35"/>
      <c r="R33" s="35"/>
      <c r="S33" s="35"/>
    </row>
    <row r="34" spans="3:21" x14ac:dyDescent="0.25">
      <c r="F34" s="17" t="s">
        <v>940</v>
      </c>
      <c r="G34" s="17" t="s">
        <v>94</v>
      </c>
      <c r="H34" s="122"/>
      <c r="I34" s="122"/>
      <c r="J34" s="203"/>
      <c r="K34" s="122"/>
      <c r="L34" s="36"/>
      <c r="M34" s="36"/>
      <c r="N34" s="36"/>
      <c r="O34" s="36"/>
      <c r="P34" s="36"/>
      <c r="Q34" s="36"/>
      <c r="R34" s="36"/>
      <c r="S34" s="36"/>
    </row>
    <row r="35" spans="3:21" x14ac:dyDescent="0.25">
      <c r="H35" s="59"/>
      <c r="J35" s="59"/>
      <c r="K35" s="59"/>
      <c r="L35" s="59"/>
      <c r="M35" s="59"/>
      <c r="N35" s="59"/>
      <c r="O35" s="59"/>
      <c r="P35" s="59"/>
      <c r="Q35" s="59"/>
      <c r="R35" s="59"/>
      <c r="S35" s="59"/>
    </row>
    <row r="36" spans="3:21" x14ac:dyDescent="0.25">
      <c r="C36" s="5" t="str">
        <f ca="1">INDEX('Version control'!$H$36:$H$62,MATCH($A$1,'Version control'!$F$36:$F$62,0),1)&amp;"-B: Coincidence factor"</f>
        <v>Input 501-B: Coincidence factor</v>
      </c>
      <c r="D36" s="5"/>
      <c r="E36" s="5"/>
      <c r="F36" s="5"/>
      <c r="G36" s="5"/>
      <c r="H36" s="5"/>
      <c r="I36" s="143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</row>
    <row r="37" spans="3:21" x14ac:dyDescent="0.25">
      <c r="C37" s="52"/>
    </row>
    <row r="38" spans="3:21" x14ac:dyDescent="0.25">
      <c r="E38" s="121" t="s">
        <v>70</v>
      </c>
      <c r="H38" s="59"/>
      <c r="I38" s="59" t="s">
        <v>359</v>
      </c>
      <c r="J38" s="59"/>
      <c r="K38" s="59"/>
      <c r="L38" s="59"/>
      <c r="M38" s="59"/>
      <c r="N38" s="59"/>
      <c r="O38" s="59"/>
      <c r="P38" s="59"/>
      <c r="Q38" s="59"/>
      <c r="R38" s="59"/>
      <c r="S38" s="59"/>
      <c r="U38" t="s">
        <v>807</v>
      </c>
    </row>
    <row r="39" spans="3:21" x14ac:dyDescent="0.25">
      <c r="F39" s="80" t="s">
        <v>925</v>
      </c>
      <c r="G39" s="80" t="s">
        <v>94</v>
      </c>
      <c r="H39" s="94"/>
      <c r="I39" s="94"/>
      <c r="J39" s="156">
        <f t="shared" ref="J39:J46" si="3">CHOOSE(year_selection, L39,M39,N39,O39,P39,Q39,R39,S39)</f>
        <v>0.82433333333333325</v>
      </c>
      <c r="K39" s="94"/>
      <c r="L39" s="274"/>
      <c r="M39" s="274">
        <v>0.84399999999999997</v>
      </c>
      <c r="N39" s="274">
        <v>0.81066666666666665</v>
      </c>
      <c r="O39" s="274">
        <v>0.82433333333333325</v>
      </c>
      <c r="P39" s="496">
        <f>$O39</f>
        <v>0.82433333333333325</v>
      </c>
      <c r="Q39" s="496">
        <f t="shared" ref="Q39:S46" si="4">$O39</f>
        <v>0.82433333333333325</v>
      </c>
      <c r="R39" s="496">
        <f t="shared" si="4"/>
        <v>0.82433333333333325</v>
      </c>
      <c r="S39" s="496">
        <f t="shared" si="4"/>
        <v>0.82433333333333325</v>
      </c>
    </row>
    <row r="40" spans="3:21" x14ac:dyDescent="0.25">
      <c r="F40" t="s">
        <v>926</v>
      </c>
      <c r="G40" t="s">
        <v>94</v>
      </c>
      <c r="H40" s="59"/>
      <c r="J40" s="202"/>
      <c r="K40" s="59"/>
      <c r="L40" s="135"/>
      <c r="M40" s="135"/>
      <c r="N40" s="135"/>
      <c r="O40" s="135"/>
      <c r="P40" s="135"/>
      <c r="Q40" s="135"/>
      <c r="R40" s="135"/>
      <c r="S40" s="135"/>
    </row>
    <row r="41" spans="3:21" x14ac:dyDescent="0.25">
      <c r="F41" t="s">
        <v>927</v>
      </c>
      <c r="G41" t="s">
        <v>94</v>
      </c>
      <c r="H41" s="59"/>
      <c r="J41" s="157">
        <f t="shared" si="3"/>
        <v>0.70199999999999996</v>
      </c>
      <c r="K41" s="59"/>
      <c r="L41" s="275"/>
      <c r="M41" s="275">
        <v>0.68033333333333335</v>
      </c>
      <c r="N41" s="275">
        <v>0.67666666666666675</v>
      </c>
      <c r="O41" s="275">
        <v>0.70199999999999996</v>
      </c>
      <c r="P41" s="275">
        <f>$O41</f>
        <v>0.70199999999999996</v>
      </c>
      <c r="Q41" s="275">
        <f t="shared" si="4"/>
        <v>0.70199999999999996</v>
      </c>
      <c r="R41" s="275">
        <f t="shared" si="4"/>
        <v>0.70199999999999996</v>
      </c>
      <c r="S41" s="275">
        <f t="shared" si="4"/>
        <v>0.70199999999999996</v>
      </c>
    </row>
    <row r="42" spans="3:21" x14ac:dyDescent="0.25">
      <c r="F42" t="s">
        <v>928</v>
      </c>
      <c r="G42" t="s">
        <v>94</v>
      </c>
      <c r="H42" s="59"/>
      <c r="J42" s="202"/>
      <c r="K42" s="59"/>
      <c r="L42" s="135"/>
      <c r="M42" s="135"/>
      <c r="N42" s="135"/>
      <c r="O42" s="135"/>
      <c r="P42" s="135"/>
      <c r="Q42" s="135"/>
      <c r="R42" s="135"/>
      <c r="S42" s="135"/>
    </row>
    <row r="43" spans="3:21" x14ac:dyDescent="0.25">
      <c r="F43" t="s">
        <v>929</v>
      </c>
      <c r="G43" t="s">
        <v>94</v>
      </c>
      <c r="H43" s="59"/>
      <c r="J43" s="157">
        <f t="shared" si="3"/>
        <v>0.79900000000000004</v>
      </c>
      <c r="K43" s="59"/>
      <c r="L43" s="275"/>
      <c r="M43" s="275">
        <v>0.79833333333333334</v>
      </c>
      <c r="N43" s="275">
        <v>0.79833333333333334</v>
      </c>
      <c r="O43" s="275">
        <v>0.79900000000000004</v>
      </c>
      <c r="P43" s="275">
        <f t="shared" ref="P43:P46" si="5">$O43</f>
        <v>0.79900000000000004</v>
      </c>
      <c r="Q43" s="275">
        <f t="shared" si="4"/>
        <v>0.79900000000000004</v>
      </c>
      <c r="R43" s="275">
        <f t="shared" si="4"/>
        <v>0.79900000000000004</v>
      </c>
      <c r="S43" s="275">
        <f t="shared" si="4"/>
        <v>0.79900000000000004</v>
      </c>
    </row>
    <row r="44" spans="3:21" x14ac:dyDescent="0.25">
      <c r="F44" t="s">
        <v>930</v>
      </c>
      <c r="G44" t="s">
        <v>94</v>
      </c>
      <c r="H44" s="59"/>
      <c r="J44" s="157">
        <f t="shared" si="3"/>
        <v>0.82866666666666655</v>
      </c>
      <c r="K44" s="59"/>
      <c r="L44" s="275"/>
      <c r="M44" s="275">
        <v>0.78666666666666663</v>
      </c>
      <c r="N44" s="275">
        <v>0.80666666666666664</v>
      </c>
      <c r="O44" s="275">
        <v>0.82866666666666655</v>
      </c>
      <c r="P44" s="275">
        <f t="shared" si="5"/>
        <v>0.82866666666666655</v>
      </c>
      <c r="Q44" s="275">
        <f t="shared" si="4"/>
        <v>0.82866666666666655</v>
      </c>
      <c r="R44" s="275">
        <f t="shared" si="4"/>
        <v>0.82866666666666655</v>
      </c>
      <c r="S44" s="275">
        <f t="shared" si="4"/>
        <v>0.82866666666666655</v>
      </c>
    </row>
    <row r="45" spans="3:21" x14ac:dyDescent="0.25">
      <c r="F45" t="s">
        <v>931</v>
      </c>
      <c r="G45" t="s">
        <v>94</v>
      </c>
      <c r="H45" s="59"/>
      <c r="J45" s="157">
        <f t="shared" si="3"/>
        <v>0.86599999999999999</v>
      </c>
      <c r="K45" s="59"/>
      <c r="L45" s="275"/>
      <c r="M45" s="275">
        <v>0.85099999999999998</v>
      </c>
      <c r="N45" s="275">
        <v>0.85133333333333339</v>
      </c>
      <c r="O45" s="275">
        <v>0.86599999999999999</v>
      </c>
      <c r="P45" s="275">
        <f t="shared" si="5"/>
        <v>0.86599999999999999</v>
      </c>
      <c r="Q45" s="275">
        <f t="shared" si="4"/>
        <v>0.86599999999999999</v>
      </c>
      <c r="R45" s="275">
        <f t="shared" si="4"/>
        <v>0.86599999999999999</v>
      </c>
      <c r="S45" s="275">
        <f t="shared" si="4"/>
        <v>0.86599999999999999</v>
      </c>
    </row>
    <row r="46" spans="3:21" x14ac:dyDescent="0.25">
      <c r="F46" t="s">
        <v>932</v>
      </c>
      <c r="G46" t="s">
        <v>94</v>
      </c>
      <c r="H46" s="59"/>
      <c r="J46" s="157">
        <f t="shared" si="3"/>
        <v>0.91866666666666663</v>
      </c>
      <c r="K46" s="59"/>
      <c r="L46" s="275"/>
      <c r="M46" s="275">
        <v>0.92700000000000005</v>
      </c>
      <c r="N46" s="275">
        <v>0.91233333333333333</v>
      </c>
      <c r="O46" s="275">
        <v>0.91866666666666663</v>
      </c>
      <c r="P46" s="275">
        <f t="shared" si="5"/>
        <v>0.91866666666666663</v>
      </c>
      <c r="Q46" s="275">
        <f t="shared" si="4"/>
        <v>0.91866666666666663</v>
      </c>
      <c r="R46" s="275">
        <f t="shared" si="4"/>
        <v>0.91866666666666663</v>
      </c>
      <c r="S46" s="275">
        <f t="shared" si="4"/>
        <v>0.91866666666666663</v>
      </c>
    </row>
    <row r="47" spans="3:21" x14ac:dyDescent="0.25">
      <c r="F47" t="s">
        <v>933</v>
      </c>
      <c r="G47" t="s">
        <v>94</v>
      </c>
      <c r="H47" s="59"/>
      <c r="J47" s="202"/>
      <c r="K47" s="59"/>
      <c r="L47" s="135"/>
      <c r="M47" s="135"/>
      <c r="N47" s="135"/>
      <c r="O47" s="135"/>
      <c r="P47" s="135"/>
      <c r="Q47" s="135"/>
      <c r="R47" s="135"/>
      <c r="S47" s="135"/>
    </row>
    <row r="48" spans="3:21" x14ac:dyDescent="0.25">
      <c r="F48" t="s">
        <v>934</v>
      </c>
      <c r="G48" t="s">
        <v>94</v>
      </c>
      <c r="H48" s="59"/>
      <c r="J48" s="202"/>
      <c r="K48" s="59"/>
      <c r="L48" s="135"/>
      <c r="M48" s="135"/>
      <c r="N48" s="135"/>
      <c r="O48" s="135"/>
      <c r="P48" s="135"/>
      <c r="Q48" s="135"/>
      <c r="R48" s="135"/>
      <c r="S48" s="135"/>
    </row>
    <row r="49" spans="2:21" x14ac:dyDescent="0.25">
      <c r="F49" t="s">
        <v>935</v>
      </c>
      <c r="G49" t="s">
        <v>94</v>
      </c>
      <c r="H49" s="59"/>
      <c r="J49" s="202"/>
      <c r="K49" s="59"/>
      <c r="L49" s="135"/>
      <c r="M49" s="135"/>
      <c r="N49" s="135"/>
      <c r="O49" s="135"/>
      <c r="P49" s="135"/>
      <c r="Q49" s="135"/>
      <c r="R49" s="135"/>
      <c r="S49" s="135"/>
    </row>
    <row r="50" spans="2:21" x14ac:dyDescent="0.25">
      <c r="F50" t="s">
        <v>936</v>
      </c>
      <c r="G50" t="s">
        <v>94</v>
      </c>
      <c r="H50" s="59"/>
      <c r="J50" s="202"/>
      <c r="K50" s="59"/>
      <c r="L50" s="135"/>
      <c r="M50" s="135"/>
      <c r="N50" s="135"/>
      <c r="O50" s="135"/>
      <c r="P50" s="135"/>
      <c r="Q50" s="135"/>
      <c r="R50" s="135"/>
      <c r="S50" s="135"/>
    </row>
    <row r="51" spans="2:21" x14ac:dyDescent="0.25">
      <c r="F51" t="s">
        <v>937</v>
      </c>
      <c r="G51" t="s">
        <v>94</v>
      </c>
      <c r="H51" s="59"/>
      <c r="J51" s="202"/>
      <c r="K51" s="59"/>
      <c r="L51" s="135"/>
      <c r="M51" s="135"/>
      <c r="N51" s="135"/>
      <c r="O51" s="135"/>
      <c r="P51" s="135"/>
      <c r="Q51" s="135"/>
      <c r="R51" s="135"/>
      <c r="S51" s="135"/>
    </row>
    <row r="52" spans="2:21" x14ac:dyDescent="0.25">
      <c r="F52" t="s">
        <v>938</v>
      </c>
      <c r="G52" t="s">
        <v>94</v>
      </c>
      <c r="H52" s="59"/>
      <c r="J52" s="202"/>
      <c r="K52" s="59"/>
      <c r="L52" s="135"/>
      <c r="M52" s="135"/>
      <c r="N52" s="135"/>
      <c r="O52" s="135"/>
      <c r="P52" s="135"/>
      <c r="Q52" s="135"/>
      <c r="R52" s="135"/>
      <c r="S52" s="135"/>
    </row>
    <row r="53" spans="2:21" x14ac:dyDescent="0.25">
      <c r="F53" t="s">
        <v>939</v>
      </c>
      <c r="G53" t="s">
        <v>94</v>
      </c>
      <c r="H53" s="59"/>
      <c r="J53" s="202"/>
      <c r="K53" s="59"/>
      <c r="L53" s="135"/>
      <c r="M53" s="135"/>
      <c r="N53" s="135"/>
      <c r="O53" s="135"/>
      <c r="P53" s="135"/>
      <c r="Q53" s="135"/>
      <c r="R53" s="135"/>
      <c r="S53" s="135"/>
    </row>
    <row r="54" spans="2:21" x14ac:dyDescent="0.25">
      <c r="F54" s="17" t="s">
        <v>940</v>
      </c>
      <c r="G54" s="17" t="s">
        <v>94</v>
      </c>
      <c r="H54" s="122"/>
      <c r="I54" s="122"/>
      <c r="J54" s="203"/>
      <c r="K54" s="122"/>
      <c r="L54" s="377"/>
      <c r="M54" s="377"/>
      <c r="N54" s="377"/>
      <c r="O54" s="377"/>
      <c r="P54" s="377"/>
      <c r="Q54" s="377"/>
      <c r="R54" s="377"/>
      <c r="S54" s="377"/>
    </row>
    <row r="56" spans="2:21" x14ac:dyDescent="0.25">
      <c r="B56" s="82" t="s">
        <v>625</v>
      </c>
      <c r="C56" s="82"/>
      <c r="D56" s="82"/>
      <c r="E56" s="82"/>
      <c r="F56" s="82"/>
      <c r="G56" s="82"/>
      <c r="H56" s="82"/>
      <c r="I56" s="136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</row>
    <row r="58" spans="2:21" x14ac:dyDescent="0.25">
      <c r="C58" s="5" t="str">
        <f ca="1">INDEX('Version control'!$H$36:$H$62,MATCH($A$1,'Version control'!$F$36:$F$62,0),1)&amp;"-C: All-the-way volumes - No residual"</f>
        <v>Input 501-C: All-the-way volumes - No residual</v>
      </c>
      <c r="D58" s="5"/>
      <c r="E58" s="5"/>
      <c r="F58" s="5"/>
      <c r="G58" s="5"/>
      <c r="H58" s="5"/>
      <c r="I58" s="143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2:21" x14ac:dyDescent="0.25">
      <c r="C59" s="52"/>
    </row>
    <row r="60" spans="2:21" x14ac:dyDescent="0.25">
      <c r="E60" s="121" t="s">
        <v>199</v>
      </c>
      <c r="I60" s="59" t="s">
        <v>359</v>
      </c>
      <c r="U60" t="s">
        <v>691</v>
      </c>
    </row>
    <row r="61" spans="2:21" x14ac:dyDescent="0.25">
      <c r="F61" s="80" t="s">
        <v>925</v>
      </c>
      <c r="G61" s="80" t="s">
        <v>120</v>
      </c>
      <c r="H61" s="80" t="s">
        <v>145</v>
      </c>
      <c r="I61" s="94"/>
      <c r="J61" s="201"/>
      <c r="K61" s="196"/>
      <c r="L61" s="201"/>
      <c r="M61" s="201"/>
      <c r="N61" s="201"/>
      <c r="O61" s="201"/>
      <c r="P61" s="201"/>
      <c r="Q61" s="201"/>
      <c r="R61" s="201"/>
      <c r="S61" s="201"/>
    </row>
    <row r="62" spans="2:21" x14ac:dyDescent="0.25">
      <c r="F62" t="s">
        <v>926</v>
      </c>
      <c r="G62" t="s">
        <v>120</v>
      </c>
      <c r="H62" t="s">
        <v>145</v>
      </c>
      <c r="J62" s="197">
        <f t="shared" ref="J62:J76" si="6">CHOOSE(year_selection, L62,M62,N62,O62,P62,Q62,R62,S62)</f>
        <v>652.15353635409315</v>
      </c>
      <c r="K62" s="198"/>
      <c r="L62" s="281"/>
      <c r="M62" s="281">
        <v>1489.5681751162413</v>
      </c>
      <c r="N62" s="281">
        <v>1349.3905169233869</v>
      </c>
      <c r="O62" s="281">
        <v>652.15353635409315</v>
      </c>
      <c r="P62" s="281">
        <f t="shared" ref="P62:S76" si="7">$O62</f>
        <v>652.15353635409315</v>
      </c>
      <c r="Q62" s="281">
        <f t="shared" si="7"/>
        <v>652.15353635409315</v>
      </c>
      <c r="R62" s="281">
        <f t="shared" si="7"/>
        <v>652.15353635409315</v>
      </c>
      <c r="S62" s="281">
        <f t="shared" si="7"/>
        <v>652.15353635409315</v>
      </c>
    </row>
    <row r="63" spans="2:21" x14ac:dyDescent="0.25">
      <c r="F63" t="s">
        <v>927</v>
      </c>
      <c r="G63" t="s">
        <v>120</v>
      </c>
      <c r="H63" t="s">
        <v>145</v>
      </c>
      <c r="J63" s="197">
        <f t="shared" si="6"/>
        <v>17.458206837827863</v>
      </c>
      <c r="K63" s="198"/>
      <c r="L63" s="281"/>
      <c r="M63" s="281">
        <v>0</v>
      </c>
      <c r="N63" s="281">
        <v>18.760003695892326</v>
      </c>
      <c r="O63" s="281">
        <v>17.458206837827863</v>
      </c>
      <c r="P63" s="281">
        <f t="shared" si="7"/>
        <v>17.458206837827863</v>
      </c>
      <c r="Q63" s="281">
        <f t="shared" si="7"/>
        <v>17.458206837827863</v>
      </c>
      <c r="R63" s="281">
        <f t="shared" si="7"/>
        <v>17.458206837827863</v>
      </c>
      <c r="S63" s="281">
        <f t="shared" si="7"/>
        <v>17.458206837827863</v>
      </c>
    </row>
    <row r="64" spans="2:21" x14ac:dyDescent="0.25">
      <c r="F64" t="s">
        <v>928</v>
      </c>
      <c r="G64" t="s">
        <v>120</v>
      </c>
      <c r="H64" t="s">
        <v>145</v>
      </c>
      <c r="J64" s="197">
        <f t="shared" si="6"/>
        <v>596.52194686342921</v>
      </c>
      <c r="K64" s="198"/>
      <c r="L64" s="281"/>
      <c r="M64" s="281">
        <v>3155.5218728723685</v>
      </c>
      <c r="N64" s="281">
        <v>2667.7117282737418</v>
      </c>
      <c r="O64" s="281">
        <v>596.52194686342921</v>
      </c>
      <c r="P64" s="281">
        <f t="shared" si="7"/>
        <v>596.52194686342921</v>
      </c>
      <c r="Q64" s="281">
        <f t="shared" si="7"/>
        <v>596.52194686342921</v>
      </c>
      <c r="R64" s="281">
        <f t="shared" si="7"/>
        <v>596.52194686342921</v>
      </c>
      <c r="S64" s="281">
        <f t="shared" si="7"/>
        <v>596.52194686342921</v>
      </c>
    </row>
    <row r="65" spans="5:19" x14ac:dyDescent="0.25">
      <c r="F65" t="s">
        <v>929</v>
      </c>
      <c r="G65" t="s">
        <v>120</v>
      </c>
      <c r="H65" t="s">
        <v>145</v>
      </c>
      <c r="J65" s="197">
        <f t="shared" si="6"/>
        <v>12.367051703011343</v>
      </c>
      <c r="K65" s="198"/>
      <c r="L65" s="281"/>
      <c r="M65" s="281">
        <v>0</v>
      </c>
      <c r="N65" s="281">
        <v>6.2492216321857708</v>
      </c>
      <c r="O65" s="281">
        <v>12.367051703011343</v>
      </c>
      <c r="P65" s="281">
        <f t="shared" si="7"/>
        <v>12.367051703011343</v>
      </c>
      <c r="Q65" s="281">
        <f t="shared" si="7"/>
        <v>12.367051703011343</v>
      </c>
      <c r="R65" s="281">
        <f t="shared" si="7"/>
        <v>12.367051703011343</v>
      </c>
      <c r="S65" s="281">
        <f t="shared" si="7"/>
        <v>12.367051703011343</v>
      </c>
    </row>
    <row r="66" spans="5:19" x14ac:dyDescent="0.25">
      <c r="F66" t="s">
        <v>930</v>
      </c>
      <c r="G66" t="s">
        <v>120</v>
      </c>
      <c r="H66" t="s">
        <v>145</v>
      </c>
      <c r="J66" s="197">
        <f t="shared" si="6"/>
        <v>0.10809059005544162</v>
      </c>
      <c r="K66" s="198"/>
      <c r="L66" s="281"/>
      <c r="M66" s="281">
        <v>0</v>
      </c>
      <c r="N66" s="281">
        <v>2.4419780674945688E-2</v>
      </c>
      <c r="O66" s="281">
        <v>0.10809059005544162</v>
      </c>
      <c r="P66" s="281">
        <f t="shared" si="7"/>
        <v>0.10809059005544162</v>
      </c>
      <c r="Q66" s="281">
        <f t="shared" si="7"/>
        <v>0.10809059005544162</v>
      </c>
      <c r="R66" s="281">
        <f t="shared" si="7"/>
        <v>0.10809059005544162</v>
      </c>
      <c r="S66" s="281">
        <f t="shared" si="7"/>
        <v>0.10809059005544162</v>
      </c>
    </row>
    <row r="67" spans="5:19" x14ac:dyDescent="0.25">
      <c r="F67" t="s">
        <v>931</v>
      </c>
      <c r="G67" t="s">
        <v>120</v>
      </c>
      <c r="H67" t="s">
        <v>145</v>
      </c>
      <c r="J67" s="197">
        <f t="shared" si="6"/>
        <v>303.00288221653483</v>
      </c>
      <c r="K67" s="198"/>
      <c r="L67" s="281"/>
      <c r="M67" s="281">
        <v>0</v>
      </c>
      <c r="N67" s="281">
        <v>239.68988314693027</v>
      </c>
      <c r="O67" s="281">
        <v>303.00288221653483</v>
      </c>
      <c r="P67" s="281">
        <f t="shared" si="7"/>
        <v>303.00288221653483</v>
      </c>
      <c r="Q67" s="281">
        <f t="shared" si="7"/>
        <v>303.00288221653483</v>
      </c>
      <c r="R67" s="281">
        <f t="shared" si="7"/>
        <v>303.00288221653483</v>
      </c>
      <c r="S67" s="281">
        <f t="shared" si="7"/>
        <v>303.00288221653483</v>
      </c>
    </row>
    <row r="68" spans="5:19" x14ac:dyDescent="0.25">
      <c r="F68" t="s">
        <v>932</v>
      </c>
      <c r="G68" t="s">
        <v>120</v>
      </c>
      <c r="H68" t="s">
        <v>145</v>
      </c>
      <c r="J68" s="202"/>
      <c r="K68" s="198"/>
      <c r="L68" s="202"/>
      <c r="M68" s="202"/>
      <c r="N68" s="202"/>
      <c r="O68" s="202"/>
      <c r="P68" s="202"/>
      <c r="Q68" s="202"/>
      <c r="R68" s="202"/>
      <c r="S68" s="202"/>
    </row>
    <row r="69" spans="5:19" x14ac:dyDescent="0.25">
      <c r="F69" t="s">
        <v>933</v>
      </c>
      <c r="G69" t="s">
        <v>120</v>
      </c>
      <c r="H69" t="s">
        <v>145</v>
      </c>
      <c r="J69" s="197">
        <f t="shared" si="6"/>
        <v>931.43637713580506</v>
      </c>
      <c r="K69" s="198"/>
      <c r="L69" s="281"/>
      <c r="M69" s="281">
        <v>177.78664091437389</v>
      </c>
      <c r="N69" s="281">
        <v>244.0197942842301</v>
      </c>
      <c r="O69" s="281">
        <v>931.43637713580506</v>
      </c>
      <c r="P69" s="281">
        <f t="shared" si="7"/>
        <v>931.43637713580506</v>
      </c>
      <c r="Q69" s="281">
        <f t="shared" si="7"/>
        <v>931.43637713580506</v>
      </c>
      <c r="R69" s="281">
        <f t="shared" si="7"/>
        <v>931.43637713580506</v>
      </c>
      <c r="S69" s="281">
        <f t="shared" si="7"/>
        <v>931.43637713580506</v>
      </c>
    </row>
    <row r="70" spans="5:19" x14ac:dyDescent="0.25">
      <c r="F70" t="s">
        <v>934</v>
      </c>
      <c r="G70" t="s">
        <v>120</v>
      </c>
      <c r="H70" t="s">
        <v>145</v>
      </c>
      <c r="J70" s="197">
        <f t="shared" si="6"/>
        <v>11.571999999999999</v>
      </c>
      <c r="K70" s="198"/>
      <c r="L70" s="281"/>
      <c r="M70" s="281">
        <v>12.485845142669376</v>
      </c>
      <c r="N70" s="281">
        <v>10.28383857148733</v>
      </c>
      <c r="O70" s="281">
        <v>11.571999999999999</v>
      </c>
      <c r="P70" s="281">
        <f t="shared" si="7"/>
        <v>11.571999999999999</v>
      </c>
      <c r="Q70" s="281">
        <f t="shared" si="7"/>
        <v>11.571999999999999</v>
      </c>
      <c r="R70" s="281">
        <f t="shared" si="7"/>
        <v>11.571999999999999</v>
      </c>
      <c r="S70" s="281">
        <f t="shared" si="7"/>
        <v>11.571999999999999</v>
      </c>
    </row>
    <row r="71" spans="5:19" x14ac:dyDescent="0.25">
      <c r="F71" t="s">
        <v>935</v>
      </c>
      <c r="G71" t="s">
        <v>120</v>
      </c>
      <c r="H71" t="s">
        <v>145</v>
      </c>
      <c r="J71" s="197">
        <f t="shared" si="6"/>
        <v>5840.0349999999999</v>
      </c>
      <c r="K71" s="198"/>
      <c r="L71" s="281"/>
      <c r="M71" s="281">
        <v>6108.4728456977691</v>
      </c>
      <c r="N71" s="281">
        <v>5238.1601000000001</v>
      </c>
      <c r="O71" s="281">
        <v>5840.0349999999999</v>
      </c>
      <c r="P71" s="281">
        <f t="shared" si="7"/>
        <v>5840.0349999999999</v>
      </c>
      <c r="Q71" s="281">
        <f t="shared" si="7"/>
        <v>5840.0349999999999</v>
      </c>
      <c r="R71" s="281">
        <f t="shared" si="7"/>
        <v>5840.0349999999999</v>
      </c>
      <c r="S71" s="281">
        <f t="shared" si="7"/>
        <v>5840.0349999999999</v>
      </c>
    </row>
    <row r="72" spans="5:19" x14ac:dyDescent="0.25">
      <c r="F72" t="s">
        <v>936</v>
      </c>
      <c r="G72" t="s">
        <v>120</v>
      </c>
      <c r="H72" t="s">
        <v>145</v>
      </c>
      <c r="J72" s="197">
        <f t="shared" si="6"/>
        <v>0</v>
      </c>
      <c r="K72" s="198"/>
      <c r="L72" s="281"/>
      <c r="M72" s="281">
        <v>0</v>
      </c>
      <c r="N72" s="281">
        <v>0</v>
      </c>
      <c r="O72" s="281">
        <v>0</v>
      </c>
      <c r="P72" s="281">
        <f t="shared" si="7"/>
        <v>0</v>
      </c>
      <c r="Q72" s="281">
        <f t="shared" si="7"/>
        <v>0</v>
      </c>
      <c r="R72" s="281">
        <f t="shared" si="7"/>
        <v>0</v>
      </c>
      <c r="S72" s="281">
        <f t="shared" si="7"/>
        <v>0</v>
      </c>
    </row>
    <row r="73" spans="5:19" x14ac:dyDescent="0.25">
      <c r="F73" t="s">
        <v>937</v>
      </c>
      <c r="G73" t="s">
        <v>120</v>
      </c>
      <c r="H73" t="s">
        <v>145</v>
      </c>
      <c r="J73" s="197">
        <f t="shared" si="6"/>
        <v>62.863</v>
      </c>
      <c r="K73" s="198"/>
      <c r="L73" s="281"/>
      <c r="M73" s="281">
        <v>124.86557691590839</v>
      </c>
      <c r="N73" s="281">
        <v>94.528200000000012</v>
      </c>
      <c r="O73" s="281">
        <v>62.863</v>
      </c>
      <c r="P73" s="281">
        <f t="shared" si="7"/>
        <v>62.863</v>
      </c>
      <c r="Q73" s="281">
        <f t="shared" si="7"/>
        <v>62.863</v>
      </c>
      <c r="R73" s="281">
        <f t="shared" si="7"/>
        <v>62.863</v>
      </c>
      <c r="S73" s="281">
        <f t="shared" si="7"/>
        <v>62.863</v>
      </c>
    </row>
    <row r="74" spans="5:19" x14ac:dyDescent="0.25">
      <c r="F74" t="s">
        <v>938</v>
      </c>
      <c r="G74" t="s">
        <v>120</v>
      </c>
      <c r="H74" t="s">
        <v>145</v>
      </c>
      <c r="J74" s="197">
        <f t="shared" si="6"/>
        <v>0</v>
      </c>
      <c r="K74" s="198"/>
      <c r="L74" s="281"/>
      <c r="M74" s="281">
        <v>0</v>
      </c>
      <c r="N74" s="281">
        <v>0</v>
      </c>
      <c r="O74" s="281">
        <v>0</v>
      </c>
      <c r="P74" s="281">
        <f t="shared" si="7"/>
        <v>0</v>
      </c>
      <c r="Q74" s="281">
        <f t="shared" si="7"/>
        <v>0</v>
      </c>
      <c r="R74" s="281">
        <f t="shared" si="7"/>
        <v>0</v>
      </c>
      <c r="S74" s="281">
        <f t="shared" si="7"/>
        <v>0</v>
      </c>
    </row>
    <row r="75" spans="5:19" x14ac:dyDescent="0.25">
      <c r="F75" t="s">
        <v>939</v>
      </c>
      <c r="G75" t="s">
        <v>120</v>
      </c>
      <c r="H75" t="s">
        <v>145</v>
      </c>
      <c r="J75" s="197">
        <f t="shared" si="6"/>
        <v>118436.88399999999</v>
      </c>
      <c r="K75" s="198"/>
      <c r="L75" s="281"/>
      <c r="M75" s="281">
        <v>123274.9835475833</v>
      </c>
      <c r="N75" s="281">
        <v>112833.24939999997</v>
      </c>
      <c r="O75" s="281">
        <v>118436.88399999999</v>
      </c>
      <c r="P75" s="281">
        <f t="shared" si="7"/>
        <v>118436.88399999999</v>
      </c>
      <c r="Q75" s="281">
        <f t="shared" si="7"/>
        <v>118436.88399999999</v>
      </c>
      <c r="R75" s="281">
        <f t="shared" si="7"/>
        <v>118436.88399999999</v>
      </c>
      <c r="S75" s="281">
        <f t="shared" si="7"/>
        <v>118436.88399999999</v>
      </c>
    </row>
    <row r="76" spans="5:19" x14ac:dyDescent="0.25">
      <c r="F76" s="17" t="s">
        <v>940</v>
      </c>
      <c r="G76" s="17" t="s">
        <v>120</v>
      </c>
      <c r="H76" s="17" t="s">
        <v>145</v>
      </c>
      <c r="I76" s="122"/>
      <c r="J76" s="199">
        <f t="shared" si="6"/>
        <v>0</v>
      </c>
      <c r="K76" s="200"/>
      <c r="L76" s="282"/>
      <c r="M76" s="282">
        <v>0</v>
      </c>
      <c r="N76" s="282">
        <v>0</v>
      </c>
      <c r="O76" s="282">
        <v>0</v>
      </c>
      <c r="P76" s="282">
        <f t="shared" si="7"/>
        <v>0</v>
      </c>
      <c r="Q76" s="282">
        <f t="shared" si="7"/>
        <v>0</v>
      </c>
      <c r="R76" s="282">
        <f t="shared" si="7"/>
        <v>0</v>
      </c>
      <c r="S76" s="282">
        <f t="shared" si="7"/>
        <v>0</v>
      </c>
    </row>
    <row r="77" spans="5:19" x14ac:dyDescent="0.25">
      <c r="J77" s="198"/>
      <c r="K77" s="198"/>
      <c r="L77" s="198"/>
      <c r="M77" s="198"/>
      <c r="N77" s="198"/>
      <c r="O77" s="198"/>
      <c r="P77" s="198"/>
      <c r="Q77" s="198"/>
      <c r="R77" s="198"/>
      <c r="S77" s="198"/>
    </row>
    <row r="78" spans="5:19" x14ac:dyDescent="0.25">
      <c r="E78" s="121" t="s">
        <v>200</v>
      </c>
      <c r="J78" s="198"/>
      <c r="K78" s="198"/>
      <c r="L78" s="198"/>
      <c r="M78" s="198"/>
      <c r="N78" s="198"/>
      <c r="O78" s="198"/>
      <c r="P78" s="198"/>
      <c r="Q78" s="198"/>
      <c r="R78" s="198"/>
      <c r="S78" s="198"/>
    </row>
    <row r="79" spans="5:19" x14ac:dyDescent="0.25">
      <c r="F79" s="80" t="s">
        <v>925</v>
      </c>
      <c r="G79" s="80" t="s">
        <v>120</v>
      </c>
      <c r="H79" s="80" t="s">
        <v>145</v>
      </c>
      <c r="I79" s="94"/>
      <c r="J79" s="201"/>
      <c r="K79" s="196"/>
      <c r="L79" s="201"/>
      <c r="M79" s="201"/>
      <c r="N79" s="201"/>
      <c r="O79" s="201"/>
      <c r="P79" s="201"/>
      <c r="Q79" s="201"/>
      <c r="R79" s="201"/>
      <c r="S79" s="201"/>
    </row>
    <row r="80" spans="5:19" x14ac:dyDescent="0.25">
      <c r="F80" t="s">
        <v>926</v>
      </c>
      <c r="G80" t="s">
        <v>120</v>
      </c>
      <c r="H80" t="s">
        <v>145</v>
      </c>
      <c r="J80" s="197">
        <f t="shared" ref="J80:J85" si="8">CHOOSE(year_selection, L80,M80,N80,O80,P80,Q80,R80,S80)</f>
        <v>17758.957834530302</v>
      </c>
      <c r="K80" s="198"/>
      <c r="L80" s="281"/>
      <c r="M80" s="281">
        <v>27201.753450309803</v>
      </c>
      <c r="N80" s="281">
        <v>24629.93136454191</v>
      </c>
      <c r="O80" s="281">
        <v>17758.957834530302</v>
      </c>
      <c r="P80" s="281">
        <f t="shared" ref="P80:S85" si="9">$O80</f>
        <v>17758.957834530302</v>
      </c>
      <c r="Q80" s="281">
        <f t="shared" si="9"/>
        <v>17758.957834530302</v>
      </c>
      <c r="R80" s="281">
        <f t="shared" si="9"/>
        <v>17758.957834530302</v>
      </c>
      <c r="S80" s="281">
        <f t="shared" si="9"/>
        <v>17758.957834530302</v>
      </c>
    </row>
    <row r="81" spans="5:19" x14ac:dyDescent="0.25">
      <c r="F81" t="s">
        <v>927</v>
      </c>
      <c r="G81" t="s">
        <v>120</v>
      </c>
      <c r="H81" t="s">
        <v>145</v>
      </c>
      <c r="J81" s="197">
        <f t="shared" si="8"/>
        <v>89.773682852368651</v>
      </c>
      <c r="K81" s="198"/>
      <c r="L81" s="281"/>
      <c r="M81" s="281">
        <v>0</v>
      </c>
      <c r="N81" s="281">
        <v>101.52633855746843</v>
      </c>
      <c r="O81" s="281">
        <v>89.773682852368651</v>
      </c>
      <c r="P81" s="281">
        <f t="shared" si="9"/>
        <v>89.773682852368651</v>
      </c>
      <c r="Q81" s="281">
        <f t="shared" si="9"/>
        <v>89.773682852368651</v>
      </c>
      <c r="R81" s="281">
        <f t="shared" si="9"/>
        <v>89.773682852368651</v>
      </c>
      <c r="S81" s="281">
        <f t="shared" si="9"/>
        <v>89.773682852368651</v>
      </c>
    </row>
    <row r="82" spans="5:19" x14ac:dyDescent="0.25">
      <c r="F82" t="s">
        <v>928</v>
      </c>
      <c r="G82" t="s">
        <v>120</v>
      </c>
      <c r="H82" t="s">
        <v>145</v>
      </c>
      <c r="J82" s="197">
        <f t="shared" si="8"/>
        <v>8872.4799352594691</v>
      </c>
      <c r="K82" s="198"/>
      <c r="L82" s="281"/>
      <c r="M82" s="281">
        <v>19153.672066449013</v>
      </c>
      <c r="N82" s="281">
        <v>16192.717930572837</v>
      </c>
      <c r="O82" s="281">
        <v>8872.4799352594691</v>
      </c>
      <c r="P82" s="281">
        <f t="shared" si="9"/>
        <v>8872.4799352594691</v>
      </c>
      <c r="Q82" s="281">
        <f t="shared" si="9"/>
        <v>8872.4799352594691</v>
      </c>
      <c r="R82" s="281">
        <f t="shared" si="9"/>
        <v>8872.4799352594691</v>
      </c>
      <c r="S82" s="281">
        <f t="shared" si="9"/>
        <v>8872.4799352594691</v>
      </c>
    </row>
    <row r="83" spans="5:19" x14ac:dyDescent="0.25">
      <c r="F83" t="s">
        <v>929</v>
      </c>
      <c r="G83" t="s">
        <v>120</v>
      </c>
      <c r="H83" t="s">
        <v>145</v>
      </c>
      <c r="J83" s="197">
        <f t="shared" si="8"/>
        <v>59.332965344726659</v>
      </c>
      <c r="K83" s="198"/>
      <c r="L83" s="281"/>
      <c r="M83" s="281">
        <v>0</v>
      </c>
      <c r="N83" s="281">
        <v>29.973439292480151</v>
      </c>
      <c r="O83" s="281">
        <v>59.332965344726659</v>
      </c>
      <c r="P83" s="281">
        <f t="shared" si="9"/>
        <v>59.332965344726659</v>
      </c>
      <c r="Q83" s="281">
        <f t="shared" si="9"/>
        <v>59.332965344726659</v>
      </c>
      <c r="R83" s="281">
        <f t="shared" si="9"/>
        <v>59.332965344726659</v>
      </c>
      <c r="S83" s="281">
        <f t="shared" si="9"/>
        <v>59.332965344726659</v>
      </c>
    </row>
    <row r="84" spans="5:19" x14ac:dyDescent="0.25">
      <c r="F84" t="s">
        <v>930</v>
      </c>
      <c r="G84" t="s">
        <v>120</v>
      </c>
      <c r="H84" t="s">
        <v>145</v>
      </c>
      <c r="J84" s="197">
        <f t="shared" si="8"/>
        <v>0.50378073179162042</v>
      </c>
      <c r="K84" s="198"/>
      <c r="L84" s="281"/>
      <c r="M84" s="281">
        <v>0</v>
      </c>
      <c r="N84" s="281">
        <v>0.11496431552123233</v>
      </c>
      <c r="O84" s="281">
        <v>0.50378073179162042</v>
      </c>
      <c r="P84" s="281">
        <f t="shared" si="9"/>
        <v>0.50378073179162042</v>
      </c>
      <c r="Q84" s="281">
        <f t="shared" si="9"/>
        <v>0.50378073179162042</v>
      </c>
      <c r="R84" s="281">
        <f t="shared" si="9"/>
        <v>0.50378073179162042</v>
      </c>
      <c r="S84" s="281">
        <f t="shared" si="9"/>
        <v>0.50378073179162042</v>
      </c>
    </row>
    <row r="85" spans="5:19" x14ac:dyDescent="0.25">
      <c r="F85" t="s">
        <v>931</v>
      </c>
      <c r="G85" t="s">
        <v>120</v>
      </c>
      <c r="H85" t="s">
        <v>145</v>
      </c>
      <c r="J85" s="197">
        <f t="shared" si="8"/>
        <v>1405.3229265301227</v>
      </c>
      <c r="K85" s="198"/>
      <c r="L85" s="281"/>
      <c r="M85" s="281">
        <v>0</v>
      </c>
      <c r="N85" s="281">
        <v>1114.0968818077342</v>
      </c>
      <c r="O85" s="281">
        <v>1405.3229265301227</v>
      </c>
      <c r="P85" s="281">
        <f t="shared" si="9"/>
        <v>1405.3229265301227</v>
      </c>
      <c r="Q85" s="281">
        <f t="shared" si="9"/>
        <v>1405.3229265301227</v>
      </c>
      <c r="R85" s="281">
        <f t="shared" si="9"/>
        <v>1405.3229265301227</v>
      </c>
      <c r="S85" s="281">
        <f t="shared" si="9"/>
        <v>1405.3229265301227</v>
      </c>
    </row>
    <row r="86" spans="5:19" x14ac:dyDescent="0.25">
      <c r="F86" t="s">
        <v>932</v>
      </c>
      <c r="G86" t="s">
        <v>120</v>
      </c>
      <c r="H86" t="s">
        <v>145</v>
      </c>
      <c r="J86" s="202"/>
      <c r="K86" s="198"/>
      <c r="L86" s="202"/>
      <c r="M86" s="202"/>
      <c r="N86" s="202"/>
      <c r="O86" s="202"/>
      <c r="P86" s="202"/>
      <c r="Q86" s="202"/>
      <c r="R86" s="202"/>
      <c r="S86" s="202"/>
    </row>
    <row r="87" spans="5:19" x14ac:dyDescent="0.25">
      <c r="F87" t="s">
        <v>933</v>
      </c>
      <c r="G87" t="s">
        <v>120</v>
      </c>
      <c r="H87" t="s">
        <v>145</v>
      </c>
      <c r="J87" s="197">
        <f t="shared" ref="J87:J94" si="10">CHOOSE(year_selection, L87,M87,N87,O87,P87,Q87,R87,S87)</f>
        <v>5999.8136998466971</v>
      </c>
      <c r="K87" s="198"/>
      <c r="L87" s="281"/>
      <c r="M87" s="281">
        <v>801.14051075950943</v>
      </c>
      <c r="N87" s="281">
        <v>1100.0777201042326</v>
      </c>
      <c r="O87" s="281">
        <v>5999.8136998466971</v>
      </c>
      <c r="P87" s="281">
        <f t="shared" ref="P87:S94" si="11">$O87</f>
        <v>5999.8136998466971</v>
      </c>
      <c r="Q87" s="281">
        <f t="shared" si="11"/>
        <v>5999.8136998466971</v>
      </c>
      <c r="R87" s="281">
        <f t="shared" si="11"/>
        <v>5999.8136998466971</v>
      </c>
      <c r="S87" s="281">
        <f t="shared" si="11"/>
        <v>5999.8136998466971</v>
      </c>
    </row>
    <row r="88" spans="5:19" x14ac:dyDescent="0.25">
      <c r="F88" t="s">
        <v>934</v>
      </c>
      <c r="G88" t="s">
        <v>120</v>
      </c>
      <c r="H88" t="s">
        <v>145</v>
      </c>
      <c r="J88" s="197">
        <f t="shared" si="10"/>
        <v>49.278999999999996</v>
      </c>
      <c r="K88" s="198"/>
      <c r="L88" s="281"/>
      <c r="M88" s="281">
        <v>50.575190208611254</v>
      </c>
      <c r="N88" s="281">
        <v>42.481753530081505</v>
      </c>
      <c r="O88" s="281">
        <v>49.278999999999996</v>
      </c>
      <c r="P88" s="281">
        <f t="shared" si="11"/>
        <v>49.278999999999996</v>
      </c>
      <c r="Q88" s="281">
        <f t="shared" si="11"/>
        <v>49.278999999999996</v>
      </c>
      <c r="R88" s="281">
        <f t="shared" si="11"/>
        <v>49.278999999999996</v>
      </c>
      <c r="S88" s="281">
        <f t="shared" si="11"/>
        <v>49.278999999999996</v>
      </c>
    </row>
    <row r="89" spans="5:19" x14ac:dyDescent="0.25">
      <c r="F89" t="s">
        <v>935</v>
      </c>
      <c r="G89" t="s">
        <v>120</v>
      </c>
      <c r="H89" t="s">
        <v>145</v>
      </c>
      <c r="J89" s="197">
        <f t="shared" si="10"/>
        <v>26458.666000000001</v>
      </c>
      <c r="K89" s="198"/>
      <c r="L89" s="281"/>
      <c r="M89" s="281">
        <v>27515.796232233017</v>
      </c>
      <c r="N89" s="281">
        <v>23423.620999999996</v>
      </c>
      <c r="O89" s="281">
        <v>26458.666000000001</v>
      </c>
      <c r="P89" s="281">
        <f t="shared" si="11"/>
        <v>26458.666000000001</v>
      </c>
      <c r="Q89" s="281">
        <f t="shared" si="11"/>
        <v>26458.666000000001</v>
      </c>
      <c r="R89" s="281">
        <f t="shared" si="11"/>
        <v>26458.666000000001</v>
      </c>
      <c r="S89" s="281">
        <f t="shared" si="11"/>
        <v>26458.666000000001</v>
      </c>
    </row>
    <row r="90" spans="5:19" x14ac:dyDescent="0.25">
      <c r="F90" t="s">
        <v>936</v>
      </c>
      <c r="G90" t="s">
        <v>120</v>
      </c>
      <c r="H90" t="s">
        <v>145</v>
      </c>
      <c r="J90" s="197">
        <f t="shared" si="10"/>
        <v>0</v>
      </c>
      <c r="K90" s="198"/>
      <c r="L90" s="281"/>
      <c r="M90" s="281">
        <v>0</v>
      </c>
      <c r="N90" s="281">
        <v>0</v>
      </c>
      <c r="O90" s="281">
        <v>0</v>
      </c>
      <c r="P90" s="281">
        <f t="shared" si="11"/>
        <v>0</v>
      </c>
      <c r="Q90" s="281">
        <f t="shared" si="11"/>
        <v>0</v>
      </c>
      <c r="R90" s="281">
        <f t="shared" si="11"/>
        <v>0</v>
      </c>
      <c r="S90" s="281">
        <f t="shared" si="11"/>
        <v>0</v>
      </c>
    </row>
    <row r="91" spans="5:19" x14ac:dyDescent="0.25">
      <c r="F91" t="s">
        <v>937</v>
      </c>
      <c r="G91" t="s">
        <v>120</v>
      </c>
      <c r="H91" t="s">
        <v>145</v>
      </c>
      <c r="J91" s="197">
        <f t="shared" si="10"/>
        <v>312.48</v>
      </c>
      <c r="K91" s="198"/>
      <c r="L91" s="281"/>
      <c r="M91" s="281">
        <v>516.41304039617239</v>
      </c>
      <c r="N91" s="281">
        <v>415.06850000000009</v>
      </c>
      <c r="O91" s="281">
        <v>312.48</v>
      </c>
      <c r="P91" s="281">
        <f t="shared" si="11"/>
        <v>312.48</v>
      </c>
      <c r="Q91" s="281">
        <f t="shared" si="11"/>
        <v>312.48</v>
      </c>
      <c r="R91" s="281">
        <f t="shared" si="11"/>
        <v>312.48</v>
      </c>
      <c r="S91" s="281">
        <f t="shared" si="11"/>
        <v>312.48</v>
      </c>
    </row>
    <row r="92" spans="5:19" x14ac:dyDescent="0.25">
      <c r="F92" t="s">
        <v>938</v>
      </c>
      <c r="G92" t="s">
        <v>120</v>
      </c>
      <c r="H92" t="s">
        <v>145</v>
      </c>
      <c r="J92" s="197">
        <f t="shared" si="10"/>
        <v>0</v>
      </c>
      <c r="K92" s="198"/>
      <c r="L92" s="281"/>
      <c r="M92" s="281">
        <v>0</v>
      </c>
      <c r="N92" s="281">
        <v>0</v>
      </c>
      <c r="O92" s="281">
        <v>0</v>
      </c>
      <c r="P92" s="281">
        <f t="shared" si="11"/>
        <v>0</v>
      </c>
      <c r="Q92" s="281">
        <f t="shared" si="11"/>
        <v>0</v>
      </c>
      <c r="R92" s="281">
        <f t="shared" si="11"/>
        <v>0</v>
      </c>
      <c r="S92" s="281">
        <f t="shared" si="11"/>
        <v>0</v>
      </c>
    </row>
    <row r="93" spans="5:19" x14ac:dyDescent="0.25">
      <c r="F93" t="s">
        <v>939</v>
      </c>
      <c r="G93" t="s">
        <v>120</v>
      </c>
      <c r="H93" t="s">
        <v>145</v>
      </c>
      <c r="J93" s="197">
        <f t="shared" si="10"/>
        <v>429284.261</v>
      </c>
      <c r="K93" s="198"/>
      <c r="L93" s="281"/>
      <c r="M93" s="281">
        <v>466874.82398684282</v>
      </c>
      <c r="N93" s="281">
        <v>410570.35969999997</v>
      </c>
      <c r="O93" s="281">
        <v>429284.261</v>
      </c>
      <c r="P93" s="281">
        <f t="shared" si="11"/>
        <v>429284.261</v>
      </c>
      <c r="Q93" s="281">
        <f t="shared" si="11"/>
        <v>429284.261</v>
      </c>
      <c r="R93" s="281">
        <f t="shared" si="11"/>
        <v>429284.261</v>
      </c>
      <c r="S93" s="281">
        <f t="shared" si="11"/>
        <v>429284.261</v>
      </c>
    </row>
    <row r="94" spans="5:19" x14ac:dyDescent="0.25">
      <c r="F94" s="17" t="s">
        <v>940</v>
      </c>
      <c r="G94" s="17" t="s">
        <v>120</v>
      </c>
      <c r="H94" s="17" t="s">
        <v>145</v>
      </c>
      <c r="I94" s="122"/>
      <c r="J94" s="199">
        <f t="shared" si="10"/>
        <v>0</v>
      </c>
      <c r="K94" s="200"/>
      <c r="L94" s="282"/>
      <c r="M94" s="282">
        <v>0</v>
      </c>
      <c r="N94" s="282">
        <v>0</v>
      </c>
      <c r="O94" s="282">
        <v>0</v>
      </c>
      <c r="P94" s="282">
        <f t="shared" si="11"/>
        <v>0</v>
      </c>
      <c r="Q94" s="282">
        <f t="shared" si="11"/>
        <v>0</v>
      </c>
      <c r="R94" s="282">
        <f t="shared" si="11"/>
        <v>0</v>
      </c>
      <c r="S94" s="282">
        <f t="shared" si="11"/>
        <v>0</v>
      </c>
    </row>
    <row r="95" spans="5:19" x14ac:dyDescent="0.25">
      <c r="J95" s="198"/>
      <c r="K95" s="198"/>
      <c r="L95" s="198"/>
      <c r="M95" s="198"/>
      <c r="N95" s="198"/>
      <c r="O95" s="198"/>
      <c r="P95" s="198"/>
      <c r="Q95" s="198"/>
      <c r="R95" s="198"/>
      <c r="S95" s="198"/>
    </row>
    <row r="96" spans="5:19" x14ac:dyDescent="0.25">
      <c r="E96" s="121" t="s">
        <v>201</v>
      </c>
      <c r="J96" s="198"/>
      <c r="K96" s="198"/>
      <c r="L96" s="198"/>
      <c r="M96" s="198"/>
      <c r="N96" s="198"/>
      <c r="O96" s="198"/>
      <c r="P96" s="198"/>
      <c r="Q96" s="198"/>
      <c r="R96" s="198"/>
      <c r="S96" s="198"/>
    </row>
    <row r="97" spans="6:19" x14ac:dyDescent="0.25">
      <c r="F97" s="80" t="s">
        <v>925</v>
      </c>
      <c r="G97" s="80" t="s">
        <v>120</v>
      </c>
      <c r="H97" s="80" t="s">
        <v>145</v>
      </c>
      <c r="I97" s="94"/>
      <c r="J97" s="201"/>
      <c r="K97" s="196"/>
      <c r="L97" s="201"/>
      <c r="M97" s="201"/>
      <c r="N97" s="201"/>
      <c r="O97" s="201"/>
      <c r="P97" s="201"/>
      <c r="Q97" s="201"/>
      <c r="R97" s="201"/>
      <c r="S97" s="201"/>
    </row>
    <row r="98" spans="6:19" x14ac:dyDescent="0.25">
      <c r="F98" t="s">
        <v>926</v>
      </c>
      <c r="G98" t="s">
        <v>120</v>
      </c>
      <c r="H98" t="s">
        <v>145</v>
      </c>
      <c r="J98" s="197">
        <f t="shared" ref="J98:J103" si="12">CHOOSE(year_selection, L98,M98,N98,O98,P98,Q98,R98,S98)</f>
        <v>171594.78624832345</v>
      </c>
      <c r="K98" s="198"/>
      <c r="L98" s="281"/>
      <c r="M98" s="281">
        <v>276145.69272963068</v>
      </c>
      <c r="N98" s="281">
        <v>250343.66915581966</v>
      </c>
      <c r="O98" s="281">
        <v>171594.78624832345</v>
      </c>
      <c r="P98" s="281">
        <f t="shared" ref="P98:S103" si="13">$O98</f>
        <v>171594.78624832345</v>
      </c>
      <c r="Q98" s="281">
        <f t="shared" si="13"/>
        <v>171594.78624832345</v>
      </c>
      <c r="R98" s="281">
        <f t="shared" si="13"/>
        <v>171594.78624832345</v>
      </c>
      <c r="S98" s="281">
        <f t="shared" si="13"/>
        <v>171594.78624832345</v>
      </c>
    </row>
    <row r="99" spans="6:19" x14ac:dyDescent="0.25">
      <c r="F99" t="s">
        <v>927</v>
      </c>
      <c r="G99" t="s">
        <v>120</v>
      </c>
      <c r="H99" t="s">
        <v>145</v>
      </c>
      <c r="J99" s="197">
        <f t="shared" si="12"/>
        <v>72.20746328181572</v>
      </c>
      <c r="K99" s="198"/>
      <c r="L99" s="281"/>
      <c r="M99" s="281">
        <v>0</v>
      </c>
      <c r="N99" s="281">
        <v>97.958845902841105</v>
      </c>
      <c r="O99" s="281">
        <v>72.20746328181572</v>
      </c>
      <c r="P99" s="281">
        <f t="shared" si="13"/>
        <v>72.20746328181572</v>
      </c>
      <c r="Q99" s="281">
        <f t="shared" si="13"/>
        <v>72.20746328181572</v>
      </c>
      <c r="R99" s="281">
        <f t="shared" si="13"/>
        <v>72.20746328181572</v>
      </c>
      <c r="S99" s="281">
        <f t="shared" si="13"/>
        <v>72.20746328181572</v>
      </c>
    </row>
    <row r="100" spans="6:19" x14ac:dyDescent="0.25">
      <c r="F100" t="s">
        <v>928</v>
      </c>
      <c r="G100" t="s">
        <v>120</v>
      </c>
      <c r="H100" t="s">
        <v>145</v>
      </c>
      <c r="J100" s="197">
        <f t="shared" si="12"/>
        <v>35850.647959933427</v>
      </c>
      <c r="K100" s="198"/>
      <c r="L100" s="281"/>
      <c r="M100" s="281">
        <v>39737.17128025744</v>
      </c>
      <c r="N100" s="281">
        <v>33594.226927753873</v>
      </c>
      <c r="O100" s="281">
        <v>35850.647959933427</v>
      </c>
      <c r="P100" s="281">
        <f t="shared" si="13"/>
        <v>35850.647959933427</v>
      </c>
      <c r="Q100" s="281">
        <f t="shared" si="13"/>
        <v>35850.647959933427</v>
      </c>
      <c r="R100" s="281">
        <f t="shared" si="13"/>
        <v>35850.647959933427</v>
      </c>
      <c r="S100" s="281">
        <f t="shared" si="13"/>
        <v>35850.647959933427</v>
      </c>
    </row>
    <row r="101" spans="6:19" x14ac:dyDescent="0.25">
      <c r="F101" t="s">
        <v>929</v>
      </c>
      <c r="G101" t="s">
        <v>120</v>
      </c>
      <c r="H101" t="s">
        <v>145</v>
      </c>
      <c r="J101" s="197">
        <f t="shared" si="12"/>
        <v>52.629377636737694</v>
      </c>
      <c r="K101" s="198"/>
      <c r="L101" s="281"/>
      <c r="M101" s="281">
        <v>0</v>
      </c>
      <c r="N101" s="281">
        <v>26.166597144001365</v>
      </c>
      <c r="O101" s="281">
        <v>52.629377636737694</v>
      </c>
      <c r="P101" s="281">
        <f t="shared" si="13"/>
        <v>52.629377636737694</v>
      </c>
      <c r="Q101" s="281">
        <f t="shared" si="13"/>
        <v>52.629377636737694</v>
      </c>
      <c r="R101" s="281">
        <f t="shared" si="13"/>
        <v>52.629377636737694</v>
      </c>
      <c r="S101" s="281">
        <f t="shared" si="13"/>
        <v>52.629377636737694</v>
      </c>
    </row>
    <row r="102" spans="6:19" x14ac:dyDescent="0.25">
      <c r="F102" t="s">
        <v>930</v>
      </c>
      <c r="G102" t="s">
        <v>120</v>
      </c>
      <c r="H102" t="s">
        <v>145</v>
      </c>
      <c r="J102" s="197">
        <f t="shared" si="12"/>
        <v>0.51812867815293817</v>
      </c>
      <c r="K102" s="198"/>
      <c r="L102" s="281"/>
      <c r="M102" s="281">
        <v>0</v>
      </c>
      <c r="N102" s="281">
        <v>0.11481611011231967</v>
      </c>
      <c r="O102" s="281">
        <v>0.51812867815293817</v>
      </c>
      <c r="P102" s="281">
        <f t="shared" si="13"/>
        <v>0.51812867815293817</v>
      </c>
      <c r="Q102" s="281">
        <f t="shared" si="13"/>
        <v>0.51812867815293817</v>
      </c>
      <c r="R102" s="281">
        <f t="shared" si="13"/>
        <v>0.51812867815293817</v>
      </c>
      <c r="S102" s="281">
        <f t="shared" si="13"/>
        <v>0.51812867815293817</v>
      </c>
    </row>
    <row r="103" spans="6:19" x14ac:dyDescent="0.25">
      <c r="F103" t="s">
        <v>931</v>
      </c>
      <c r="G103" t="s">
        <v>120</v>
      </c>
      <c r="H103" t="s">
        <v>145</v>
      </c>
      <c r="J103" s="197">
        <f t="shared" si="12"/>
        <v>1546.3846427787762</v>
      </c>
      <c r="K103" s="198"/>
      <c r="L103" s="281"/>
      <c r="M103" s="281">
        <v>0</v>
      </c>
      <c r="N103" s="281">
        <v>1196.7587547223536</v>
      </c>
      <c r="O103" s="281">
        <v>1546.3846427787762</v>
      </c>
      <c r="P103" s="281">
        <f t="shared" si="13"/>
        <v>1546.3846427787762</v>
      </c>
      <c r="Q103" s="281">
        <f t="shared" si="13"/>
        <v>1546.3846427787762</v>
      </c>
      <c r="R103" s="281">
        <f t="shared" si="13"/>
        <v>1546.3846427787762</v>
      </c>
      <c r="S103" s="281">
        <f t="shared" si="13"/>
        <v>1546.3846427787762</v>
      </c>
    </row>
    <row r="104" spans="6:19" x14ac:dyDescent="0.25">
      <c r="F104" t="s">
        <v>932</v>
      </c>
      <c r="G104" t="s">
        <v>120</v>
      </c>
      <c r="H104" t="s">
        <v>145</v>
      </c>
      <c r="J104" s="202"/>
      <c r="K104" s="198"/>
      <c r="L104" s="202"/>
      <c r="M104" s="202"/>
      <c r="N104" s="202"/>
      <c r="O104" s="202"/>
      <c r="P104" s="202"/>
      <c r="Q104" s="202"/>
      <c r="R104" s="202"/>
      <c r="S104" s="202"/>
    </row>
    <row r="105" spans="6:19" x14ac:dyDescent="0.25">
      <c r="F105" t="s">
        <v>933</v>
      </c>
      <c r="G105" t="s">
        <v>120</v>
      </c>
      <c r="H105" t="s">
        <v>145</v>
      </c>
      <c r="J105" s="197">
        <f t="shared" ref="J105:J112" si="14">CHOOSE(year_selection, L105,M105,N105,O105,P105,Q105,R105,S105)</f>
        <v>2681.8786975178805</v>
      </c>
      <c r="K105" s="198"/>
      <c r="L105" s="281"/>
      <c r="M105" s="281">
        <v>889.08085081041281</v>
      </c>
      <c r="N105" s="281">
        <v>1189.4473769421841</v>
      </c>
      <c r="O105" s="281">
        <v>2681.8786975178805</v>
      </c>
      <c r="P105" s="281">
        <f t="shared" ref="P105:S112" si="15">$O105</f>
        <v>2681.8786975178805</v>
      </c>
      <c r="Q105" s="281">
        <f t="shared" si="15"/>
        <v>2681.8786975178805</v>
      </c>
      <c r="R105" s="281">
        <f t="shared" si="15"/>
        <v>2681.8786975178805</v>
      </c>
      <c r="S105" s="281">
        <f t="shared" si="15"/>
        <v>2681.8786975178805</v>
      </c>
    </row>
    <row r="106" spans="6:19" x14ac:dyDescent="0.25">
      <c r="F106" t="s">
        <v>934</v>
      </c>
      <c r="G106" t="s">
        <v>120</v>
      </c>
      <c r="H106" t="s">
        <v>145</v>
      </c>
      <c r="J106" s="197">
        <f t="shared" si="14"/>
        <v>45.105000000000004</v>
      </c>
      <c r="K106" s="198"/>
      <c r="L106" s="281"/>
      <c r="M106" s="281">
        <v>68.48496464871937</v>
      </c>
      <c r="N106" s="281">
        <v>57.439407898431156</v>
      </c>
      <c r="O106" s="281">
        <v>45.105000000000004</v>
      </c>
      <c r="P106" s="281">
        <f t="shared" si="15"/>
        <v>45.105000000000004</v>
      </c>
      <c r="Q106" s="281">
        <f t="shared" si="15"/>
        <v>45.105000000000004</v>
      </c>
      <c r="R106" s="281">
        <f t="shared" si="15"/>
        <v>45.105000000000004</v>
      </c>
      <c r="S106" s="281">
        <f t="shared" si="15"/>
        <v>45.105000000000004</v>
      </c>
    </row>
    <row r="107" spans="6:19" x14ac:dyDescent="0.25">
      <c r="F107" t="s">
        <v>935</v>
      </c>
      <c r="G107" t="s">
        <v>120</v>
      </c>
      <c r="H107" t="s">
        <v>145</v>
      </c>
      <c r="J107" s="197">
        <f t="shared" si="14"/>
        <v>29713.727000000003</v>
      </c>
      <c r="K107" s="198"/>
      <c r="L107" s="281"/>
      <c r="M107" s="281">
        <v>31687.576922069209</v>
      </c>
      <c r="N107" s="281">
        <v>26438.6384</v>
      </c>
      <c r="O107" s="281">
        <v>29713.727000000003</v>
      </c>
      <c r="P107" s="281">
        <f t="shared" si="15"/>
        <v>29713.727000000003</v>
      </c>
      <c r="Q107" s="281">
        <f t="shared" si="15"/>
        <v>29713.727000000003</v>
      </c>
      <c r="R107" s="281">
        <f t="shared" si="15"/>
        <v>29713.727000000003</v>
      </c>
      <c r="S107" s="281">
        <f t="shared" si="15"/>
        <v>29713.727000000003</v>
      </c>
    </row>
    <row r="108" spans="6:19" x14ac:dyDescent="0.25">
      <c r="F108" t="s">
        <v>936</v>
      </c>
      <c r="G108" t="s">
        <v>120</v>
      </c>
      <c r="H108" t="s">
        <v>145</v>
      </c>
      <c r="J108" s="197">
        <f t="shared" si="14"/>
        <v>0</v>
      </c>
      <c r="K108" s="198"/>
      <c r="L108" s="281"/>
      <c r="M108" s="281">
        <v>0</v>
      </c>
      <c r="N108" s="281">
        <v>0</v>
      </c>
      <c r="O108" s="281">
        <v>0</v>
      </c>
      <c r="P108" s="281">
        <f t="shared" si="15"/>
        <v>0</v>
      </c>
      <c r="Q108" s="281">
        <f t="shared" si="15"/>
        <v>0</v>
      </c>
      <c r="R108" s="281">
        <f t="shared" si="15"/>
        <v>0</v>
      </c>
      <c r="S108" s="281">
        <f t="shared" si="15"/>
        <v>0</v>
      </c>
    </row>
    <row r="109" spans="6:19" x14ac:dyDescent="0.25">
      <c r="F109" t="s">
        <v>937</v>
      </c>
      <c r="G109" t="s">
        <v>120</v>
      </c>
      <c r="H109" t="s">
        <v>145</v>
      </c>
      <c r="J109" s="197">
        <f t="shared" si="14"/>
        <v>275.35399999999998</v>
      </c>
      <c r="K109" s="198"/>
      <c r="L109" s="281"/>
      <c r="M109" s="281">
        <v>701.19838268791921</v>
      </c>
      <c r="N109" s="281">
        <v>432.72769999999997</v>
      </c>
      <c r="O109" s="281">
        <v>275.35399999999998</v>
      </c>
      <c r="P109" s="281">
        <f t="shared" si="15"/>
        <v>275.35399999999998</v>
      </c>
      <c r="Q109" s="281">
        <f t="shared" si="15"/>
        <v>275.35399999999998</v>
      </c>
      <c r="R109" s="281">
        <f t="shared" si="15"/>
        <v>275.35399999999998</v>
      </c>
      <c r="S109" s="281">
        <f t="shared" si="15"/>
        <v>275.35399999999998</v>
      </c>
    </row>
    <row r="110" spans="6:19" x14ac:dyDescent="0.25">
      <c r="F110" t="s">
        <v>938</v>
      </c>
      <c r="G110" t="s">
        <v>120</v>
      </c>
      <c r="H110" t="s">
        <v>145</v>
      </c>
      <c r="J110" s="197">
        <f t="shared" si="14"/>
        <v>0</v>
      </c>
      <c r="K110" s="198"/>
      <c r="L110" s="281"/>
      <c r="M110" s="281">
        <v>0</v>
      </c>
      <c r="N110" s="281">
        <v>0</v>
      </c>
      <c r="O110" s="281">
        <v>0</v>
      </c>
      <c r="P110" s="281">
        <f t="shared" si="15"/>
        <v>0</v>
      </c>
      <c r="Q110" s="281">
        <f t="shared" si="15"/>
        <v>0</v>
      </c>
      <c r="R110" s="281">
        <f t="shared" si="15"/>
        <v>0</v>
      </c>
      <c r="S110" s="281">
        <f t="shared" si="15"/>
        <v>0</v>
      </c>
    </row>
    <row r="111" spans="6:19" x14ac:dyDescent="0.25">
      <c r="F111" t="s">
        <v>939</v>
      </c>
      <c r="G111" t="s">
        <v>120</v>
      </c>
      <c r="H111" t="s">
        <v>145</v>
      </c>
      <c r="J111" s="197">
        <f t="shared" si="14"/>
        <v>489264.26399999997</v>
      </c>
      <c r="K111" s="198"/>
      <c r="L111" s="281"/>
      <c r="M111" s="281">
        <v>539373.65646557382</v>
      </c>
      <c r="N111" s="281">
        <v>482134.80269999994</v>
      </c>
      <c r="O111" s="281">
        <v>489264.26399999997</v>
      </c>
      <c r="P111" s="281">
        <f t="shared" si="15"/>
        <v>489264.26399999997</v>
      </c>
      <c r="Q111" s="281">
        <f t="shared" si="15"/>
        <v>489264.26399999997</v>
      </c>
      <c r="R111" s="281">
        <f t="shared" si="15"/>
        <v>489264.26399999997</v>
      </c>
      <c r="S111" s="281">
        <f t="shared" si="15"/>
        <v>489264.26399999997</v>
      </c>
    </row>
    <row r="112" spans="6:19" x14ac:dyDescent="0.25">
      <c r="F112" s="17" t="s">
        <v>940</v>
      </c>
      <c r="G112" s="17" t="s">
        <v>120</v>
      </c>
      <c r="H112" s="17" t="s">
        <v>145</v>
      </c>
      <c r="I112" s="122"/>
      <c r="J112" s="199">
        <f t="shared" si="14"/>
        <v>0</v>
      </c>
      <c r="K112" s="200"/>
      <c r="L112" s="282"/>
      <c r="M112" s="282">
        <v>0</v>
      </c>
      <c r="N112" s="282">
        <v>0</v>
      </c>
      <c r="O112" s="282">
        <v>0</v>
      </c>
      <c r="P112" s="282">
        <f t="shared" si="15"/>
        <v>0</v>
      </c>
      <c r="Q112" s="282">
        <f t="shared" si="15"/>
        <v>0</v>
      </c>
      <c r="R112" s="282">
        <f t="shared" si="15"/>
        <v>0</v>
      </c>
      <c r="S112" s="282">
        <f t="shared" si="15"/>
        <v>0</v>
      </c>
    </row>
    <row r="113" spans="5:19" x14ac:dyDescent="0.25">
      <c r="J113" s="198"/>
      <c r="K113" s="198"/>
      <c r="L113" s="198"/>
      <c r="M113" s="198"/>
      <c r="N113" s="198"/>
      <c r="O113" s="198"/>
      <c r="P113" s="198"/>
      <c r="Q113" s="198"/>
      <c r="R113" s="198"/>
      <c r="S113" s="198"/>
    </row>
    <row r="114" spans="5:19" x14ac:dyDescent="0.25">
      <c r="E114" s="121" t="s">
        <v>74</v>
      </c>
      <c r="J114" s="198"/>
      <c r="K114" s="198"/>
      <c r="L114" s="198"/>
      <c r="M114" s="198"/>
      <c r="N114" s="198"/>
      <c r="O114" s="198"/>
      <c r="P114" s="198"/>
      <c r="Q114" s="198"/>
      <c r="R114" s="198"/>
      <c r="S114" s="198"/>
    </row>
    <row r="115" spans="5:19" x14ac:dyDescent="0.25">
      <c r="F115" s="80" t="s">
        <v>925</v>
      </c>
      <c r="G115" s="80" t="s">
        <v>74</v>
      </c>
      <c r="H115" s="80" t="s">
        <v>145</v>
      </c>
      <c r="I115" s="94"/>
      <c r="J115" s="201"/>
      <c r="K115" s="196"/>
      <c r="L115" s="201"/>
      <c r="M115" s="201"/>
      <c r="N115" s="201"/>
      <c r="O115" s="201"/>
      <c r="P115" s="201"/>
      <c r="Q115" s="201"/>
      <c r="R115" s="201"/>
      <c r="S115" s="201"/>
    </row>
    <row r="116" spans="5:19" x14ac:dyDescent="0.25">
      <c r="F116" t="s">
        <v>926</v>
      </c>
      <c r="G116" t="s">
        <v>74</v>
      </c>
      <c r="H116" t="s">
        <v>145</v>
      </c>
      <c r="J116" s="197">
        <f t="shared" ref="J116:J121" si="16">CHOOSE(year_selection, L116,M116,N116,O116,P116,Q116,R116,S116)</f>
        <v>92980</v>
      </c>
      <c r="K116" s="198"/>
      <c r="L116" s="281"/>
      <c r="M116" s="281">
        <v>96958</v>
      </c>
      <c r="N116" s="281">
        <v>94962</v>
      </c>
      <c r="O116" s="281">
        <v>92980</v>
      </c>
      <c r="P116" s="281">
        <f t="shared" ref="P116:S121" si="17">$O116</f>
        <v>92980</v>
      </c>
      <c r="Q116" s="281">
        <f t="shared" si="17"/>
        <v>92980</v>
      </c>
      <c r="R116" s="281">
        <f t="shared" si="17"/>
        <v>92980</v>
      </c>
      <c r="S116" s="281">
        <f t="shared" si="17"/>
        <v>92980</v>
      </c>
    </row>
    <row r="117" spans="5:19" x14ac:dyDescent="0.25">
      <c r="F117" t="s">
        <v>927</v>
      </c>
      <c r="G117" t="s">
        <v>74</v>
      </c>
      <c r="H117" t="s">
        <v>145</v>
      </c>
      <c r="J117" s="197">
        <f t="shared" si="16"/>
        <v>60</v>
      </c>
      <c r="K117" s="198"/>
      <c r="L117" s="281"/>
      <c r="M117" s="281">
        <v>0</v>
      </c>
      <c r="N117" s="281">
        <v>60</v>
      </c>
      <c r="O117" s="281">
        <v>60</v>
      </c>
      <c r="P117" s="281">
        <f t="shared" si="17"/>
        <v>60</v>
      </c>
      <c r="Q117" s="281">
        <f t="shared" si="17"/>
        <v>60</v>
      </c>
      <c r="R117" s="281">
        <f t="shared" si="17"/>
        <v>60</v>
      </c>
      <c r="S117" s="281">
        <f t="shared" si="17"/>
        <v>60</v>
      </c>
    </row>
    <row r="118" spans="5:19" x14ac:dyDescent="0.25">
      <c r="F118" t="s">
        <v>928</v>
      </c>
      <c r="G118" t="s">
        <v>74</v>
      </c>
      <c r="H118" t="s">
        <v>145</v>
      </c>
      <c r="J118" s="197">
        <f t="shared" si="16"/>
        <v>5473</v>
      </c>
      <c r="K118" s="198"/>
      <c r="L118" s="281"/>
      <c r="M118" s="281">
        <v>7115</v>
      </c>
      <c r="N118" s="281">
        <v>5880</v>
      </c>
      <c r="O118" s="281">
        <v>5473</v>
      </c>
      <c r="P118" s="281">
        <f t="shared" si="17"/>
        <v>5473</v>
      </c>
      <c r="Q118" s="281">
        <f t="shared" si="17"/>
        <v>5473</v>
      </c>
      <c r="R118" s="281">
        <f t="shared" si="17"/>
        <v>5473</v>
      </c>
      <c r="S118" s="281">
        <f t="shared" si="17"/>
        <v>5473</v>
      </c>
    </row>
    <row r="119" spans="5:19" x14ac:dyDescent="0.25">
      <c r="F119" t="s">
        <v>929</v>
      </c>
      <c r="G119" t="s">
        <v>74</v>
      </c>
      <c r="H119" t="s">
        <v>145</v>
      </c>
      <c r="J119" s="197">
        <f t="shared" si="16"/>
        <v>21</v>
      </c>
      <c r="K119" s="198"/>
      <c r="L119" s="281"/>
      <c r="M119" s="281">
        <v>0</v>
      </c>
      <c r="N119" s="281">
        <v>20</v>
      </c>
      <c r="O119" s="281">
        <v>21</v>
      </c>
      <c r="P119" s="281">
        <f t="shared" si="17"/>
        <v>21</v>
      </c>
      <c r="Q119" s="281">
        <f t="shared" si="17"/>
        <v>21</v>
      </c>
      <c r="R119" s="281">
        <f t="shared" si="17"/>
        <v>21</v>
      </c>
      <c r="S119" s="281">
        <f t="shared" si="17"/>
        <v>21</v>
      </c>
    </row>
    <row r="120" spans="5:19" x14ac:dyDescent="0.25">
      <c r="F120" t="s">
        <v>930</v>
      </c>
      <c r="G120" t="s">
        <v>74</v>
      </c>
      <c r="H120" t="s">
        <v>145</v>
      </c>
      <c r="J120" s="197">
        <f t="shared" si="16"/>
        <v>1</v>
      </c>
      <c r="K120" s="198"/>
      <c r="L120" s="281"/>
      <c r="M120" s="281">
        <v>0</v>
      </c>
      <c r="N120" s="281">
        <v>1</v>
      </c>
      <c r="O120" s="281">
        <v>1</v>
      </c>
      <c r="P120" s="281">
        <f t="shared" si="17"/>
        <v>1</v>
      </c>
      <c r="Q120" s="281">
        <f t="shared" si="17"/>
        <v>1</v>
      </c>
      <c r="R120" s="281">
        <f t="shared" si="17"/>
        <v>1</v>
      </c>
      <c r="S120" s="281">
        <f t="shared" si="17"/>
        <v>1</v>
      </c>
    </row>
    <row r="121" spans="5:19" x14ac:dyDescent="0.25">
      <c r="F121" t="s">
        <v>931</v>
      </c>
      <c r="G121" t="s">
        <v>74</v>
      </c>
      <c r="H121" t="s">
        <v>145</v>
      </c>
      <c r="J121" s="197">
        <f t="shared" si="16"/>
        <v>133</v>
      </c>
      <c r="K121" s="198"/>
      <c r="L121" s="281"/>
      <c r="M121" s="281">
        <v>0</v>
      </c>
      <c r="N121" s="281">
        <v>126</v>
      </c>
      <c r="O121" s="281">
        <v>133</v>
      </c>
      <c r="P121" s="281">
        <f t="shared" si="17"/>
        <v>133</v>
      </c>
      <c r="Q121" s="281">
        <f t="shared" si="17"/>
        <v>133</v>
      </c>
      <c r="R121" s="281">
        <f t="shared" si="17"/>
        <v>133</v>
      </c>
      <c r="S121" s="281">
        <f t="shared" si="17"/>
        <v>133</v>
      </c>
    </row>
    <row r="122" spans="5:19" x14ac:dyDescent="0.25">
      <c r="F122" t="s">
        <v>932</v>
      </c>
      <c r="G122" t="s">
        <v>74</v>
      </c>
      <c r="H122" t="s">
        <v>145</v>
      </c>
      <c r="J122" s="202"/>
      <c r="K122" s="198"/>
      <c r="L122" s="202"/>
      <c r="M122" s="202"/>
      <c r="N122" s="202"/>
      <c r="O122" s="202"/>
      <c r="P122" s="202"/>
      <c r="Q122" s="202"/>
      <c r="R122" s="202"/>
      <c r="S122" s="202"/>
    </row>
    <row r="123" spans="5:19" x14ac:dyDescent="0.25">
      <c r="F123" t="s">
        <v>933</v>
      </c>
      <c r="G123" t="s">
        <v>74</v>
      </c>
      <c r="H123" t="s">
        <v>145</v>
      </c>
      <c r="J123" s="197">
        <f t="shared" ref="J123:J130" si="18">CHOOSE(year_selection, L123,M123,N123,O123,P123,Q123,R123,S123)</f>
        <v>1153</v>
      </c>
      <c r="K123" s="198"/>
      <c r="L123" s="281"/>
      <c r="M123" s="281">
        <v>251</v>
      </c>
      <c r="N123" s="281">
        <v>591</v>
      </c>
      <c r="O123" s="281">
        <v>1153</v>
      </c>
      <c r="P123" s="281">
        <f t="shared" ref="P123:S130" si="19">$O123</f>
        <v>1153</v>
      </c>
      <c r="Q123" s="281">
        <f t="shared" si="19"/>
        <v>1153</v>
      </c>
      <c r="R123" s="281">
        <f t="shared" si="19"/>
        <v>1153</v>
      </c>
      <c r="S123" s="281">
        <f t="shared" si="19"/>
        <v>1153</v>
      </c>
    </row>
    <row r="124" spans="5:19" x14ac:dyDescent="0.25">
      <c r="F124" t="s">
        <v>934</v>
      </c>
      <c r="G124" t="s">
        <v>74</v>
      </c>
      <c r="H124" t="s">
        <v>145</v>
      </c>
      <c r="J124" s="197">
        <f t="shared" si="18"/>
        <v>4</v>
      </c>
      <c r="K124" s="198"/>
      <c r="L124" s="281"/>
      <c r="M124" s="281">
        <v>4</v>
      </c>
      <c r="N124" s="281">
        <v>4</v>
      </c>
      <c r="O124" s="281">
        <v>4</v>
      </c>
      <c r="P124" s="281">
        <f t="shared" si="19"/>
        <v>4</v>
      </c>
      <c r="Q124" s="281">
        <f t="shared" si="19"/>
        <v>4</v>
      </c>
      <c r="R124" s="281">
        <f t="shared" si="19"/>
        <v>4</v>
      </c>
      <c r="S124" s="281">
        <f t="shared" si="19"/>
        <v>4</v>
      </c>
    </row>
    <row r="125" spans="5:19" x14ac:dyDescent="0.25">
      <c r="F125" t="s">
        <v>935</v>
      </c>
      <c r="G125" t="s">
        <v>74</v>
      </c>
      <c r="H125" t="s">
        <v>145</v>
      </c>
      <c r="J125" s="197">
        <f t="shared" si="18"/>
        <v>496</v>
      </c>
      <c r="K125" s="198"/>
      <c r="L125" s="281"/>
      <c r="M125" s="281">
        <v>475</v>
      </c>
      <c r="N125" s="281">
        <v>479</v>
      </c>
      <c r="O125" s="281">
        <v>496</v>
      </c>
      <c r="P125" s="281">
        <f t="shared" si="19"/>
        <v>496</v>
      </c>
      <c r="Q125" s="281">
        <f t="shared" si="19"/>
        <v>496</v>
      </c>
      <c r="R125" s="281">
        <f t="shared" si="19"/>
        <v>496</v>
      </c>
      <c r="S125" s="281">
        <f t="shared" si="19"/>
        <v>496</v>
      </c>
    </row>
    <row r="126" spans="5:19" x14ac:dyDescent="0.25">
      <c r="F126" t="s">
        <v>936</v>
      </c>
      <c r="G126" t="s">
        <v>74</v>
      </c>
      <c r="H126" t="s">
        <v>145</v>
      </c>
      <c r="J126" s="197">
        <f t="shared" si="18"/>
        <v>0</v>
      </c>
      <c r="K126" s="198"/>
      <c r="L126" s="281"/>
      <c r="M126" s="281">
        <v>0</v>
      </c>
      <c r="N126" s="281">
        <v>0</v>
      </c>
      <c r="O126" s="281">
        <v>0</v>
      </c>
      <c r="P126" s="281">
        <f t="shared" si="19"/>
        <v>0</v>
      </c>
      <c r="Q126" s="281">
        <f t="shared" si="19"/>
        <v>0</v>
      </c>
      <c r="R126" s="281">
        <f t="shared" si="19"/>
        <v>0</v>
      </c>
      <c r="S126" s="281">
        <f t="shared" si="19"/>
        <v>0</v>
      </c>
    </row>
    <row r="127" spans="5:19" x14ac:dyDescent="0.25">
      <c r="F127" t="s">
        <v>937</v>
      </c>
      <c r="G127" t="s">
        <v>74</v>
      </c>
      <c r="H127" t="s">
        <v>145</v>
      </c>
      <c r="J127" s="197">
        <f t="shared" si="18"/>
        <v>9</v>
      </c>
      <c r="K127" s="198"/>
      <c r="L127" s="281"/>
      <c r="M127" s="281">
        <v>8</v>
      </c>
      <c r="N127" s="281">
        <v>8</v>
      </c>
      <c r="O127" s="281">
        <v>9</v>
      </c>
      <c r="P127" s="281">
        <f t="shared" si="19"/>
        <v>9</v>
      </c>
      <c r="Q127" s="281">
        <f t="shared" si="19"/>
        <v>9</v>
      </c>
      <c r="R127" s="281">
        <f t="shared" si="19"/>
        <v>9</v>
      </c>
      <c r="S127" s="281">
        <f t="shared" si="19"/>
        <v>9</v>
      </c>
    </row>
    <row r="128" spans="5:19" x14ac:dyDescent="0.25">
      <c r="F128" t="s">
        <v>938</v>
      </c>
      <c r="G128" t="s">
        <v>74</v>
      </c>
      <c r="H128" t="s">
        <v>145</v>
      </c>
      <c r="J128" s="197">
        <f t="shared" si="18"/>
        <v>0</v>
      </c>
      <c r="K128" s="198"/>
      <c r="L128" s="281"/>
      <c r="M128" s="281">
        <v>0</v>
      </c>
      <c r="N128" s="281">
        <v>0</v>
      </c>
      <c r="O128" s="281">
        <v>0</v>
      </c>
      <c r="P128" s="281">
        <f t="shared" si="19"/>
        <v>0</v>
      </c>
      <c r="Q128" s="281">
        <f t="shared" si="19"/>
        <v>0</v>
      </c>
      <c r="R128" s="281">
        <f t="shared" si="19"/>
        <v>0</v>
      </c>
      <c r="S128" s="281">
        <f t="shared" si="19"/>
        <v>0</v>
      </c>
    </row>
    <row r="129" spans="5:19" x14ac:dyDescent="0.25">
      <c r="F129" t="s">
        <v>939</v>
      </c>
      <c r="G129" t="s">
        <v>74</v>
      </c>
      <c r="H129" t="s">
        <v>145</v>
      </c>
      <c r="J129" s="197">
        <f t="shared" si="18"/>
        <v>261</v>
      </c>
      <c r="K129" s="198"/>
      <c r="L129" s="281"/>
      <c r="M129" s="281">
        <v>259</v>
      </c>
      <c r="N129" s="281">
        <v>261</v>
      </c>
      <c r="O129" s="281">
        <v>261</v>
      </c>
      <c r="P129" s="281">
        <f t="shared" si="19"/>
        <v>261</v>
      </c>
      <c r="Q129" s="281">
        <f t="shared" si="19"/>
        <v>261</v>
      </c>
      <c r="R129" s="281">
        <f t="shared" si="19"/>
        <v>261</v>
      </c>
      <c r="S129" s="281">
        <f t="shared" si="19"/>
        <v>261</v>
      </c>
    </row>
    <row r="130" spans="5:19" x14ac:dyDescent="0.25">
      <c r="F130" s="17" t="s">
        <v>940</v>
      </c>
      <c r="G130" s="17" t="s">
        <v>74</v>
      </c>
      <c r="H130" s="17" t="s">
        <v>145</v>
      </c>
      <c r="I130" s="122"/>
      <c r="J130" s="199">
        <f t="shared" si="18"/>
        <v>0</v>
      </c>
      <c r="K130" s="200"/>
      <c r="L130" s="282"/>
      <c r="M130" s="282">
        <v>0</v>
      </c>
      <c r="N130" s="282">
        <v>0</v>
      </c>
      <c r="O130" s="282">
        <v>0</v>
      </c>
      <c r="P130" s="282">
        <f t="shared" si="19"/>
        <v>0</v>
      </c>
      <c r="Q130" s="282">
        <f t="shared" si="19"/>
        <v>0</v>
      </c>
      <c r="R130" s="282">
        <f t="shared" si="19"/>
        <v>0</v>
      </c>
      <c r="S130" s="282">
        <f t="shared" si="19"/>
        <v>0</v>
      </c>
    </row>
    <row r="131" spans="5:19" x14ac:dyDescent="0.25">
      <c r="J131" s="198"/>
      <c r="K131" s="198"/>
      <c r="L131" s="198"/>
      <c r="M131" s="198"/>
      <c r="N131" s="198"/>
      <c r="O131" s="198"/>
      <c r="P131" s="198"/>
      <c r="Q131" s="198"/>
      <c r="R131" s="198"/>
      <c r="S131" s="198"/>
    </row>
    <row r="132" spans="5:19" x14ac:dyDescent="0.25">
      <c r="E132" s="121" t="s">
        <v>202</v>
      </c>
      <c r="J132" s="198"/>
      <c r="K132" s="198"/>
      <c r="L132" s="198"/>
      <c r="M132" s="198"/>
      <c r="N132" s="198"/>
      <c r="O132" s="198"/>
      <c r="P132" s="198"/>
      <c r="Q132" s="198"/>
      <c r="R132" s="198"/>
      <c r="S132" s="198"/>
    </row>
    <row r="133" spans="5:19" x14ac:dyDescent="0.25">
      <c r="F133" s="80" t="s">
        <v>925</v>
      </c>
      <c r="G133" s="80" t="s">
        <v>169</v>
      </c>
      <c r="H133" s="80" t="s">
        <v>145</v>
      </c>
      <c r="I133" s="94"/>
      <c r="J133" s="201"/>
      <c r="K133" s="196"/>
      <c r="L133" s="201"/>
      <c r="M133" s="201"/>
      <c r="N133" s="201"/>
      <c r="O133" s="201"/>
      <c r="P133" s="201"/>
      <c r="Q133" s="201"/>
      <c r="R133" s="201"/>
      <c r="S133" s="201"/>
    </row>
    <row r="134" spans="5:19" x14ac:dyDescent="0.25">
      <c r="F134" t="s">
        <v>926</v>
      </c>
      <c r="G134" t="s">
        <v>169</v>
      </c>
      <c r="H134" t="s">
        <v>145</v>
      </c>
      <c r="J134" s="202"/>
      <c r="K134" s="198"/>
      <c r="L134" s="202"/>
      <c r="M134" s="202"/>
      <c r="N134" s="202"/>
      <c r="O134" s="202"/>
      <c r="P134" s="202"/>
      <c r="Q134" s="202"/>
      <c r="R134" s="202"/>
      <c r="S134" s="202"/>
    </row>
    <row r="135" spans="5:19" x14ac:dyDescent="0.25">
      <c r="F135" t="s">
        <v>927</v>
      </c>
      <c r="G135" t="s">
        <v>169</v>
      </c>
      <c r="H135" t="s">
        <v>145</v>
      </c>
      <c r="J135" s="202"/>
      <c r="K135" s="198"/>
      <c r="L135" s="202"/>
      <c r="M135" s="202"/>
      <c r="N135" s="202"/>
      <c r="O135" s="202"/>
      <c r="P135" s="202"/>
      <c r="Q135" s="202"/>
      <c r="R135" s="202"/>
      <c r="S135" s="202"/>
    </row>
    <row r="136" spans="5:19" x14ac:dyDescent="0.25">
      <c r="F136" t="s">
        <v>928</v>
      </c>
      <c r="G136" t="s">
        <v>169</v>
      </c>
      <c r="H136" t="s">
        <v>145</v>
      </c>
      <c r="J136" s="202"/>
      <c r="K136" s="198"/>
      <c r="L136" s="202"/>
      <c r="M136" s="202"/>
      <c r="N136" s="202"/>
      <c r="O136" s="202"/>
      <c r="P136" s="202"/>
      <c r="Q136" s="202"/>
      <c r="R136" s="202"/>
      <c r="S136" s="202"/>
    </row>
    <row r="137" spans="5:19" x14ac:dyDescent="0.25">
      <c r="F137" t="s">
        <v>929</v>
      </c>
      <c r="G137" t="s">
        <v>169</v>
      </c>
      <c r="H137" t="s">
        <v>145</v>
      </c>
      <c r="J137" s="197">
        <f t="shared" ref="J137:J139" si="20">CHOOSE(year_selection, L137,M137,N137,O137,P137,Q137,R137,S137)</f>
        <v>952</v>
      </c>
      <c r="K137" s="198"/>
      <c r="L137" s="281"/>
      <c r="M137" s="281">
        <v>0</v>
      </c>
      <c r="N137" s="281">
        <v>942</v>
      </c>
      <c r="O137" s="281">
        <v>952</v>
      </c>
      <c r="P137" s="281">
        <f t="shared" ref="P137:S139" si="21">$O137</f>
        <v>952</v>
      </c>
      <c r="Q137" s="281">
        <f t="shared" si="21"/>
        <v>952</v>
      </c>
      <c r="R137" s="281">
        <f t="shared" si="21"/>
        <v>952</v>
      </c>
      <c r="S137" s="281">
        <f t="shared" si="21"/>
        <v>952</v>
      </c>
    </row>
    <row r="138" spans="5:19" x14ac:dyDescent="0.25">
      <c r="F138" t="s">
        <v>930</v>
      </c>
      <c r="G138" t="s">
        <v>169</v>
      </c>
      <c r="H138" t="s">
        <v>145</v>
      </c>
      <c r="J138" s="197">
        <f t="shared" si="20"/>
        <v>8</v>
      </c>
      <c r="K138" s="198"/>
      <c r="L138" s="281"/>
      <c r="M138" s="281">
        <v>0</v>
      </c>
      <c r="N138" s="281">
        <v>8</v>
      </c>
      <c r="O138" s="281">
        <v>8</v>
      </c>
      <c r="P138" s="281">
        <f t="shared" si="21"/>
        <v>8</v>
      </c>
      <c r="Q138" s="281">
        <f t="shared" si="21"/>
        <v>8</v>
      </c>
      <c r="R138" s="281">
        <f t="shared" si="21"/>
        <v>8</v>
      </c>
      <c r="S138" s="281">
        <f t="shared" si="21"/>
        <v>8</v>
      </c>
    </row>
    <row r="139" spans="5:19" x14ac:dyDescent="0.25">
      <c r="F139" t="s">
        <v>931</v>
      </c>
      <c r="G139" t="s">
        <v>169</v>
      </c>
      <c r="H139" t="s">
        <v>145</v>
      </c>
      <c r="J139" s="197">
        <f t="shared" si="20"/>
        <v>7676</v>
      </c>
      <c r="K139" s="198"/>
      <c r="L139" s="281"/>
      <c r="M139" s="281">
        <v>0</v>
      </c>
      <c r="N139" s="281">
        <v>7501</v>
      </c>
      <c r="O139" s="281">
        <v>7676</v>
      </c>
      <c r="P139" s="281">
        <f t="shared" si="21"/>
        <v>7676</v>
      </c>
      <c r="Q139" s="281">
        <f t="shared" si="21"/>
        <v>7676</v>
      </c>
      <c r="R139" s="281">
        <f t="shared" si="21"/>
        <v>7676</v>
      </c>
      <c r="S139" s="281">
        <f t="shared" si="21"/>
        <v>7676</v>
      </c>
    </row>
    <row r="140" spans="5:19" x14ac:dyDescent="0.25">
      <c r="F140" t="s">
        <v>932</v>
      </c>
      <c r="G140" t="s">
        <v>169</v>
      </c>
      <c r="H140" t="s">
        <v>145</v>
      </c>
      <c r="J140" s="202"/>
      <c r="K140" s="198"/>
      <c r="L140" s="202"/>
      <c r="M140" s="202"/>
      <c r="N140" s="202"/>
      <c r="O140" s="202"/>
      <c r="P140" s="202"/>
      <c r="Q140" s="202"/>
      <c r="R140" s="202"/>
      <c r="S140" s="202"/>
    </row>
    <row r="141" spans="5:19" x14ac:dyDescent="0.25">
      <c r="F141" t="s">
        <v>933</v>
      </c>
      <c r="G141" t="s">
        <v>169</v>
      </c>
      <c r="H141" t="s">
        <v>145</v>
      </c>
      <c r="J141" s="202"/>
      <c r="K141" s="198"/>
      <c r="L141" s="202"/>
      <c r="M141" s="202"/>
      <c r="N141" s="202"/>
      <c r="O141" s="202"/>
      <c r="P141" s="202"/>
      <c r="Q141" s="202"/>
      <c r="R141" s="202"/>
      <c r="S141" s="202"/>
    </row>
    <row r="142" spans="5:19" x14ac:dyDescent="0.25">
      <c r="F142" t="s">
        <v>934</v>
      </c>
      <c r="G142" t="s">
        <v>169</v>
      </c>
      <c r="H142" t="s">
        <v>145</v>
      </c>
      <c r="J142" s="202"/>
      <c r="K142" s="198"/>
      <c r="L142" s="202"/>
      <c r="M142" s="202"/>
      <c r="N142" s="202"/>
      <c r="O142" s="202"/>
      <c r="P142" s="202"/>
      <c r="Q142" s="202"/>
      <c r="R142" s="202"/>
      <c r="S142" s="202"/>
    </row>
    <row r="143" spans="5:19" x14ac:dyDescent="0.25">
      <c r="F143" t="s">
        <v>935</v>
      </c>
      <c r="G143" t="s">
        <v>169</v>
      </c>
      <c r="H143" t="s">
        <v>145</v>
      </c>
      <c r="J143" s="202"/>
      <c r="K143" s="198"/>
      <c r="L143" s="202"/>
      <c r="M143" s="202"/>
      <c r="N143" s="202"/>
      <c r="O143" s="202"/>
      <c r="P143" s="202"/>
      <c r="Q143" s="202"/>
      <c r="R143" s="202"/>
      <c r="S143" s="202"/>
    </row>
    <row r="144" spans="5:19" x14ac:dyDescent="0.25">
      <c r="F144" t="s">
        <v>936</v>
      </c>
      <c r="G144" t="s">
        <v>169</v>
      </c>
      <c r="H144" t="s">
        <v>145</v>
      </c>
      <c r="J144" s="202"/>
      <c r="K144" s="198"/>
      <c r="L144" s="202"/>
      <c r="M144" s="202"/>
      <c r="N144" s="202"/>
      <c r="O144" s="202"/>
      <c r="P144" s="202"/>
      <c r="Q144" s="202"/>
      <c r="R144" s="202"/>
      <c r="S144" s="202"/>
    </row>
    <row r="145" spans="5:19" x14ac:dyDescent="0.25">
      <c r="F145" t="s">
        <v>937</v>
      </c>
      <c r="G145" t="s">
        <v>169</v>
      </c>
      <c r="H145" t="s">
        <v>145</v>
      </c>
      <c r="J145" s="202"/>
      <c r="K145" s="198"/>
      <c r="L145" s="202"/>
      <c r="M145" s="202"/>
      <c r="N145" s="202"/>
      <c r="O145" s="202"/>
      <c r="P145" s="202"/>
      <c r="Q145" s="202"/>
      <c r="R145" s="202"/>
      <c r="S145" s="202"/>
    </row>
    <row r="146" spans="5:19" x14ac:dyDescent="0.25">
      <c r="F146" t="s">
        <v>938</v>
      </c>
      <c r="G146" t="s">
        <v>169</v>
      </c>
      <c r="H146" t="s">
        <v>145</v>
      </c>
      <c r="J146" s="202"/>
      <c r="K146" s="198"/>
      <c r="L146" s="202"/>
      <c r="M146" s="202"/>
      <c r="N146" s="202"/>
      <c r="O146" s="202"/>
      <c r="P146" s="202"/>
      <c r="Q146" s="202"/>
      <c r="R146" s="202"/>
      <c r="S146" s="202"/>
    </row>
    <row r="147" spans="5:19" x14ac:dyDescent="0.25">
      <c r="F147" t="s">
        <v>939</v>
      </c>
      <c r="G147" t="s">
        <v>169</v>
      </c>
      <c r="H147" t="s">
        <v>145</v>
      </c>
      <c r="J147" s="202"/>
      <c r="K147" s="198"/>
      <c r="L147" s="202"/>
      <c r="M147" s="202"/>
      <c r="N147" s="202"/>
      <c r="O147" s="202"/>
      <c r="P147" s="202"/>
      <c r="Q147" s="202"/>
      <c r="R147" s="202"/>
      <c r="S147" s="202"/>
    </row>
    <row r="148" spans="5:19" x14ac:dyDescent="0.25">
      <c r="F148" s="17" t="s">
        <v>940</v>
      </c>
      <c r="G148" s="17" t="s">
        <v>169</v>
      </c>
      <c r="H148" s="17" t="s">
        <v>145</v>
      </c>
      <c r="I148" s="122"/>
      <c r="J148" s="203"/>
      <c r="K148" s="200"/>
      <c r="L148" s="203"/>
      <c r="M148" s="203"/>
      <c r="N148" s="203"/>
      <c r="O148" s="203"/>
      <c r="P148" s="203"/>
      <c r="Q148" s="203"/>
      <c r="R148" s="203"/>
      <c r="S148" s="203"/>
    </row>
    <row r="149" spans="5:19" x14ac:dyDescent="0.25">
      <c r="J149" s="198"/>
      <c r="K149" s="198"/>
      <c r="L149" s="198"/>
      <c r="M149" s="198"/>
      <c r="N149" s="198"/>
      <c r="O149" s="198"/>
      <c r="P149" s="198"/>
      <c r="Q149" s="198"/>
      <c r="R149" s="198"/>
      <c r="S149" s="198"/>
    </row>
    <row r="150" spans="5:19" x14ac:dyDescent="0.25">
      <c r="E150" s="121" t="s">
        <v>203</v>
      </c>
      <c r="J150" s="198"/>
      <c r="K150" s="198"/>
      <c r="L150" s="198"/>
      <c r="M150" s="198"/>
      <c r="N150" s="198"/>
      <c r="O150" s="198"/>
      <c r="P150" s="198"/>
      <c r="Q150" s="198"/>
      <c r="R150" s="198"/>
      <c r="S150" s="198"/>
    </row>
    <row r="151" spans="5:19" x14ac:dyDescent="0.25">
      <c r="F151" s="80" t="s">
        <v>925</v>
      </c>
      <c r="G151" s="80" t="s">
        <v>169</v>
      </c>
      <c r="H151" s="80" t="s">
        <v>145</v>
      </c>
      <c r="I151" s="94"/>
      <c r="J151" s="201"/>
      <c r="K151" s="196"/>
      <c r="L151" s="201"/>
      <c r="M151" s="201"/>
      <c r="N151" s="201"/>
      <c r="O151" s="201"/>
      <c r="P151" s="201"/>
      <c r="Q151" s="201"/>
      <c r="R151" s="201"/>
      <c r="S151" s="201"/>
    </row>
    <row r="152" spans="5:19" x14ac:dyDescent="0.25">
      <c r="F152" t="s">
        <v>926</v>
      </c>
      <c r="G152" t="s">
        <v>169</v>
      </c>
      <c r="H152" t="s">
        <v>145</v>
      </c>
      <c r="J152" s="202"/>
      <c r="K152" s="198"/>
      <c r="L152" s="202"/>
      <c r="M152" s="202"/>
      <c r="N152" s="202"/>
      <c r="O152" s="202"/>
      <c r="P152" s="202"/>
      <c r="Q152" s="202"/>
      <c r="R152" s="202"/>
      <c r="S152" s="202"/>
    </row>
    <row r="153" spans="5:19" x14ac:dyDescent="0.25">
      <c r="F153" t="s">
        <v>927</v>
      </c>
      <c r="G153" t="s">
        <v>169</v>
      </c>
      <c r="H153" t="s">
        <v>145</v>
      </c>
      <c r="J153" s="202"/>
      <c r="K153" s="198"/>
      <c r="L153" s="202"/>
      <c r="M153" s="202"/>
      <c r="N153" s="202"/>
      <c r="O153" s="202"/>
      <c r="P153" s="202"/>
      <c r="Q153" s="202"/>
      <c r="R153" s="202"/>
      <c r="S153" s="202"/>
    </row>
    <row r="154" spans="5:19" x14ac:dyDescent="0.25">
      <c r="F154" t="s">
        <v>928</v>
      </c>
      <c r="G154" t="s">
        <v>169</v>
      </c>
      <c r="H154" t="s">
        <v>145</v>
      </c>
      <c r="J154" s="202"/>
      <c r="K154" s="198"/>
      <c r="L154" s="202"/>
      <c r="M154" s="202"/>
      <c r="N154" s="202"/>
      <c r="O154" s="202"/>
      <c r="P154" s="202"/>
      <c r="Q154" s="202"/>
      <c r="R154" s="202"/>
      <c r="S154" s="202"/>
    </row>
    <row r="155" spans="5:19" x14ac:dyDescent="0.25">
      <c r="F155" t="s">
        <v>929</v>
      </c>
      <c r="G155" t="s">
        <v>169</v>
      </c>
      <c r="H155" t="s">
        <v>145</v>
      </c>
      <c r="J155" s="197">
        <f t="shared" ref="J155:J157" si="22">CHOOSE(year_selection, L155,M155,N155,O155,P155,Q155,R155,S155)</f>
        <v>42</v>
      </c>
      <c r="K155" s="198"/>
      <c r="L155" s="281"/>
      <c r="M155" s="281">
        <v>0</v>
      </c>
      <c r="N155" s="281">
        <v>112</v>
      </c>
      <c r="O155" s="281">
        <v>42</v>
      </c>
      <c r="P155" s="281">
        <f t="shared" ref="P155:S157" si="23">$O155</f>
        <v>42</v>
      </c>
      <c r="Q155" s="281">
        <f t="shared" si="23"/>
        <v>42</v>
      </c>
      <c r="R155" s="281">
        <f t="shared" si="23"/>
        <v>42</v>
      </c>
      <c r="S155" s="281">
        <f t="shared" si="23"/>
        <v>42</v>
      </c>
    </row>
    <row r="156" spans="5:19" x14ac:dyDescent="0.25">
      <c r="F156" t="s">
        <v>930</v>
      </c>
      <c r="G156" t="s">
        <v>169</v>
      </c>
      <c r="H156" t="s">
        <v>145</v>
      </c>
      <c r="J156" s="197">
        <f t="shared" si="22"/>
        <v>5</v>
      </c>
      <c r="K156" s="198"/>
      <c r="L156" s="281"/>
      <c r="M156" s="281">
        <v>0</v>
      </c>
      <c r="N156" s="281">
        <v>0</v>
      </c>
      <c r="O156" s="281">
        <v>5</v>
      </c>
      <c r="P156" s="281">
        <f t="shared" si="23"/>
        <v>5</v>
      </c>
      <c r="Q156" s="281">
        <f t="shared" si="23"/>
        <v>5</v>
      </c>
      <c r="R156" s="281">
        <f t="shared" si="23"/>
        <v>5</v>
      </c>
      <c r="S156" s="281">
        <f t="shared" si="23"/>
        <v>5</v>
      </c>
    </row>
    <row r="157" spans="5:19" x14ac:dyDescent="0.25">
      <c r="F157" t="s">
        <v>931</v>
      </c>
      <c r="G157" t="s">
        <v>169</v>
      </c>
      <c r="H157" t="s">
        <v>145</v>
      </c>
      <c r="J157" s="197">
        <f t="shared" si="22"/>
        <v>744</v>
      </c>
      <c r="K157" s="198"/>
      <c r="L157" s="281"/>
      <c r="M157" s="281">
        <v>0</v>
      </c>
      <c r="N157" s="281">
        <v>524</v>
      </c>
      <c r="O157" s="281">
        <v>744</v>
      </c>
      <c r="P157" s="281">
        <f t="shared" si="23"/>
        <v>744</v>
      </c>
      <c r="Q157" s="281">
        <f t="shared" si="23"/>
        <v>744</v>
      </c>
      <c r="R157" s="281">
        <f t="shared" si="23"/>
        <v>744</v>
      </c>
      <c r="S157" s="281">
        <f t="shared" si="23"/>
        <v>744</v>
      </c>
    </row>
    <row r="158" spans="5:19" x14ac:dyDescent="0.25">
      <c r="F158" t="s">
        <v>932</v>
      </c>
      <c r="G158" t="s">
        <v>169</v>
      </c>
      <c r="H158" t="s">
        <v>145</v>
      </c>
      <c r="J158" s="202"/>
      <c r="K158" s="198"/>
      <c r="L158" s="202"/>
      <c r="M158" s="202"/>
      <c r="N158" s="202"/>
      <c r="O158" s="202"/>
      <c r="P158" s="202"/>
      <c r="Q158" s="202"/>
      <c r="R158" s="202"/>
      <c r="S158" s="202"/>
    </row>
    <row r="159" spans="5:19" x14ac:dyDescent="0.25">
      <c r="F159" t="s">
        <v>933</v>
      </c>
      <c r="G159" t="s">
        <v>169</v>
      </c>
      <c r="H159" t="s">
        <v>145</v>
      </c>
      <c r="J159" s="202"/>
      <c r="K159" s="198"/>
      <c r="L159" s="202"/>
      <c r="M159" s="202"/>
      <c r="N159" s="202"/>
      <c r="O159" s="202"/>
      <c r="P159" s="202"/>
      <c r="Q159" s="202"/>
      <c r="R159" s="202"/>
      <c r="S159" s="202"/>
    </row>
    <row r="160" spans="5:19" x14ac:dyDescent="0.25">
      <c r="F160" t="s">
        <v>934</v>
      </c>
      <c r="G160" t="s">
        <v>169</v>
      </c>
      <c r="H160" t="s">
        <v>145</v>
      </c>
      <c r="J160" s="202"/>
      <c r="K160" s="198"/>
      <c r="L160" s="202"/>
      <c r="M160" s="202"/>
      <c r="N160" s="202"/>
      <c r="O160" s="202"/>
      <c r="P160" s="202"/>
      <c r="Q160" s="202"/>
      <c r="R160" s="202"/>
      <c r="S160" s="202"/>
    </row>
    <row r="161" spans="5:19" x14ac:dyDescent="0.25">
      <c r="F161" t="s">
        <v>935</v>
      </c>
      <c r="G161" t="s">
        <v>169</v>
      </c>
      <c r="H161" t="s">
        <v>145</v>
      </c>
      <c r="J161" s="202"/>
      <c r="K161" s="198"/>
      <c r="L161" s="202"/>
      <c r="M161" s="202"/>
      <c r="N161" s="202"/>
      <c r="O161" s="202"/>
      <c r="P161" s="202"/>
      <c r="Q161" s="202"/>
      <c r="R161" s="202"/>
      <c r="S161" s="202"/>
    </row>
    <row r="162" spans="5:19" x14ac:dyDescent="0.25">
      <c r="F162" t="s">
        <v>936</v>
      </c>
      <c r="G162" t="s">
        <v>169</v>
      </c>
      <c r="H162" t="s">
        <v>145</v>
      </c>
      <c r="J162" s="202"/>
      <c r="K162" s="198"/>
      <c r="L162" s="202"/>
      <c r="M162" s="202"/>
      <c r="N162" s="202"/>
      <c r="O162" s="202"/>
      <c r="P162" s="202"/>
      <c r="Q162" s="202"/>
      <c r="R162" s="202"/>
      <c r="S162" s="202"/>
    </row>
    <row r="163" spans="5:19" x14ac:dyDescent="0.25">
      <c r="F163" t="s">
        <v>937</v>
      </c>
      <c r="G163" t="s">
        <v>169</v>
      </c>
      <c r="H163" t="s">
        <v>145</v>
      </c>
      <c r="J163" s="202"/>
      <c r="K163" s="198"/>
      <c r="L163" s="202"/>
      <c r="M163" s="202"/>
      <c r="N163" s="202"/>
      <c r="O163" s="202"/>
      <c r="P163" s="202"/>
      <c r="Q163" s="202"/>
      <c r="R163" s="202"/>
      <c r="S163" s="202"/>
    </row>
    <row r="164" spans="5:19" x14ac:dyDescent="0.25">
      <c r="F164" t="s">
        <v>938</v>
      </c>
      <c r="G164" t="s">
        <v>169</v>
      </c>
      <c r="H164" t="s">
        <v>145</v>
      </c>
      <c r="J164" s="202"/>
      <c r="K164" s="198"/>
      <c r="L164" s="202"/>
      <c r="M164" s="202"/>
      <c r="N164" s="202"/>
      <c r="O164" s="202"/>
      <c r="P164" s="202"/>
      <c r="Q164" s="202"/>
      <c r="R164" s="202"/>
      <c r="S164" s="202"/>
    </row>
    <row r="165" spans="5:19" x14ac:dyDescent="0.25">
      <c r="F165" t="s">
        <v>939</v>
      </c>
      <c r="G165" t="s">
        <v>169</v>
      </c>
      <c r="H165" t="s">
        <v>145</v>
      </c>
      <c r="J165" s="202"/>
      <c r="K165" s="198"/>
      <c r="L165" s="202"/>
      <c r="M165" s="202"/>
      <c r="N165" s="202"/>
      <c r="O165" s="202"/>
      <c r="P165" s="202"/>
      <c r="Q165" s="202"/>
      <c r="R165" s="202"/>
      <c r="S165" s="202"/>
    </row>
    <row r="166" spans="5:19" x14ac:dyDescent="0.25">
      <c r="F166" s="17" t="s">
        <v>940</v>
      </c>
      <c r="G166" s="17" t="s">
        <v>169</v>
      </c>
      <c r="H166" s="17" t="s">
        <v>145</v>
      </c>
      <c r="I166" s="122"/>
      <c r="J166" s="203"/>
      <c r="K166" s="200"/>
      <c r="L166" s="203"/>
      <c r="M166" s="203"/>
      <c r="N166" s="203"/>
      <c r="O166" s="203"/>
      <c r="P166" s="203"/>
      <c r="Q166" s="203"/>
      <c r="R166" s="203"/>
      <c r="S166" s="203"/>
    </row>
    <row r="167" spans="5:19" x14ac:dyDescent="0.25">
      <c r="J167" s="198"/>
      <c r="K167" s="198"/>
      <c r="L167" s="198"/>
      <c r="M167" s="198"/>
      <c r="N167" s="198"/>
      <c r="O167" s="198"/>
      <c r="P167" s="198"/>
      <c r="Q167" s="198"/>
      <c r="R167" s="198"/>
      <c r="S167" s="198"/>
    </row>
    <row r="168" spans="5:19" x14ac:dyDescent="0.25">
      <c r="E168" s="121" t="s">
        <v>204</v>
      </c>
      <c r="J168" s="198"/>
      <c r="K168" s="198"/>
      <c r="L168" s="198"/>
      <c r="M168" s="198"/>
      <c r="N168" s="198"/>
      <c r="O168" s="198"/>
      <c r="P168" s="198"/>
      <c r="Q168" s="198"/>
      <c r="R168" s="198"/>
      <c r="S168" s="198"/>
    </row>
    <row r="169" spans="5:19" x14ac:dyDescent="0.25">
      <c r="F169" s="80" t="s">
        <v>925</v>
      </c>
      <c r="G169" s="80" t="s">
        <v>170</v>
      </c>
      <c r="H169" s="80" t="s">
        <v>145</v>
      </c>
      <c r="I169" s="94"/>
      <c r="J169" s="201"/>
      <c r="K169" s="196"/>
      <c r="L169" s="201"/>
      <c r="M169" s="201"/>
      <c r="N169" s="201"/>
      <c r="O169" s="201"/>
      <c r="P169" s="201"/>
      <c r="Q169" s="201"/>
      <c r="R169" s="201"/>
      <c r="S169" s="201"/>
    </row>
    <row r="170" spans="5:19" x14ac:dyDescent="0.25">
      <c r="F170" t="s">
        <v>926</v>
      </c>
      <c r="G170" t="s">
        <v>170</v>
      </c>
      <c r="H170" t="s">
        <v>145</v>
      </c>
      <c r="J170" s="202"/>
      <c r="K170" s="198"/>
      <c r="L170" s="202"/>
      <c r="M170" s="202"/>
      <c r="N170" s="202"/>
      <c r="O170" s="202"/>
      <c r="P170" s="202"/>
      <c r="Q170" s="202"/>
      <c r="R170" s="202"/>
      <c r="S170" s="202"/>
    </row>
    <row r="171" spans="5:19" x14ac:dyDescent="0.25">
      <c r="F171" t="s">
        <v>927</v>
      </c>
      <c r="G171" t="s">
        <v>170</v>
      </c>
      <c r="H171" t="s">
        <v>145</v>
      </c>
      <c r="J171" s="202"/>
      <c r="K171" s="198"/>
      <c r="L171" s="202"/>
      <c r="M171" s="202"/>
      <c r="N171" s="202"/>
      <c r="O171" s="202"/>
      <c r="P171" s="202"/>
      <c r="Q171" s="202"/>
      <c r="R171" s="202"/>
      <c r="S171" s="202"/>
    </row>
    <row r="172" spans="5:19" x14ac:dyDescent="0.25">
      <c r="F172" t="s">
        <v>928</v>
      </c>
      <c r="G172" t="s">
        <v>170</v>
      </c>
      <c r="H172" t="s">
        <v>145</v>
      </c>
      <c r="J172" s="202"/>
      <c r="K172" s="198"/>
      <c r="L172" s="202"/>
      <c r="M172" s="202"/>
      <c r="N172" s="202"/>
      <c r="O172" s="202"/>
      <c r="P172" s="202"/>
      <c r="Q172" s="202"/>
      <c r="R172" s="202"/>
      <c r="S172" s="202"/>
    </row>
    <row r="173" spans="5:19" x14ac:dyDescent="0.25">
      <c r="F173" t="s">
        <v>929</v>
      </c>
      <c r="G173" t="s">
        <v>170</v>
      </c>
      <c r="H173" t="s">
        <v>145</v>
      </c>
      <c r="J173" s="197">
        <f t="shared" ref="J173:J175" si="24">CHOOSE(year_selection, L173,M173,N173,O173,P173,Q173,R173,S173)</f>
        <v>64.055000000000007</v>
      </c>
      <c r="K173" s="198"/>
      <c r="L173" s="281"/>
      <c r="M173" s="281">
        <v>0</v>
      </c>
      <c r="N173" s="281">
        <v>48.122999999999998</v>
      </c>
      <c r="O173" s="281">
        <v>64.055000000000007</v>
      </c>
      <c r="P173" s="281">
        <f t="shared" ref="P173:S175" si="25">$O173</f>
        <v>64.055000000000007</v>
      </c>
      <c r="Q173" s="281">
        <f t="shared" si="25"/>
        <v>64.055000000000007</v>
      </c>
      <c r="R173" s="281">
        <f t="shared" si="25"/>
        <v>64.055000000000007</v>
      </c>
      <c r="S173" s="281">
        <f t="shared" si="25"/>
        <v>64.055000000000007</v>
      </c>
    </row>
    <row r="174" spans="5:19" x14ac:dyDescent="0.25">
      <c r="F174" t="s">
        <v>930</v>
      </c>
      <c r="G174" t="s">
        <v>170</v>
      </c>
      <c r="H174" t="s">
        <v>145</v>
      </c>
      <c r="J174" s="197">
        <f t="shared" si="24"/>
        <v>2.2480000000000002</v>
      </c>
      <c r="K174" s="198"/>
      <c r="L174" s="281"/>
      <c r="M174" s="281">
        <v>0</v>
      </c>
      <c r="N174" s="281">
        <v>0.47199999999999998</v>
      </c>
      <c r="O174" s="281">
        <v>2.2480000000000002</v>
      </c>
      <c r="P174" s="281">
        <f t="shared" si="25"/>
        <v>2.2480000000000002</v>
      </c>
      <c r="Q174" s="281">
        <f t="shared" si="25"/>
        <v>2.2480000000000002</v>
      </c>
      <c r="R174" s="281">
        <f t="shared" si="25"/>
        <v>2.2480000000000002</v>
      </c>
      <c r="S174" s="281">
        <f t="shared" si="25"/>
        <v>2.2480000000000002</v>
      </c>
    </row>
    <row r="175" spans="5:19" x14ac:dyDescent="0.25">
      <c r="F175" t="s">
        <v>931</v>
      </c>
      <c r="G175" t="s">
        <v>170</v>
      </c>
      <c r="H175" t="s">
        <v>145</v>
      </c>
      <c r="J175" s="197">
        <f t="shared" si="24"/>
        <v>1213.202</v>
      </c>
      <c r="K175" s="198"/>
      <c r="L175" s="281"/>
      <c r="M175" s="281">
        <v>0</v>
      </c>
      <c r="N175" s="281">
        <v>942.50400000000002</v>
      </c>
      <c r="O175" s="281">
        <v>1213.202</v>
      </c>
      <c r="P175" s="281">
        <f t="shared" si="25"/>
        <v>1213.202</v>
      </c>
      <c r="Q175" s="281">
        <f t="shared" si="25"/>
        <v>1213.202</v>
      </c>
      <c r="R175" s="281">
        <f t="shared" si="25"/>
        <v>1213.202</v>
      </c>
      <c r="S175" s="281">
        <f t="shared" si="25"/>
        <v>1213.202</v>
      </c>
    </row>
    <row r="176" spans="5:19" x14ac:dyDescent="0.25">
      <c r="F176" t="s">
        <v>932</v>
      </c>
      <c r="G176" t="s">
        <v>170</v>
      </c>
      <c r="H176" t="s">
        <v>145</v>
      </c>
      <c r="J176" s="202"/>
      <c r="K176" s="198"/>
      <c r="L176" s="202"/>
      <c r="M176" s="202"/>
      <c r="N176" s="202"/>
      <c r="O176" s="202"/>
      <c r="P176" s="202"/>
      <c r="Q176" s="202"/>
      <c r="R176" s="202"/>
      <c r="S176" s="202"/>
    </row>
    <row r="177" spans="3:21" x14ac:dyDescent="0.25">
      <c r="F177" t="s">
        <v>933</v>
      </c>
      <c r="G177" t="s">
        <v>170</v>
      </c>
      <c r="H177" t="s">
        <v>145</v>
      </c>
      <c r="J177" s="202"/>
      <c r="K177" s="198"/>
      <c r="L177" s="202"/>
      <c r="M177" s="202"/>
      <c r="N177" s="202"/>
      <c r="O177" s="202"/>
      <c r="P177" s="202"/>
      <c r="Q177" s="202"/>
      <c r="R177" s="202"/>
      <c r="S177" s="202"/>
    </row>
    <row r="178" spans="3:21" x14ac:dyDescent="0.25">
      <c r="F178" t="s">
        <v>934</v>
      </c>
      <c r="G178" t="s">
        <v>170</v>
      </c>
      <c r="H178" t="s">
        <v>145</v>
      </c>
      <c r="J178" s="202"/>
      <c r="K178" s="198"/>
      <c r="L178" s="202"/>
      <c r="M178" s="202"/>
      <c r="N178" s="202"/>
      <c r="O178" s="202"/>
      <c r="P178" s="202"/>
      <c r="Q178" s="202"/>
      <c r="R178" s="202"/>
      <c r="S178" s="202"/>
    </row>
    <row r="179" spans="3:21" x14ac:dyDescent="0.25">
      <c r="F179" t="s">
        <v>935</v>
      </c>
      <c r="G179" t="s">
        <v>170</v>
      </c>
      <c r="H179" t="s">
        <v>145</v>
      </c>
      <c r="J179" s="197">
        <f t="shared" ref="J179" si="26">CHOOSE(year_selection, L179,M179,N179,O179,P179,Q179,R179,S179)</f>
        <v>5379.1220000000003</v>
      </c>
      <c r="K179" s="198"/>
      <c r="L179" s="281"/>
      <c r="M179" s="281">
        <v>4942.8</v>
      </c>
      <c r="N179" s="281">
        <v>5359.0929999999998</v>
      </c>
      <c r="O179" s="281">
        <v>5379.1220000000003</v>
      </c>
      <c r="P179" s="281">
        <f t="shared" ref="P179:S183" si="27">$O179</f>
        <v>5379.1220000000003</v>
      </c>
      <c r="Q179" s="281">
        <f t="shared" si="27"/>
        <v>5379.1220000000003</v>
      </c>
      <c r="R179" s="281">
        <f t="shared" si="27"/>
        <v>5379.1220000000003</v>
      </c>
      <c r="S179" s="281">
        <f t="shared" si="27"/>
        <v>5379.1220000000003</v>
      </c>
    </row>
    <row r="180" spans="3:21" x14ac:dyDescent="0.25">
      <c r="F180" t="s">
        <v>936</v>
      </c>
      <c r="G180" t="s">
        <v>170</v>
      </c>
      <c r="H180" t="s">
        <v>145</v>
      </c>
      <c r="J180" s="202"/>
      <c r="K180" s="198"/>
      <c r="L180" s="202"/>
      <c r="M180" s="202"/>
      <c r="N180" s="202"/>
      <c r="O180" s="202"/>
      <c r="P180" s="202"/>
      <c r="Q180" s="202"/>
      <c r="R180" s="202"/>
      <c r="S180" s="202"/>
    </row>
    <row r="181" spans="3:21" x14ac:dyDescent="0.25">
      <c r="F181" t="s">
        <v>937</v>
      </c>
      <c r="G181" t="s">
        <v>170</v>
      </c>
      <c r="H181" t="s">
        <v>145</v>
      </c>
      <c r="J181" s="197">
        <f t="shared" ref="J181" si="28">CHOOSE(year_selection, L181,M181,N181,O181,P181,Q181,R181,S181)</f>
        <v>157.29499999999999</v>
      </c>
      <c r="K181" s="198"/>
      <c r="L181" s="281"/>
      <c r="M181" s="281">
        <v>480</v>
      </c>
      <c r="N181" s="281">
        <v>465.96800000000002</v>
      </c>
      <c r="O181" s="281">
        <v>157.29499999999999</v>
      </c>
      <c r="P181" s="281">
        <f t="shared" si="27"/>
        <v>157.29499999999999</v>
      </c>
      <c r="Q181" s="281">
        <f t="shared" si="27"/>
        <v>157.29499999999999</v>
      </c>
      <c r="R181" s="281">
        <f t="shared" si="27"/>
        <v>157.29499999999999</v>
      </c>
      <c r="S181" s="281">
        <f t="shared" si="27"/>
        <v>157.29499999999999</v>
      </c>
    </row>
    <row r="182" spans="3:21" x14ac:dyDescent="0.25">
      <c r="F182" t="s">
        <v>938</v>
      </c>
      <c r="G182" t="s">
        <v>170</v>
      </c>
      <c r="H182" t="s">
        <v>145</v>
      </c>
      <c r="J182" s="202"/>
      <c r="K182" s="198"/>
      <c r="L182" s="202"/>
      <c r="M182" s="202"/>
      <c r="N182" s="202"/>
      <c r="O182" s="202"/>
      <c r="P182" s="202"/>
      <c r="Q182" s="202"/>
      <c r="R182" s="202"/>
      <c r="S182" s="202"/>
    </row>
    <row r="183" spans="3:21" x14ac:dyDescent="0.25">
      <c r="F183" t="s">
        <v>939</v>
      </c>
      <c r="G183" t="s">
        <v>170</v>
      </c>
      <c r="H183" t="s">
        <v>145</v>
      </c>
      <c r="J183" s="197">
        <f t="shared" ref="J183" si="29">CHOOSE(year_selection, L183,M183,N183,O183,P183,Q183,R183,S183)</f>
        <v>20692.973000000002</v>
      </c>
      <c r="K183" s="198"/>
      <c r="L183" s="281"/>
      <c r="M183" s="281">
        <v>19260</v>
      </c>
      <c r="N183" s="281">
        <v>20470.84</v>
      </c>
      <c r="O183" s="281">
        <v>20692.973000000002</v>
      </c>
      <c r="P183" s="281">
        <f t="shared" si="27"/>
        <v>20692.973000000002</v>
      </c>
      <c r="Q183" s="281">
        <f t="shared" si="27"/>
        <v>20692.973000000002</v>
      </c>
      <c r="R183" s="281">
        <f t="shared" si="27"/>
        <v>20692.973000000002</v>
      </c>
      <c r="S183" s="281">
        <f t="shared" si="27"/>
        <v>20692.973000000002</v>
      </c>
    </row>
    <row r="184" spans="3:21" x14ac:dyDescent="0.25">
      <c r="F184" s="17" t="s">
        <v>940</v>
      </c>
      <c r="G184" s="17" t="s">
        <v>170</v>
      </c>
      <c r="H184" s="17" t="s">
        <v>145</v>
      </c>
      <c r="I184" s="122"/>
      <c r="J184" s="203"/>
      <c r="K184" s="200"/>
      <c r="L184" s="203"/>
      <c r="M184" s="203"/>
      <c r="N184" s="203"/>
      <c r="O184" s="203"/>
      <c r="P184" s="203"/>
      <c r="Q184" s="203"/>
      <c r="R184" s="203"/>
      <c r="S184" s="203"/>
    </row>
    <row r="185" spans="3:21" x14ac:dyDescent="0.25">
      <c r="J185" s="198"/>
      <c r="K185" s="198"/>
      <c r="L185" s="198"/>
      <c r="M185" s="198"/>
      <c r="N185" s="198"/>
      <c r="O185" s="198"/>
      <c r="P185" s="198"/>
      <c r="Q185" s="198"/>
      <c r="R185" s="198"/>
      <c r="S185" s="198"/>
    </row>
    <row r="186" spans="3:21" x14ac:dyDescent="0.25">
      <c r="C186" s="5" t="str">
        <f ca="1">INDEX('Version control'!$H$36:$H$62,MATCH($A$1,'Version control'!$F$36:$F$62,0),1)&amp;"-D: All-the-way volumes - Residual Band 1"</f>
        <v>Input 501-D: All-the-way volumes - Residual Band 1</v>
      </c>
      <c r="D186" s="5"/>
      <c r="E186" s="5"/>
      <c r="F186" s="5"/>
      <c r="G186" s="5"/>
      <c r="H186" s="5"/>
      <c r="I186" s="143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</row>
    <row r="187" spans="3:21" x14ac:dyDescent="0.25">
      <c r="C187" s="52"/>
    </row>
    <row r="188" spans="3:21" x14ac:dyDescent="0.25">
      <c r="E188" s="121" t="s">
        <v>199</v>
      </c>
      <c r="I188" s="59" t="s">
        <v>359</v>
      </c>
      <c r="U188" t="s">
        <v>691</v>
      </c>
    </row>
    <row r="189" spans="3:21" x14ac:dyDescent="0.25">
      <c r="F189" s="80" t="s">
        <v>925</v>
      </c>
      <c r="G189" s="80" t="s">
        <v>120</v>
      </c>
      <c r="H189" s="80" t="s">
        <v>145</v>
      </c>
      <c r="I189" s="94"/>
      <c r="J189" s="195">
        <f t="shared" ref="J189:J196" si="30">CHOOSE(year_selection, L189,M189,N189,O189,P189,Q189,R189,S189)</f>
        <v>690665.52756605227</v>
      </c>
      <c r="K189" s="196"/>
      <c r="L189" s="280"/>
      <c r="M189" s="280">
        <v>814734.23342796415</v>
      </c>
      <c r="N189" s="280">
        <v>734930.86414467008</v>
      </c>
      <c r="O189" s="280">
        <v>690665.52756605227</v>
      </c>
      <c r="P189" s="280">
        <f t="shared" ref="P189:S189" si="31">$O189</f>
        <v>690665.52756605227</v>
      </c>
      <c r="Q189" s="280">
        <f t="shared" si="31"/>
        <v>690665.52756605227</v>
      </c>
      <c r="R189" s="280">
        <f t="shared" si="31"/>
        <v>690665.52756605227</v>
      </c>
      <c r="S189" s="280">
        <f t="shared" si="31"/>
        <v>690665.52756605227</v>
      </c>
    </row>
    <row r="190" spans="3:21" x14ac:dyDescent="0.25">
      <c r="F190" t="s">
        <v>926</v>
      </c>
      <c r="G190" t="s">
        <v>120</v>
      </c>
      <c r="H190" t="s">
        <v>145</v>
      </c>
      <c r="J190" s="202"/>
      <c r="K190" s="198"/>
      <c r="L190" s="202"/>
      <c r="M190" s="202"/>
      <c r="N190" s="202"/>
      <c r="O190" s="202"/>
      <c r="P190" s="202"/>
      <c r="Q190" s="202"/>
      <c r="R190" s="202"/>
      <c r="S190" s="202"/>
    </row>
    <row r="191" spans="3:21" x14ac:dyDescent="0.25">
      <c r="F191" t="s">
        <v>927</v>
      </c>
      <c r="G191" t="s">
        <v>120</v>
      </c>
      <c r="H191" t="s">
        <v>145</v>
      </c>
      <c r="J191" s="197">
        <f t="shared" si="30"/>
        <v>16636.262053683062</v>
      </c>
      <c r="K191" s="198"/>
      <c r="L191" s="281"/>
      <c r="M191" s="281">
        <v>5025.1767360487274</v>
      </c>
      <c r="N191" s="281">
        <v>14090.230244677536</v>
      </c>
      <c r="O191" s="281">
        <v>16636.262053683062</v>
      </c>
      <c r="P191" s="281">
        <f t="shared" ref="P191:S191" si="32">$O191</f>
        <v>16636.262053683062</v>
      </c>
      <c r="Q191" s="281">
        <f t="shared" si="32"/>
        <v>16636.262053683062</v>
      </c>
      <c r="R191" s="281">
        <f t="shared" si="32"/>
        <v>16636.262053683062</v>
      </c>
      <c r="S191" s="281">
        <f t="shared" si="32"/>
        <v>16636.262053683062</v>
      </c>
    </row>
    <row r="192" spans="3:21" x14ac:dyDescent="0.25">
      <c r="F192" t="s">
        <v>928</v>
      </c>
      <c r="G192" t="s">
        <v>120</v>
      </c>
      <c r="H192" t="s">
        <v>145</v>
      </c>
      <c r="J192" s="202"/>
      <c r="K192" s="198"/>
      <c r="L192" s="202"/>
      <c r="M192" s="202"/>
      <c r="N192" s="202"/>
      <c r="O192" s="202"/>
      <c r="P192" s="202"/>
      <c r="Q192" s="202"/>
      <c r="R192" s="202"/>
      <c r="S192" s="202"/>
    </row>
    <row r="193" spans="5:19" x14ac:dyDescent="0.25">
      <c r="F193" t="s">
        <v>929</v>
      </c>
      <c r="G193" t="s">
        <v>120</v>
      </c>
      <c r="H193" t="s">
        <v>145</v>
      </c>
      <c r="J193" s="197">
        <f t="shared" si="30"/>
        <v>45771.541992618622</v>
      </c>
      <c r="K193" s="198"/>
      <c r="L193" s="281"/>
      <c r="M193" s="281">
        <v>40489.018162789434</v>
      </c>
      <c r="N193" s="281">
        <v>49121.252387386681</v>
      </c>
      <c r="O193" s="281">
        <v>45771.541992618622</v>
      </c>
      <c r="P193" s="281">
        <f t="shared" ref="P193:S196" si="33">$O193</f>
        <v>45771.541992618622</v>
      </c>
      <c r="Q193" s="281">
        <f t="shared" si="33"/>
        <v>45771.541992618622</v>
      </c>
      <c r="R193" s="281">
        <f t="shared" si="33"/>
        <v>45771.541992618622</v>
      </c>
      <c r="S193" s="281">
        <f t="shared" si="33"/>
        <v>45771.541992618622</v>
      </c>
    </row>
    <row r="194" spans="5:19" x14ac:dyDescent="0.25">
      <c r="F194" t="s">
        <v>930</v>
      </c>
      <c r="G194" t="s">
        <v>120</v>
      </c>
      <c r="H194" t="s">
        <v>145</v>
      </c>
      <c r="J194" s="197">
        <f t="shared" si="30"/>
        <v>138.40406993184831</v>
      </c>
      <c r="K194" s="198"/>
      <c r="L194" s="281"/>
      <c r="M194" s="281">
        <v>72.388226761995</v>
      </c>
      <c r="N194" s="281">
        <v>100.84234670579941</v>
      </c>
      <c r="O194" s="281">
        <v>138.40406993184831</v>
      </c>
      <c r="P194" s="281">
        <f t="shared" si="33"/>
        <v>138.40406993184831</v>
      </c>
      <c r="Q194" s="281">
        <f t="shared" si="33"/>
        <v>138.40406993184831</v>
      </c>
      <c r="R194" s="281">
        <f t="shared" si="33"/>
        <v>138.40406993184831</v>
      </c>
      <c r="S194" s="281">
        <f t="shared" si="33"/>
        <v>138.40406993184831</v>
      </c>
    </row>
    <row r="195" spans="5:19" x14ac:dyDescent="0.25">
      <c r="F195" t="s">
        <v>931</v>
      </c>
      <c r="G195" t="s">
        <v>120</v>
      </c>
      <c r="H195" t="s">
        <v>145</v>
      </c>
      <c r="J195" s="197">
        <f t="shared" si="30"/>
        <v>16825.160368042096</v>
      </c>
      <c r="K195" s="198"/>
      <c r="L195" s="281"/>
      <c r="M195" s="281">
        <v>18826.487595751969</v>
      </c>
      <c r="N195" s="281">
        <v>19110.567113881305</v>
      </c>
      <c r="O195" s="281">
        <v>16825.160368042096</v>
      </c>
      <c r="P195" s="281">
        <f t="shared" si="33"/>
        <v>16825.160368042096</v>
      </c>
      <c r="Q195" s="281">
        <f t="shared" si="33"/>
        <v>16825.160368042096</v>
      </c>
      <c r="R195" s="281">
        <f t="shared" si="33"/>
        <v>16825.160368042096</v>
      </c>
      <c r="S195" s="281">
        <f t="shared" si="33"/>
        <v>16825.160368042096</v>
      </c>
    </row>
    <row r="196" spans="5:19" x14ac:dyDescent="0.25">
      <c r="F196" t="s">
        <v>932</v>
      </c>
      <c r="G196" t="s">
        <v>120</v>
      </c>
      <c r="H196" t="s">
        <v>145</v>
      </c>
      <c r="J196" s="197">
        <f t="shared" si="30"/>
        <v>11180.532790656171</v>
      </c>
      <c r="K196" s="198"/>
      <c r="L196" s="281"/>
      <c r="M196" s="281">
        <v>13738.232009320804</v>
      </c>
      <c r="N196" s="281">
        <v>12534.418280886401</v>
      </c>
      <c r="O196" s="281">
        <v>11180.532790656171</v>
      </c>
      <c r="P196" s="281">
        <f t="shared" si="33"/>
        <v>11180.532790656171</v>
      </c>
      <c r="Q196" s="281">
        <f t="shared" si="33"/>
        <v>11180.532790656171</v>
      </c>
      <c r="R196" s="281">
        <f t="shared" si="33"/>
        <v>11180.532790656171</v>
      </c>
      <c r="S196" s="281">
        <f t="shared" si="33"/>
        <v>11180.532790656171</v>
      </c>
    </row>
    <row r="197" spans="5:19" x14ac:dyDescent="0.25">
      <c r="F197" t="s">
        <v>933</v>
      </c>
      <c r="G197" t="s">
        <v>120</v>
      </c>
      <c r="H197" t="s">
        <v>145</v>
      </c>
      <c r="J197" s="202"/>
      <c r="K197" s="198"/>
      <c r="L197" s="202"/>
      <c r="M197" s="202"/>
      <c r="N197" s="202"/>
      <c r="O197" s="202"/>
      <c r="P197" s="202"/>
      <c r="Q197" s="202"/>
      <c r="R197" s="202"/>
      <c r="S197" s="202"/>
    </row>
    <row r="198" spans="5:19" x14ac:dyDescent="0.25">
      <c r="F198" t="s">
        <v>934</v>
      </c>
      <c r="G198" t="s">
        <v>120</v>
      </c>
      <c r="H198" t="s">
        <v>145</v>
      </c>
      <c r="J198" s="202"/>
      <c r="K198" s="198"/>
      <c r="L198" s="202"/>
      <c r="M198" s="202"/>
      <c r="N198" s="202"/>
      <c r="O198" s="202"/>
      <c r="P198" s="202"/>
      <c r="Q198" s="202"/>
      <c r="R198" s="202"/>
      <c r="S198" s="202"/>
    </row>
    <row r="199" spans="5:19" x14ac:dyDescent="0.25">
      <c r="F199" t="s">
        <v>935</v>
      </c>
      <c r="G199" t="s">
        <v>120</v>
      </c>
      <c r="H199" t="s">
        <v>145</v>
      </c>
      <c r="J199" s="202"/>
      <c r="K199" s="198"/>
      <c r="L199" s="202"/>
      <c r="M199" s="202"/>
      <c r="N199" s="202"/>
      <c r="O199" s="202"/>
      <c r="P199" s="202"/>
      <c r="Q199" s="202"/>
      <c r="R199" s="202"/>
      <c r="S199" s="202"/>
    </row>
    <row r="200" spans="5:19" x14ac:dyDescent="0.25">
      <c r="F200" t="s">
        <v>936</v>
      </c>
      <c r="G200" t="s">
        <v>120</v>
      </c>
      <c r="H200" t="s">
        <v>145</v>
      </c>
      <c r="J200" s="202"/>
      <c r="K200" s="198"/>
      <c r="L200" s="202"/>
      <c r="M200" s="202"/>
      <c r="N200" s="202"/>
      <c r="O200" s="202"/>
      <c r="P200" s="202"/>
      <c r="Q200" s="202"/>
      <c r="R200" s="202"/>
      <c r="S200" s="202"/>
    </row>
    <row r="201" spans="5:19" x14ac:dyDescent="0.25">
      <c r="F201" t="s">
        <v>937</v>
      </c>
      <c r="G201" t="s">
        <v>120</v>
      </c>
      <c r="H201" t="s">
        <v>145</v>
      </c>
      <c r="J201" s="202"/>
      <c r="K201" s="198"/>
      <c r="L201" s="202"/>
      <c r="M201" s="202"/>
      <c r="N201" s="202"/>
      <c r="O201" s="202"/>
      <c r="P201" s="202"/>
      <c r="Q201" s="202"/>
      <c r="R201" s="202"/>
      <c r="S201" s="202"/>
    </row>
    <row r="202" spans="5:19" x14ac:dyDescent="0.25">
      <c r="F202" t="s">
        <v>938</v>
      </c>
      <c r="G202" t="s">
        <v>120</v>
      </c>
      <c r="H202" t="s">
        <v>145</v>
      </c>
      <c r="J202" s="202"/>
      <c r="K202" s="198"/>
      <c r="L202" s="202"/>
      <c r="M202" s="202"/>
      <c r="N202" s="202"/>
      <c r="O202" s="202"/>
      <c r="P202" s="202"/>
      <c r="Q202" s="202"/>
      <c r="R202" s="202"/>
      <c r="S202" s="202"/>
    </row>
    <row r="203" spans="5:19" x14ac:dyDescent="0.25">
      <c r="F203" t="s">
        <v>939</v>
      </c>
      <c r="G203" t="s">
        <v>120</v>
      </c>
      <c r="H203" t="s">
        <v>145</v>
      </c>
      <c r="J203" s="202"/>
      <c r="K203" s="198"/>
      <c r="L203" s="202"/>
      <c r="M203" s="202"/>
      <c r="N203" s="202"/>
      <c r="O203" s="202"/>
      <c r="P203" s="202"/>
      <c r="Q203" s="202"/>
      <c r="R203" s="202"/>
      <c r="S203" s="202"/>
    </row>
    <row r="204" spans="5:19" x14ac:dyDescent="0.25">
      <c r="F204" s="17" t="s">
        <v>940</v>
      </c>
      <c r="G204" s="17" t="s">
        <v>120</v>
      </c>
      <c r="H204" s="17" t="s">
        <v>145</v>
      </c>
      <c r="I204" s="122"/>
      <c r="J204" s="203"/>
      <c r="K204" s="200"/>
      <c r="L204" s="203"/>
      <c r="M204" s="203"/>
      <c r="N204" s="203"/>
      <c r="O204" s="203"/>
      <c r="P204" s="203"/>
      <c r="Q204" s="203"/>
      <c r="R204" s="203"/>
      <c r="S204" s="203"/>
    </row>
    <row r="205" spans="5:19" x14ac:dyDescent="0.25">
      <c r="J205" s="198"/>
      <c r="K205" s="198"/>
      <c r="L205" s="198"/>
      <c r="M205" s="198"/>
      <c r="N205" s="198"/>
      <c r="O205" s="198"/>
      <c r="P205" s="198"/>
      <c r="Q205" s="198"/>
      <c r="R205" s="198"/>
      <c r="S205" s="198"/>
    </row>
    <row r="206" spans="5:19" x14ac:dyDescent="0.25">
      <c r="E206" s="121" t="s">
        <v>200</v>
      </c>
      <c r="J206" s="198"/>
      <c r="K206" s="198"/>
      <c r="L206" s="198"/>
      <c r="M206" s="198"/>
      <c r="N206" s="198"/>
      <c r="O206" s="198"/>
      <c r="P206" s="198"/>
      <c r="Q206" s="198"/>
      <c r="R206" s="198"/>
      <c r="S206" s="198"/>
    </row>
    <row r="207" spans="5:19" x14ac:dyDescent="0.25">
      <c r="F207" s="80" t="s">
        <v>925</v>
      </c>
      <c r="G207" s="80" t="s">
        <v>120</v>
      </c>
      <c r="H207" s="80" t="s">
        <v>145</v>
      </c>
      <c r="I207" s="94"/>
      <c r="J207" s="195">
        <f t="shared" ref="J207" si="34">CHOOSE(year_selection, L207,M207,N207,O207,P207,Q207,R207,S207)</f>
        <v>2376763.4827184244</v>
      </c>
      <c r="K207" s="196"/>
      <c r="L207" s="280"/>
      <c r="M207" s="280">
        <v>2891785.7794921189</v>
      </c>
      <c r="N207" s="280">
        <v>2609322.9738097521</v>
      </c>
      <c r="O207" s="280">
        <v>2376763.4827184244</v>
      </c>
      <c r="P207" s="280">
        <f t="shared" ref="P207:S207" si="35">$O207</f>
        <v>2376763.4827184244</v>
      </c>
      <c r="Q207" s="280">
        <f t="shared" si="35"/>
        <v>2376763.4827184244</v>
      </c>
      <c r="R207" s="280">
        <f t="shared" si="35"/>
        <v>2376763.4827184244</v>
      </c>
      <c r="S207" s="280">
        <f t="shared" si="35"/>
        <v>2376763.4827184244</v>
      </c>
    </row>
    <row r="208" spans="5:19" x14ac:dyDescent="0.25">
      <c r="F208" t="s">
        <v>926</v>
      </c>
      <c r="G208" t="s">
        <v>120</v>
      </c>
      <c r="H208" t="s">
        <v>145</v>
      </c>
      <c r="J208" s="202"/>
      <c r="K208" s="198"/>
      <c r="L208" s="202"/>
      <c r="M208" s="202"/>
      <c r="N208" s="202"/>
      <c r="O208" s="202"/>
      <c r="P208" s="202"/>
      <c r="Q208" s="202"/>
      <c r="R208" s="202"/>
      <c r="S208" s="202"/>
    </row>
    <row r="209" spans="5:19" x14ac:dyDescent="0.25">
      <c r="F209" t="s">
        <v>927</v>
      </c>
      <c r="G209" t="s">
        <v>120</v>
      </c>
      <c r="H209" t="s">
        <v>145</v>
      </c>
      <c r="J209" s="197">
        <f t="shared" ref="J209" si="36">CHOOSE(year_selection, L209,M209,N209,O209,P209,Q209,R209,S209)</f>
        <v>85547.074068350208</v>
      </c>
      <c r="K209" s="198"/>
      <c r="L209" s="281"/>
      <c r="M209" s="281">
        <v>27195.506082277992</v>
      </c>
      <c r="N209" s="281">
        <v>76254.221980086295</v>
      </c>
      <c r="O209" s="281">
        <v>85547.074068350208</v>
      </c>
      <c r="P209" s="281">
        <f t="shared" ref="P209:S209" si="37">$O209</f>
        <v>85547.074068350208</v>
      </c>
      <c r="Q209" s="281">
        <f t="shared" si="37"/>
        <v>85547.074068350208</v>
      </c>
      <c r="R209" s="281">
        <f t="shared" si="37"/>
        <v>85547.074068350208</v>
      </c>
      <c r="S209" s="281">
        <f t="shared" si="37"/>
        <v>85547.074068350208</v>
      </c>
    </row>
    <row r="210" spans="5:19" x14ac:dyDescent="0.25">
      <c r="F210" t="s">
        <v>928</v>
      </c>
      <c r="G210" t="s">
        <v>120</v>
      </c>
      <c r="H210" t="s">
        <v>145</v>
      </c>
      <c r="J210" s="202"/>
      <c r="K210" s="198"/>
      <c r="L210" s="202"/>
      <c r="M210" s="202"/>
      <c r="N210" s="202"/>
      <c r="O210" s="202"/>
      <c r="P210" s="202"/>
      <c r="Q210" s="202"/>
      <c r="R210" s="202"/>
      <c r="S210" s="202"/>
    </row>
    <row r="211" spans="5:19" x14ac:dyDescent="0.25">
      <c r="F211" t="s">
        <v>929</v>
      </c>
      <c r="G211" t="s">
        <v>120</v>
      </c>
      <c r="H211" t="s">
        <v>145</v>
      </c>
      <c r="J211" s="197">
        <f t="shared" ref="J211:J214" si="38">CHOOSE(year_selection, L211,M211,N211,O211,P211,Q211,R211,S211)</f>
        <v>219596.50368094287</v>
      </c>
      <c r="K211" s="198"/>
      <c r="L211" s="281"/>
      <c r="M211" s="281">
        <v>194194.8409775992</v>
      </c>
      <c r="N211" s="281">
        <v>235602.60190179193</v>
      </c>
      <c r="O211" s="281">
        <v>219596.50368094287</v>
      </c>
      <c r="P211" s="281">
        <f t="shared" ref="P211:S214" si="39">$O211</f>
        <v>219596.50368094287</v>
      </c>
      <c r="Q211" s="281">
        <f t="shared" si="39"/>
        <v>219596.50368094287</v>
      </c>
      <c r="R211" s="281">
        <f t="shared" si="39"/>
        <v>219596.50368094287</v>
      </c>
      <c r="S211" s="281">
        <f t="shared" si="39"/>
        <v>219596.50368094287</v>
      </c>
    </row>
    <row r="212" spans="5:19" x14ac:dyDescent="0.25">
      <c r="F212" t="s">
        <v>930</v>
      </c>
      <c r="G212" t="s">
        <v>120</v>
      </c>
      <c r="H212" t="s">
        <v>145</v>
      </c>
      <c r="J212" s="197">
        <f t="shared" si="38"/>
        <v>645.06358599246971</v>
      </c>
      <c r="K212" s="198"/>
      <c r="L212" s="281"/>
      <c r="M212" s="281">
        <v>340.71484158405138</v>
      </c>
      <c r="N212" s="281">
        <v>474.74920102298637</v>
      </c>
      <c r="O212" s="281">
        <v>645.06358599246971</v>
      </c>
      <c r="P212" s="281">
        <f t="shared" si="39"/>
        <v>645.06358599246971</v>
      </c>
      <c r="Q212" s="281">
        <f t="shared" si="39"/>
        <v>645.06358599246971</v>
      </c>
      <c r="R212" s="281">
        <f t="shared" si="39"/>
        <v>645.06358599246971</v>
      </c>
      <c r="S212" s="281">
        <f t="shared" si="39"/>
        <v>645.06358599246971</v>
      </c>
    </row>
    <row r="213" spans="5:19" x14ac:dyDescent="0.25">
      <c r="F213" t="s">
        <v>931</v>
      </c>
      <c r="G213" t="s">
        <v>120</v>
      </c>
      <c r="H213" t="s">
        <v>145</v>
      </c>
      <c r="J213" s="197">
        <f t="shared" si="38"/>
        <v>78034.847176332449</v>
      </c>
      <c r="K213" s="198"/>
      <c r="L213" s="281"/>
      <c r="M213" s="281">
        <v>87502.211244878403</v>
      </c>
      <c r="N213" s="281">
        <v>88827.375405332248</v>
      </c>
      <c r="O213" s="281">
        <v>78034.847176332449</v>
      </c>
      <c r="P213" s="281">
        <f t="shared" si="39"/>
        <v>78034.847176332449</v>
      </c>
      <c r="Q213" s="281">
        <f t="shared" si="39"/>
        <v>78034.847176332449</v>
      </c>
      <c r="R213" s="281">
        <f t="shared" si="39"/>
        <v>78034.847176332449</v>
      </c>
      <c r="S213" s="281">
        <f t="shared" si="39"/>
        <v>78034.847176332449</v>
      </c>
    </row>
    <row r="214" spans="5:19" x14ac:dyDescent="0.25">
      <c r="F214" t="s">
        <v>932</v>
      </c>
      <c r="G214" t="s">
        <v>120</v>
      </c>
      <c r="H214" t="s">
        <v>145</v>
      </c>
      <c r="J214" s="197">
        <f t="shared" si="38"/>
        <v>64407.420619468379</v>
      </c>
      <c r="K214" s="198"/>
      <c r="L214" s="281"/>
      <c r="M214" s="281">
        <v>52187.405138077207</v>
      </c>
      <c r="N214" s="281">
        <v>61630.05389272295</v>
      </c>
      <c r="O214" s="281">
        <v>64407.420619468379</v>
      </c>
      <c r="P214" s="281">
        <f t="shared" si="39"/>
        <v>64407.420619468379</v>
      </c>
      <c r="Q214" s="281">
        <f t="shared" si="39"/>
        <v>64407.420619468379</v>
      </c>
      <c r="R214" s="281">
        <f t="shared" si="39"/>
        <v>64407.420619468379</v>
      </c>
      <c r="S214" s="281">
        <f t="shared" si="39"/>
        <v>64407.420619468379</v>
      </c>
    </row>
    <row r="215" spans="5:19" x14ac:dyDescent="0.25">
      <c r="F215" t="s">
        <v>933</v>
      </c>
      <c r="G215" t="s">
        <v>120</v>
      </c>
      <c r="H215" t="s">
        <v>145</v>
      </c>
      <c r="J215" s="202"/>
      <c r="K215" s="198"/>
      <c r="L215" s="202"/>
      <c r="M215" s="202"/>
      <c r="N215" s="202"/>
      <c r="O215" s="202"/>
      <c r="P215" s="202"/>
      <c r="Q215" s="202"/>
      <c r="R215" s="202"/>
      <c r="S215" s="202"/>
    </row>
    <row r="216" spans="5:19" x14ac:dyDescent="0.25">
      <c r="F216" t="s">
        <v>934</v>
      </c>
      <c r="G216" t="s">
        <v>120</v>
      </c>
      <c r="H216" t="s">
        <v>145</v>
      </c>
      <c r="J216" s="202"/>
      <c r="K216" s="198"/>
      <c r="L216" s="202"/>
      <c r="M216" s="202"/>
      <c r="N216" s="202"/>
      <c r="O216" s="202"/>
      <c r="P216" s="202"/>
      <c r="Q216" s="202"/>
      <c r="R216" s="202"/>
      <c r="S216" s="202"/>
    </row>
    <row r="217" spans="5:19" x14ac:dyDescent="0.25">
      <c r="F217" t="s">
        <v>935</v>
      </c>
      <c r="G217" t="s">
        <v>120</v>
      </c>
      <c r="H217" t="s">
        <v>145</v>
      </c>
      <c r="J217" s="202"/>
      <c r="K217" s="198"/>
      <c r="L217" s="202"/>
      <c r="M217" s="202"/>
      <c r="N217" s="202"/>
      <c r="O217" s="202"/>
      <c r="P217" s="202"/>
      <c r="Q217" s="202"/>
      <c r="R217" s="202"/>
      <c r="S217" s="202"/>
    </row>
    <row r="218" spans="5:19" x14ac:dyDescent="0.25">
      <c r="F218" t="s">
        <v>936</v>
      </c>
      <c r="G218" t="s">
        <v>120</v>
      </c>
      <c r="H218" t="s">
        <v>145</v>
      </c>
      <c r="J218" s="202"/>
      <c r="K218" s="198"/>
      <c r="L218" s="202"/>
      <c r="M218" s="202"/>
      <c r="N218" s="202"/>
      <c r="O218" s="202"/>
      <c r="P218" s="202"/>
      <c r="Q218" s="202"/>
      <c r="R218" s="202"/>
      <c r="S218" s="202"/>
    </row>
    <row r="219" spans="5:19" x14ac:dyDescent="0.25">
      <c r="F219" t="s">
        <v>937</v>
      </c>
      <c r="G219" t="s">
        <v>120</v>
      </c>
      <c r="H219" t="s">
        <v>145</v>
      </c>
      <c r="J219" s="202"/>
      <c r="K219" s="198"/>
      <c r="L219" s="202"/>
      <c r="M219" s="202"/>
      <c r="N219" s="202"/>
      <c r="O219" s="202"/>
      <c r="P219" s="202"/>
      <c r="Q219" s="202"/>
      <c r="R219" s="202"/>
      <c r="S219" s="202"/>
    </row>
    <row r="220" spans="5:19" x14ac:dyDescent="0.25">
      <c r="F220" t="s">
        <v>938</v>
      </c>
      <c r="G220" t="s">
        <v>120</v>
      </c>
      <c r="H220" t="s">
        <v>145</v>
      </c>
      <c r="J220" s="202"/>
      <c r="K220" s="198"/>
      <c r="L220" s="202"/>
      <c r="M220" s="202"/>
      <c r="N220" s="202"/>
      <c r="O220" s="202"/>
      <c r="P220" s="202"/>
      <c r="Q220" s="202"/>
      <c r="R220" s="202"/>
      <c r="S220" s="202"/>
    </row>
    <row r="221" spans="5:19" x14ac:dyDescent="0.25">
      <c r="F221" t="s">
        <v>939</v>
      </c>
      <c r="G221" t="s">
        <v>120</v>
      </c>
      <c r="H221" t="s">
        <v>145</v>
      </c>
      <c r="J221" s="202"/>
      <c r="K221" s="198"/>
      <c r="L221" s="202"/>
      <c r="M221" s="202"/>
      <c r="N221" s="202"/>
      <c r="O221" s="202"/>
      <c r="P221" s="202"/>
      <c r="Q221" s="202"/>
      <c r="R221" s="202"/>
      <c r="S221" s="202"/>
    </row>
    <row r="222" spans="5:19" x14ac:dyDescent="0.25">
      <c r="F222" s="17" t="s">
        <v>940</v>
      </c>
      <c r="G222" s="17" t="s">
        <v>120</v>
      </c>
      <c r="H222" s="17" t="s">
        <v>145</v>
      </c>
      <c r="I222" s="122"/>
      <c r="J222" s="203"/>
      <c r="K222" s="200"/>
      <c r="L222" s="203"/>
      <c r="M222" s="203"/>
      <c r="N222" s="203"/>
      <c r="O222" s="203"/>
      <c r="P222" s="203"/>
      <c r="Q222" s="203"/>
      <c r="R222" s="203"/>
      <c r="S222" s="203"/>
    </row>
    <row r="223" spans="5:19" x14ac:dyDescent="0.25">
      <c r="J223" s="198"/>
      <c r="K223" s="198"/>
      <c r="L223" s="198"/>
      <c r="M223" s="198"/>
      <c r="N223" s="198"/>
      <c r="O223" s="198"/>
      <c r="P223" s="198"/>
      <c r="Q223" s="198"/>
      <c r="R223" s="198"/>
      <c r="S223" s="198"/>
    </row>
    <row r="224" spans="5:19" x14ac:dyDescent="0.25">
      <c r="E224" s="121" t="s">
        <v>201</v>
      </c>
      <c r="J224" s="198"/>
      <c r="K224" s="198"/>
      <c r="L224" s="198"/>
      <c r="M224" s="198"/>
      <c r="N224" s="198"/>
      <c r="O224" s="198"/>
      <c r="P224" s="198"/>
      <c r="Q224" s="198"/>
      <c r="R224" s="198"/>
      <c r="S224" s="198"/>
    </row>
    <row r="225" spans="6:19" x14ac:dyDescent="0.25">
      <c r="F225" s="80" t="s">
        <v>925</v>
      </c>
      <c r="G225" s="80" t="s">
        <v>120</v>
      </c>
      <c r="H225" s="80" t="s">
        <v>145</v>
      </c>
      <c r="I225" s="94"/>
      <c r="J225" s="195">
        <f t="shared" ref="J225" si="40">CHOOSE(year_selection, L225,M225,N225,O225,P225,Q225,R225,S225)</f>
        <v>2257194.3085960886</v>
      </c>
      <c r="K225" s="196"/>
      <c r="L225" s="280"/>
      <c r="M225" s="280">
        <v>2663572.2672750982</v>
      </c>
      <c r="N225" s="280">
        <v>2404819.4055980933</v>
      </c>
      <c r="O225" s="280">
        <v>2257194.3085960886</v>
      </c>
      <c r="P225" s="280">
        <f t="shared" ref="P225:S225" si="41">$O225</f>
        <v>2257194.3085960886</v>
      </c>
      <c r="Q225" s="280">
        <f t="shared" si="41"/>
        <v>2257194.3085960886</v>
      </c>
      <c r="R225" s="280">
        <f t="shared" si="41"/>
        <v>2257194.3085960886</v>
      </c>
      <c r="S225" s="280">
        <f t="shared" si="41"/>
        <v>2257194.3085960886</v>
      </c>
    </row>
    <row r="226" spans="6:19" x14ac:dyDescent="0.25">
      <c r="F226" t="s">
        <v>926</v>
      </c>
      <c r="G226" t="s">
        <v>120</v>
      </c>
      <c r="H226" t="s">
        <v>145</v>
      </c>
      <c r="J226" s="202"/>
      <c r="K226" s="198"/>
      <c r="L226" s="202"/>
      <c r="M226" s="202"/>
      <c r="N226" s="202"/>
      <c r="O226" s="202"/>
      <c r="P226" s="202"/>
      <c r="Q226" s="202"/>
      <c r="R226" s="202"/>
      <c r="S226" s="202"/>
    </row>
    <row r="227" spans="6:19" x14ac:dyDescent="0.25">
      <c r="F227" t="s">
        <v>927</v>
      </c>
      <c r="G227" t="s">
        <v>120</v>
      </c>
      <c r="H227" t="s">
        <v>145</v>
      </c>
      <c r="J227" s="197">
        <f t="shared" ref="J227" si="42">CHOOSE(year_selection, L227,M227,N227,O227,P227,Q227,R227,S227)</f>
        <v>68807.884598155215</v>
      </c>
      <c r="K227" s="198"/>
      <c r="L227" s="281"/>
      <c r="M227" s="281">
        <v>26239.894271925132</v>
      </c>
      <c r="N227" s="281">
        <v>73574.755935476642</v>
      </c>
      <c r="O227" s="281">
        <v>68807.884598155215</v>
      </c>
      <c r="P227" s="281">
        <f t="shared" ref="P227:S227" si="43">$O227</f>
        <v>68807.884598155215</v>
      </c>
      <c r="Q227" s="281">
        <f t="shared" si="43"/>
        <v>68807.884598155215</v>
      </c>
      <c r="R227" s="281">
        <f t="shared" si="43"/>
        <v>68807.884598155215</v>
      </c>
      <c r="S227" s="281">
        <f t="shared" si="43"/>
        <v>68807.884598155215</v>
      </c>
    </row>
    <row r="228" spans="6:19" x14ac:dyDescent="0.25">
      <c r="F228" t="s">
        <v>928</v>
      </c>
      <c r="G228" t="s">
        <v>120</v>
      </c>
      <c r="H228" t="s">
        <v>145</v>
      </c>
      <c r="J228" s="202"/>
      <c r="K228" s="198"/>
      <c r="L228" s="202"/>
      <c r="M228" s="202"/>
      <c r="N228" s="202"/>
      <c r="O228" s="202"/>
      <c r="P228" s="202"/>
      <c r="Q228" s="202"/>
      <c r="R228" s="202"/>
      <c r="S228" s="202"/>
    </row>
    <row r="229" spans="6:19" x14ac:dyDescent="0.25">
      <c r="F229" t="s">
        <v>929</v>
      </c>
      <c r="G229" t="s">
        <v>120</v>
      </c>
      <c r="H229" t="s">
        <v>145</v>
      </c>
      <c r="J229" s="197">
        <f t="shared" ref="J229:J232" si="44">CHOOSE(year_selection, L229,M229,N229,O229,P229,Q229,R229,S229)</f>
        <v>194785.9381843415</v>
      </c>
      <c r="K229" s="198"/>
      <c r="L229" s="281"/>
      <c r="M229" s="281">
        <v>169517.81690239324</v>
      </c>
      <c r="N229" s="281">
        <v>205679.37866207425</v>
      </c>
      <c r="O229" s="281">
        <v>194785.9381843415</v>
      </c>
      <c r="P229" s="281">
        <f t="shared" ref="P229:S232" si="45">$O229</f>
        <v>194785.9381843415</v>
      </c>
      <c r="Q229" s="281">
        <f t="shared" si="45"/>
        <v>194785.9381843415</v>
      </c>
      <c r="R229" s="281">
        <f t="shared" si="45"/>
        <v>194785.9381843415</v>
      </c>
      <c r="S229" s="281">
        <f t="shared" si="45"/>
        <v>194785.9381843415</v>
      </c>
    </row>
    <row r="230" spans="6:19" x14ac:dyDescent="0.25">
      <c r="F230" t="s">
        <v>930</v>
      </c>
      <c r="G230" t="s">
        <v>120</v>
      </c>
      <c r="H230" t="s">
        <v>145</v>
      </c>
      <c r="J230" s="197">
        <f t="shared" si="44"/>
        <v>663.435344075682</v>
      </c>
      <c r="K230" s="198"/>
      <c r="L230" s="281"/>
      <c r="M230" s="281">
        <v>340.23937595464326</v>
      </c>
      <c r="N230" s="281">
        <v>474.13718155286148</v>
      </c>
      <c r="O230" s="281">
        <v>663.435344075682</v>
      </c>
      <c r="P230" s="281">
        <f t="shared" si="45"/>
        <v>663.435344075682</v>
      </c>
      <c r="Q230" s="281">
        <f t="shared" si="45"/>
        <v>663.435344075682</v>
      </c>
      <c r="R230" s="281">
        <f t="shared" si="45"/>
        <v>663.435344075682</v>
      </c>
      <c r="S230" s="281">
        <f t="shared" si="45"/>
        <v>663.435344075682</v>
      </c>
    </row>
    <row r="231" spans="6:19" x14ac:dyDescent="0.25">
      <c r="F231" t="s">
        <v>931</v>
      </c>
      <c r="G231" t="s">
        <v>120</v>
      </c>
      <c r="H231" t="s">
        <v>145</v>
      </c>
      <c r="J231" s="197">
        <f t="shared" si="44"/>
        <v>85867.729755907218</v>
      </c>
      <c r="K231" s="198"/>
      <c r="L231" s="281"/>
      <c r="M231" s="281">
        <v>94002.9398461112</v>
      </c>
      <c r="N231" s="281">
        <v>95418.038512817657</v>
      </c>
      <c r="O231" s="281">
        <v>85867.729755907218</v>
      </c>
      <c r="P231" s="281">
        <f t="shared" si="45"/>
        <v>85867.729755907218</v>
      </c>
      <c r="Q231" s="281">
        <f t="shared" si="45"/>
        <v>85867.729755907218</v>
      </c>
      <c r="R231" s="281">
        <f t="shared" si="45"/>
        <v>85867.729755907218</v>
      </c>
      <c r="S231" s="281">
        <f t="shared" si="45"/>
        <v>85867.729755907218</v>
      </c>
    </row>
    <row r="232" spans="6:19" x14ac:dyDescent="0.25">
      <c r="F232" t="s">
        <v>932</v>
      </c>
      <c r="G232" t="s">
        <v>120</v>
      </c>
      <c r="H232" t="s">
        <v>145</v>
      </c>
      <c r="J232" s="197">
        <f t="shared" si="44"/>
        <v>148584.05886729746</v>
      </c>
      <c r="K232" s="198"/>
      <c r="L232" s="281"/>
      <c r="M232" s="281">
        <v>187844.6325525991</v>
      </c>
      <c r="N232" s="281">
        <v>163448.82589549816</v>
      </c>
      <c r="O232" s="281">
        <v>148584.05886729746</v>
      </c>
      <c r="P232" s="281">
        <f t="shared" si="45"/>
        <v>148584.05886729746</v>
      </c>
      <c r="Q232" s="281">
        <f t="shared" si="45"/>
        <v>148584.05886729746</v>
      </c>
      <c r="R232" s="281">
        <f t="shared" si="45"/>
        <v>148584.05886729746</v>
      </c>
      <c r="S232" s="281">
        <f t="shared" si="45"/>
        <v>148584.05886729746</v>
      </c>
    </row>
    <row r="233" spans="6:19" x14ac:dyDescent="0.25">
      <c r="F233" t="s">
        <v>933</v>
      </c>
      <c r="G233" t="s">
        <v>120</v>
      </c>
      <c r="H233" t="s">
        <v>145</v>
      </c>
      <c r="J233" s="202"/>
      <c r="K233" s="198"/>
      <c r="L233" s="202"/>
      <c r="M233" s="202"/>
      <c r="N233" s="202"/>
      <c r="O233" s="202"/>
      <c r="P233" s="202"/>
      <c r="Q233" s="202"/>
      <c r="R233" s="202"/>
      <c r="S233" s="202"/>
    </row>
    <row r="234" spans="6:19" x14ac:dyDescent="0.25">
      <c r="F234" t="s">
        <v>934</v>
      </c>
      <c r="G234" t="s">
        <v>120</v>
      </c>
      <c r="H234" t="s">
        <v>145</v>
      </c>
      <c r="J234" s="202"/>
      <c r="K234" s="198"/>
      <c r="L234" s="202"/>
      <c r="M234" s="202"/>
      <c r="N234" s="202"/>
      <c r="O234" s="202"/>
      <c r="P234" s="202"/>
      <c r="Q234" s="202"/>
      <c r="R234" s="202"/>
      <c r="S234" s="202"/>
    </row>
    <row r="235" spans="6:19" x14ac:dyDescent="0.25">
      <c r="F235" t="s">
        <v>935</v>
      </c>
      <c r="G235" t="s">
        <v>120</v>
      </c>
      <c r="H235" t="s">
        <v>145</v>
      </c>
      <c r="J235" s="202"/>
      <c r="K235" s="198"/>
      <c r="L235" s="202"/>
      <c r="M235" s="202"/>
      <c r="N235" s="202"/>
      <c r="O235" s="202"/>
      <c r="P235" s="202"/>
      <c r="Q235" s="202"/>
      <c r="R235" s="202"/>
      <c r="S235" s="202"/>
    </row>
    <row r="236" spans="6:19" x14ac:dyDescent="0.25">
      <c r="F236" t="s">
        <v>936</v>
      </c>
      <c r="G236" t="s">
        <v>120</v>
      </c>
      <c r="H236" t="s">
        <v>145</v>
      </c>
      <c r="J236" s="202"/>
      <c r="K236" s="198"/>
      <c r="L236" s="202"/>
      <c r="M236" s="202"/>
      <c r="N236" s="202"/>
      <c r="O236" s="202"/>
      <c r="P236" s="202"/>
      <c r="Q236" s="202"/>
      <c r="R236" s="202"/>
      <c r="S236" s="202"/>
    </row>
    <row r="237" spans="6:19" x14ac:dyDescent="0.25">
      <c r="F237" t="s">
        <v>937</v>
      </c>
      <c r="G237" t="s">
        <v>120</v>
      </c>
      <c r="H237" t="s">
        <v>145</v>
      </c>
      <c r="J237" s="202"/>
      <c r="K237" s="198"/>
      <c r="L237" s="202"/>
      <c r="M237" s="202"/>
      <c r="N237" s="202"/>
      <c r="O237" s="202"/>
      <c r="P237" s="202"/>
      <c r="Q237" s="202"/>
      <c r="R237" s="202"/>
      <c r="S237" s="202"/>
    </row>
    <row r="238" spans="6:19" x14ac:dyDescent="0.25">
      <c r="F238" t="s">
        <v>938</v>
      </c>
      <c r="G238" t="s">
        <v>120</v>
      </c>
      <c r="H238" t="s">
        <v>145</v>
      </c>
      <c r="J238" s="202"/>
      <c r="K238" s="198"/>
      <c r="L238" s="202"/>
      <c r="M238" s="202"/>
      <c r="N238" s="202"/>
      <c r="O238" s="202"/>
      <c r="P238" s="202"/>
      <c r="Q238" s="202"/>
      <c r="R238" s="202"/>
      <c r="S238" s="202"/>
    </row>
    <row r="239" spans="6:19" x14ac:dyDescent="0.25">
      <c r="F239" t="s">
        <v>939</v>
      </c>
      <c r="G239" t="s">
        <v>120</v>
      </c>
      <c r="H239" t="s">
        <v>145</v>
      </c>
      <c r="J239" s="202"/>
      <c r="K239" s="198"/>
      <c r="L239" s="202"/>
      <c r="M239" s="202"/>
      <c r="N239" s="202"/>
      <c r="O239" s="202"/>
      <c r="P239" s="202"/>
      <c r="Q239" s="202"/>
      <c r="R239" s="202"/>
      <c r="S239" s="202"/>
    </row>
    <row r="240" spans="6:19" x14ac:dyDescent="0.25">
      <c r="F240" s="17" t="s">
        <v>940</v>
      </c>
      <c r="G240" s="17" t="s">
        <v>120</v>
      </c>
      <c r="H240" s="17" t="s">
        <v>145</v>
      </c>
      <c r="I240" s="122"/>
      <c r="J240" s="203"/>
      <c r="K240" s="200"/>
      <c r="L240" s="203"/>
      <c r="M240" s="203"/>
      <c r="N240" s="203"/>
      <c r="O240" s="203"/>
      <c r="P240" s="203"/>
      <c r="Q240" s="203"/>
      <c r="R240" s="203"/>
      <c r="S240" s="203"/>
    </row>
    <row r="241" spans="5:19" x14ac:dyDescent="0.25">
      <c r="J241" s="198"/>
      <c r="K241" s="198"/>
      <c r="L241" s="198"/>
      <c r="M241" s="198"/>
      <c r="N241" s="198"/>
      <c r="O241" s="198"/>
      <c r="P241" s="198"/>
      <c r="Q241" s="198"/>
      <c r="R241" s="198"/>
      <c r="S241" s="198"/>
    </row>
    <row r="242" spans="5:19" x14ac:dyDescent="0.25">
      <c r="E242" s="121" t="s">
        <v>74</v>
      </c>
      <c r="J242" s="198"/>
      <c r="K242" s="198"/>
      <c r="L242" s="198"/>
      <c r="M242" s="198"/>
      <c r="N242" s="198"/>
      <c r="O242" s="198"/>
      <c r="P242" s="198"/>
      <c r="Q242" s="198"/>
      <c r="R242" s="198"/>
      <c r="S242" s="198"/>
    </row>
    <row r="243" spans="5:19" x14ac:dyDescent="0.25">
      <c r="F243" s="80" t="s">
        <v>925</v>
      </c>
      <c r="G243" s="80" t="s">
        <v>74</v>
      </c>
      <c r="H243" s="80" t="s">
        <v>145</v>
      </c>
      <c r="I243" s="94"/>
      <c r="J243" s="195">
        <f t="shared" ref="J243" si="46">CHOOSE(year_selection, L243,M243,N243,O243,P243,Q243,R243,S243)</f>
        <v>1858128</v>
      </c>
      <c r="K243" s="196"/>
      <c r="L243" s="280"/>
      <c r="M243" s="280">
        <v>1853739</v>
      </c>
      <c r="N243" s="280">
        <v>1855158</v>
      </c>
      <c r="O243" s="280">
        <v>1858128</v>
      </c>
      <c r="P243" s="280">
        <f t="shared" ref="P243:S243" si="47">$O243</f>
        <v>1858128</v>
      </c>
      <c r="Q243" s="280">
        <f t="shared" si="47"/>
        <v>1858128</v>
      </c>
      <c r="R243" s="280">
        <f t="shared" si="47"/>
        <v>1858128</v>
      </c>
      <c r="S243" s="280">
        <f t="shared" si="47"/>
        <v>1858128</v>
      </c>
    </row>
    <row r="244" spans="5:19" x14ac:dyDescent="0.25">
      <c r="F244" t="s">
        <v>926</v>
      </c>
      <c r="G244" t="s">
        <v>74</v>
      </c>
      <c r="H244" t="s">
        <v>145</v>
      </c>
      <c r="J244" s="202"/>
      <c r="K244" s="198"/>
      <c r="L244" s="202"/>
      <c r="M244" s="202"/>
      <c r="N244" s="202"/>
      <c r="O244" s="202"/>
      <c r="P244" s="202"/>
      <c r="Q244" s="202"/>
      <c r="R244" s="202"/>
      <c r="S244" s="202"/>
    </row>
    <row r="245" spans="5:19" x14ac:dyDescent="0.25">
      <c r="F245" t="s">
        <v>927</v>
      </c>
      <c r="G245" t="s">
        <v>74</v>
      </c>
      <c r="H245" t="s">
        <v>145</v>
      </c>
      <c r="J245" s="197">
        <f t="shared" ref="J245" si="48">CHOOSE(year_selection, L245,M245,N245,O245,P245,Q245,R245,S245)</f>
        <v>46603</v>
      </c>
      <c r="K245" s="198"/>
      <c r="L245" s="281"/>
      <c r="M245" s="281">
        <v>45449</v>
      </c>
      <c r="N245" s="281">
        <v>46084</v>
      </c>
      <c r="O245" s="281">
        <v>46603</v>
      </c>
      <c r="P245" s="281">
        <f t="shared" ref="P245:S245" si="49">$O245</f>
        <v>46603</v>
      </c>
      <c r="Q245" s="281">
        <f t="shared" si="49"/>
        <v>46603</v>
      </c>
      <c r="R245" s="281">
        <f t="shared" si="49"/>
        <v>46603</v>
      </c>
      <c r="S245" s="281">
        <f t="shared" si="49"/>
        <v>46603</v>
      </c>
    </row>
    <row r="246" spans="5:19" x14ac:dyDescent="0.25">
      <c r="F246" t="s">
        <v>928</v>
      </c>
      <c r="G246" t="s">
        <v>74</v>
      </c>
      <c r="H246" t="s">
        <v>145</v>
      </c>
      <c r="J246" s="202"/>
      <c r="K246" s="198"/>
      <c r="L246" s="202"/>
      <c r="M246" s="202"/>
      <c r="N246" s="202"/>
      <c r="O246" s="202"/>
      <c r="P246" s="202"/>
      <c r="Q246" s="202"/>
      <c r="R246" s="202"/>
      <c r="S246" s="202"/>
    </row>
    <row r="247" spans="5:19" x14ac:dyDescent="0.25">
      <c r="F247" t="s">
        <v>929</v>
      </c>
      <c r="G247" t="s">
        <v>74</v>
      </c>
      <c r="H247" t="s">
        <v>145</v>
      </c>
      <c r="J247" s="197">
        <f t="shared" ref="J247:J250" si="50">CHOOSE(year_selection, L247,M247,N247,O247,P247,Q247,R247,S247)</f>
        <v>4524</v>
      </c>
      <c r="K247" s="198"/>
      <c r="L247" s="281"/>
      <c r="M247" s="281">
        <v>4545</v>
      </c>
      <c r="N247" s="281">
        <v>4495</v>
      </c>
      <c r="O247" s="281">
        <v>4524</v>
      </c>
      <c r="P247" s="281">
        <f t="shared" ref="P247:S250" si="51">$O247</f>
        <v>4524</v>
      </c>
      <c r="Q247" s="281">
        <f t="shared" si="51"/>
        <v>4524</v>
      </c>
      <c r="R247" s="281">
        <f t="shared" si="51"/>
        <v>4524</v>
      </c>
      <c r="S247" s="281">
        <f t="shared" si="51"/>
        <v>4524</v>
      </c>
    </row>
    <row r="248" spans="5:19" x14ac:dyDescent="0.25">
      <c r="F248" t="s">
        <v>930</v>
      </c>
      <c r="G248" t="s">
        <v>74</v>
      </c>
      <c r="H248" t="s">
        <v>145</v>
      </c>
      <c r="J248" s="197">
        <f t="shared" si="50"/>
        <v>10</v>
      </c>
      <c r="K248" s="198"/>
      <c r="L248" s="281"/>
      <c r="M248" s="281">
        <v>8</v>
      </c>
      <c r="N248" s="281">
        <v>9</v>
      </c>
      <c r="O248" s="281">
        <v>10</v>
      </c>
      <c r="P248" s="281">
        <f t="shared" si="51"/>
        <v>10</v>
      </c>
      <c r="Q248" s="281">
        <f t="shared" si="51"/>
        <v>10</v>
      </c>
      <c r="R248" s="281">
        <f t="shared" si="51"/>
        <v>10</v>
      </c>
      <c r="S248" s="281">
        <f t="shared" si="51"/>
        <v>10</v>
      </c>
    </row>
    <row r="249" spans="5:19" x14ac:dyDescent="0.25">
      <c r="F249" t="s">
        <v>931</v>
      </c>
      <c r="G249" t="s">
        <v>74</v>
      </c>
      <c r="H249" t="s">
        <v>145</v>
      </c>
      <c r="J249" s="197">
        <f t="shared" si="50"/>
        <v>356</v>
      </c>
      <c r="K249" s="198"/>
      <c r="L249" s="281"/>
      <c r="M249" s="281">
        <v>492</v>
      </c>
      <c r="N249" s="281">
        <v>363</v>
      </c>
      <c r="O249" s="281">
        <v>356</v>
      </c>
      <c r="P249" s="281">
        <f t="shared" si="51"/>
        <v>356</v>
      </c>
      <c r="Q249" s="281">
        <f t="shared" si="51"/>
        <v>356</v>
      </c>
      <c r="R249" s="281">
        <f t="shared" si="51"/>
        <v>356</v>
      </c>
      <c r="S249" s="281">
        <f t="shared" si="51"/>
        <v>356</v>
      </c>
    </row>
    <row r="250" spans="5:19" x14ac:dyDescent="0.25">
      <c r="F250" t="s">
        <v>932</v>
      </c>
      <c r="G250" t="s">
        <v>74</v>
      </c>
      <c r="H250" t="s">
        <v>145</v>
      </c>
      <c r="J250" s="197">
        <f t="shared" si="50"/>
        <v>4804</v>
      </c>
      <c r="K250" s="198"/>
      <c r="L250" s="281"/>
      <c r="M250" s="281">
        <v>4843</v>
      </c>
      <c r="N250" s="281">
        <v>4843</v>
      </c>
      <c r="O250" s="281">
        <v>4804</v>
      </c>
      <c r="P250" s="281">
        <f t="shared" si="51"/>
        <v>4804</v>
      </c>
      <c r="Q250" s="281">
        <f t="shared" si="51"/>
        <v>4804</v>
      </c>
      <c r="R250" s="281">
        <f t="shared" si="51"/>
        <v>4804</v>
      </c>
      <c r="S250" s="281">
        <f t="shared" si="51"/>
        <v>4804</v>
      </c>
    </row>
    <row r="251" spans="5:19" x14ac:dyDescent="0.25">
      <c r="F251" t="s">
        <v>933</v>
      </c>
      <c r="G251" t="s">
        <v>74</v>
      </c>
      <c r="H251" t="s">
        <v>145</v>
      </c>
      <c r="J251" s="202"/>
      <c r="K251" s="198"/>
      <c r="L251" s="202"/>
      <c r="M251" s="202"/>
      <c r="N251" s="202"/>
      <c r="O251" s="202"/>
      <c r="P251" s="202"/>
      <c r="Q251" s="202"/>
      <c r="R251" s="202"/>
      <c r="S251" s="202"/>
    </row>
    <row r="252" spans="5:19" x14ac:dyDescent="0.25">
      <c r="F252" t="s">
        <v>934</v>
      </c>
      <c r="G252" t="s">
        <v>74</v>
      </c>
      <c r="H252" t="s">
        <v>145</v>
      </c>
      <c r="J252" s="202"/>
      <c r="K252" s="198"/>
      <c r="L252" s="202"/>
      <c r="M252" s="202"/>
      <c r="N252" s="202"/>
      <c r="O252" s="202"/>
      <c r="P252" s="202"/>
      <c r="Q252" s="202"/>
      <c r="R252" s="202"/>
      <c r="S252" s="202"/>
    </row>
    <row r="253" spans="5:19" x14ac:dyDescent="0.25">
      <c r="F253" t="s">
        <v>935</v>
      </c>
      <c r="G253" t="s">
        <v>74</v>
      </c>
      <c r="H253" t="s">
        <v>145</v>
      </c>
      <c r="J253" s="202"/>
      <c r="K253" s="198"/>
      <c r="L253" s="202"/>
      <c r="M253" s="202"/>
      <c r="N253" s="202"/>
      <c r="O253" s="202"/>
      <c r="P253" s="202"/>
      <c r="Q253" s="202"/>
      <c r="R253" s="202"/>
      <c r="S253" s="202"/>
    </row>
    <row r="254" spans="5:19" x14ac:dyDescent="0.25">
      <c r="F254" t="s">
        <v>936</v>
      </c>
      <c r="G254" t="s">
        <v>74</v>
      </c>
      <c r="H254" t="s">
        <v>145</v>
      </c>
      <c r="J254" s="202"/>
      <c r="K254" s="198"/>
      <c r="L254" s="202"/>
      <c r="M254" s="202"/>
      <c r="N254" s="202"/>
      <c r="O254" s="202"/>
      <c r="P254" s="202"/>
      <c r="Q254" s="202"/>
      <c r="R254" s="202"/>
      <c r="S254" s="202"/>
    </row>
    <row r="255" spans="5:19" x14ac:dyDescent="0.25">
      <c r="F255" t="s">
        <v>937</v>
      </c>
      <c r="G255" t="s">
        <v>74</v>
      </c>
      <c r="H255" t="s">
        <v>145</v>
      </c>
      <c r="J255" s="202"/>
      <c r="K255" s="198"/>
      <c r="L255" s="202"/>
      <c r="M255" s="202"/>
      <c r="N255" s="202"/>
      <c r="O255" s="202"/>
      <c r="P255" s="202"/>
      <c r="Q255" s="202"/>
      <c r="R255" s="202"/>
      <c r="S255" s="202"/>
    </row>
    <row r="256" spans="5:19" x14ac:dyDescent="0.25">
      <c r="F256" t="s">
        <v>938</v>
      </c>
      <c r="G256" t="s">
        <v>74</v>
      </c>
      <c r="H256" t="s">
        <v>145</v>
      </c>
      <c r="J256" s="202"/>
      <c r="K256" s="198"/>
      <c r="L256" s="202"/>
      <c r="M256" s="202"/>
      <c r="N256" s="202"/>
      <c r="O256" s="202"/>
      <c r="P256" s="202"/>
      <c r="Q256" s="202"/>
      <c r="R256" s="202"/>
      <c r="S256" s="202"/>
    </row>
    <row r="257" spans="5:19" x14ac:dyDescent="0.25">
      <c r="F257" t="s">
        <v>939</v>
      </c>
      <c r="G257" t="s">
        <v>74</v>
      </c>
      <c r="H257" t="s">
        <v>145</v>
      </c>
      <c r="J257" s="202"/>
      <c r="K257" s="198"/>
      <c r="L257" s="202"/>
      <c r="M257" s="202"/>
      <c r="N257" s="202"/>
      <c r="O257" s="202"/>
      <c r="P257" s="202"/>
      <c r="Q257" s="202"/>
      <c r="R257" s="202"/>
      <c r="S257" s="202"/>
    </row>
    <row r="258" spans="5:19" x14ac:dyDescent="0.25">
      <c r="F258" s="17" t="s">
        <v>940</v>
      </c>
      <c r="G258" s="17" t="s">
        <v>74</v>
      </c>
      <c r="H258" s="17" t="s">
        <v>145</v>
      </c>
      <c r="I258" s="122"/>
      <c r="J258" s="203"/>
      <c r="K258" s="200"/>
      <c r="L258" s="203"/>
      <c r="M258" s="203"/>
      <c r="N258" s="203"/>
      <c r="O258" s="203"/>
      <c r="P258" s="203"/>
      <c r="Q258" s="203"/>
      <c r="R258" s="203"/>
      <c r="S258" s="203"/>
    </row>
    <row r="259" spans="5:19" x14ac:dyDescent="0.25">
      <c r="J259" s="198"/>
      <c r="K259" s="198"/>
      <c r="L259" s="198"/>
      <c r="M259" s="198"/>
      <c r="N259" s="198"/>
      <c r="O259" s="198"/>
      <c r="P259" s="198"/>
      <c r="Q259" s="198"/>
      <c r="R259" s="198"/>
      <c r="S259" s="198"/>
    </row>
    <row r="260" spans="5:19" x14ac:dyDescent="0.25">
      <c r="E260" s="121" t="s">
        <v>202</v>
      </c>
      <c r="J260" s="198"/>
      <c r="K260" s="198"/>
      <c r="L260" s="198"/>
      <c r="M260" s="198"/>
      <c r="N260" s="198"/>
      <c r="O260" s="198"/>
      <c r="P260" s="198"/>
      <c r="Q260" s="198"/>
      <c r="R260" s="198"/>
      <c r="S260" s="198"/>
    </row>
    <row r="261" spans="5:19" x14ac:dyDescent="0.25">
      <c r="F261" s="80" t="s">
        <v>925</v>
      </c>
      <c r="G261" s="80" t="s">
        <v>169</v>
      </c>
      <c r="H261" s="80" t="s">
        <v>145</v>
      </c>
      <c r="I261" s="94"/>
      <c r="J261" s="201"/>
      <c r="K261" s="196"/>
      <c r="L261" s="201"/>
      <c r="M261" s="201"/>
      <c r="N261" s="201"/>
      <c r="O261" s="201"/>
      <c r="P261" s="201"/>
      <c r="Q261" s="201"/>
      <c r="R261" s="201"/>
      <c r="S261" s="201"/>
    </row>
    <row r="262" spans="5:19" x14ac:dyDescent="0.25">
      <c r="F262" t="s">
        <v>926</v>
      </c>
      <c r="G262" t="s">
        <v>169</v>
      </c>
      <c r="H262" t="s">
        <v>145</v>
      </c>
      <c r="J262" s="202"/>
      <c r="K262" s="198"/>
      <c r="L262" s="202"/>
      <c r="M262" s="202"/>
      <c r="N262" s="202"/>
      <c r="O262" s="202"/>
      <c r="P262" s="202"/>
      <c r="Q262" s="202"/>
      <c r="R262" s="202"/>
      <c r="S262" s="202"/>
    </row>
    <row r="263" spans="5:19" x14ac:dyDescent="0.25">
      <c r="F263" t="s">
        <v>927</v>
      </c>
      <c r="G263" t="s">
        <v>169</v>
      </c>
      <c r="H263" t="s">
        <v>145</v>
      </c>
      <c r="J263" s="202"/>
      <c r="K263" s="198"/>
      <c r="L263" s="202"/>
      <c r="M263" s="202"/>
      <c r="N263" s="202"/>
      <c r="O263" s="202"/>
      <c r="P263" s="202"/>
      <c r="Q263" s="202"/>
      <c r="R263" s="202"/>
      <c r="S263" s="202"/>
    </row>
    <row r="264" spans="5:19" x14ac:dyDescent="0.25">
      <c r="F264" t="s">
        <v>928</v>
      </c>
      <c r="G264" t="s">
        <v>169</v>
      </c>
      <c r="H264" t="s">
        <v>145</v>
      </c>
      <c r="J264" s="202"/>
      <c r="K264" s="198"/>
      <c r="L264" s="202"/>
      <c r="M264" s="202"/>
      <c r="N264" s="202"/>
      <c r="O264" s="202"/>
      <c r="P264" s="202"/>
      <c r="Q264" s="202"/>
      <c r="R264" s="202"/>
      <c r="S264" s="202"/>
    </row>
    <row r="265" spans="5:19" x14ac:dyDescent="0.25">
      <c r="F265" t="s">
        <v>929</v>
      </c>
      <c r="G265" t="s">
        <v>169</v>
      </c>
      <c r="H265" t="s">
        <v>145</v>
      </c>
      <c r="J265" s="197">
        <f t="shared" ref="J265:J267" si="52">CHOOSE(year_selection, L265,M265,N265,O265,P265,Q265,R265,S265)</f>
        <v>253629</v>
      </c>
      <c r="K265" s="198"/>
      <c r="L265" s="281"/>
      <c r="M265" s="281">
        <v>252971</v>
      </c>
      <c r="N265" s="281">
        <v>253525</v>
      </c>
      <c r="O265" s="281">
        <v>253629</v>
      </c>
      <c r="P265" s="281">
        <f t="shared" ref="P265:S267" si="53">$O265</f>
        <v>253629</v>
      </c>
      <c r="Q265" s="281">
        <f t="shared" si="53"/>
        <v>253629</v>
      </c>
      <c r="R265" s="281">
        <f t="shared" si="53"/>
        <v>253629</v>
      </c>
      <c r="S265" s="281">
        <f t="shared" si="53"/>
        <v>253629</v>
      </c>
    </row>
    <row r="266" spans="5:19" x14ac:dyDescent="0.25">
      <c r="F266" t="s">
        <v>930</v>
      </c>
      <c r="G266" t="s">
        <v>169</v>
      </c>
      <c r="H266" t="s">
        <v>145</v>
      </c>
      <c r="J266" s="197">
        <f t="shared" si="52"/>
        <v>456</v>
      </c>
      <c r="K266" s="198"/>
      <c r="L266" s="281"/>
      <c r="M266" s="281">
        <v>342</v>
      </c>
      <c r="N266" s="281">
        <v>394</v>
      </c>
      <c r="O266" s="281">
        <v>456</v>
      </c>
      <c r="P266" s="281">
        <f t="shared" si="53"/>
        <v>456</v>
      </c>
      <c r="Q266" s="281">
        <f t="shared" si="53"/>
        <v>456</v>
      </c>
      <c r="R266" s="281">
        <f t="shared" si="53"/>
        <v>456</v>
      </c>
      <c r="S266" s="281">
        <f t="shared" si="53"/>
        <v>456</v>
      </c>
    </row>
    <row r="267" spans="5:19" x14ac:dyDescent="0.25">
      <c r="F267" t="s">
        <v>931</v>
      </c>
      <c r="G267" t="s">
        <v>169</v>
      </c>
      <c r="H267" t="s">
        <v>145</v>
      </c>
      <c r="J267" s="197">
        <f t="shared" si="52"/>
        <v>71629</v>
      </c>
      <c r="K267" s="198"/>
      <c r="L267" s="281"/>
      <c r="M267" s="281">
        <v>79216</v>
      </c>
      <c r="N267" s="281">
        <v>72225</v>
      </c>
      <c r="O267" s="281">
        <v>71629</v>
      </c>
      <c r="P267" s="281">
        <f t="shared" si="53"/>
        <v>71629</v>
      </c>
      <c r="Q267" s="281">
        <f t="shared" si="53"/>
        <v>71629</v>
      </c>
      <c r="R267" s="281">
        <f t="shared" si="53"/>
        <v>71629</v>
      </c>
      <c r="S267" s="281">
        <f t="shared" si="53"/>
        <v>71629</v>
      </c>
    </row>
    <row r="268" spans="5:19" x14ac:dyDescent="0.25">
      <c r="F268" t="s">
        <v>932</v>
      </c>
      <c r="G268" t="s">
        <v>169</v>
      </c>
      <c r="H268" t="s">
        <v>145</v>
      </c>
      <c r="J268" s="202"/>
      <c r="K268" s="198"/>
      <c r="L268" s="202"/>
      <c r="M268" s="202"/>
      <c r="N268" s="202"/>
      <c r="O268" s="202"/>
      <c r="P268" s="202"/>
      <c r="Q268" s="202"/>
      <c r="R268" s="202"/>
      <c r="S268" s="202"/>
    </row>
    <row r="269" spans="5:19" x14ac:dyDescent="0.25">
      <c r="F269" t="s">
        <v>933</v>
      </c>
      <c r="G269" t="s">
        <v>169</v>
      </c>
      <c r="H269" t="s">
        <v>145</v>
      </c>
      <c r="J269" s="202"/>
      <c r="K269" s="198"/>
      <c r="L269" s="202"/>
      <c r="M269" s="202"/>
      <c r="N269" s="202"/>
      <c r="O269" s="202"/>
      <c r="P269" s="202"/>
      <c r="Q269" s="202"/>
      <c r="R269" s="202"/>
      <c r="S269" s="202"/>
    </row>
    <row r="270" spans="5:19" x14ac:dyDescent="0.25">
      <c r="F270" t="s">
        <v>934</v>
      </c>
      <c r="G270" t="s">
        <v>169</v>
      </c>
      <c r="H270" t="s">
        <v>145</v>
      </c>
      <c r="J270" s="202"/>
      <c r="K270" s="198"/>
      <c r="L270" s="202"/>
      <c r="M270" s="202"/>
      <c r="N270" s="202"/>
      <c r="O270" s="202"/>
      <c r="P270" s="202"/>
      <c r="Q270" s="202"/>
      <c r="R270" s="202"/>
      <c r="S270" s="202"/>
    </row>
    <row r="271" spans="5:19" x14ac:dyDescent="0.25">
      <c r="F271" t="s">
        <v>935</v>
      </c>
      <c r="G271" t="s">
        <v>169</v>
      </c>
      <c r="H271" t="s">
        <v>145</v>
      </c>
      <c r="J271" s="202"/>
      <c r="K271" s="198"/>
      <c r="L271" s="202"/>
      <c r="M271" s="202"/>
      <c r="N271" s="202"/>
      <c r="O271" s="202"/>
      <c r="P271" s="202"/>
      <c r="Q271" s="202"/>
      <c r="R271" s="202"/>
      <c r="S271" s="202"/>
    </row>
    <row r="272" spans="5:19" x14ac:dyDescent="0.25">
      <c r="F272" t="s">
        <v>936</v>
      </c>
      <c r="G272" t="s">
        <v>169</v>
      </c>
      <c r="H272" t="s">
        <v>145</v>
      </c>
      <c r="J272" s="202"/>
      <c r="K272" s="198"/>
      <c r="L272" s="202"/>
      <c r="M272" s="202"/>
      <c r="N272" s="202"/>
      <c r="O272" s="202"/>
      <c r="P272" s="202"/>
      <c r="Q272" s="202"/>
      <c r="R272" s="202"/>
      <c r="S272" s="202"/>
    </row>
    <row r="273" spans="5:19" x14ac:dyDescent="0.25">
      <c r="F273" t="s">
        <v>937</v>
      </c>
      <c r="G273" t="s">
        <v>169</v>
      </c>
      <c r="H273" t="s">
        <v>145</v>
      </c>
      <c r="J273" s="202"/>
      <c r="K273" s="198"/>
      <c r="L273" s="202"/>
      <c r="M273" s="202"/>
      <c r="N273" s="202"/>
      <c r="O273" s="202"/>
      <c r="P273" s="202"/>
      <c r="Q273" s="202"/>
      <c r="R273" s="202"/>
      <c r="S273" s="202"/>
    </row>
    <row r="274" spans="5:19" x14ac:dyDescent="0.25">
      <c r="F274" t="s">
        <v>938</v>
      </c>
      <c r="G274" t="s">
        <v>169</v>
      </c>
      <c r="H274" t="s">
        <v>145</v>
      </c>
      <c r="J274" s="202"/>
      <c r="K274" s="198"/>
      <c r="L274" s="202"/>
      <c r="M274" s="202"/>
      <c r="N274" s="202"/>
      <c r="O274" s="202"/>
      <c r="P274" s="202"/>
      <c r="Q274" s="202"/>
      <c r="R274" s="202"/>
      <c r="S274" s="202"/>
    </row>
    <row r="275" spans="5:19" x14ac:dyDescent="0.25">
      <c r="F275" t="s">
        <v>939</v>
      </c>
      <c r="G275" t="s">
        <v>169</v>
      </c>
      <c r="H275" t="s">
        <v>145</v>
      </c>
      <c r="J275" s="202"/>
      <c r="K275" s="198"/>
      <c r="L275" s="202"/>
      <c r="M275" s="202"/>
      <c r="N275" s="202"/>
      <c r="O275" s="202"/>
      <c r="P275" s="202"/>
      <c r="Q275" s="202"/>
      <c r="R275" s="202"/>
      <c r="S275" s="202"/>
    </row>
    <row r="276" spans="5:19" x14ac:dyDescent="0.25">
      <c r="F276" s="17" t="s">
        <v>940</v>
      </c>
      <c r="G276" s="17" t="s">
        <v>169</v>
      </c>
      <c r="H276" s="17" t="s">
        <v>145</v>
      </c>
      <c r="I276" s="122"/>
      <c r="J276" s="203"/>
      <c r="K276" s="200"/>
      <c r="L276" s="203"/>
      <c r="M276" s="203"/>
      <c r="N276" s="203"/>
      <c r="O276" s="203"/>
      <c r="P276" s="203"/>
      <c r="Q276" s="203"/>
      <c r="R276" s="203"/>
      <c r="S276" s="203"/>
    </row>
    <row r="277" spans="5:19" x14ac:dyDescent="0.25">
      <c r="J277" s="198"/>
      <c r="K277" s="198"/>
      <c r="L277" s="198"/>
      <c r="M277" s="198"/>
      <c r="N277" s="198"/>
      <c r="O277" s="198"/>
      <c r="P277" s="198"/>
      <c r="Q277" s="198"/>
      <c r="R277" s="198"/>
      <c r="S277" s="198"/>
    </row>
    <row r="278" spans="5:19" x14ac:dyDescent="0.25">
      <c r="E278" s="121" t="s">
        <v>203</v>
      </c>
      <c r="J278" s="198"/>
      <c r="K278" s="198"/>
      <c r="L278" s="198"/>
      <c r="M278" s="198"/>
      <c r="N278" s="198"/>
      <c r="O278" s="198"/>
      <c r="P278" s="198"/>
      <c r="Q278" s="198"/>
      <c r="R278" s="198"/>
      <c r="S278" s="198"/>
    </row>
    <row r="279" spans="5:19" x14ac:dyDescent="0.25">
      <c r="F279" s="80" t="s">
        <v>925</v>
      </c>
      <c r="G279" s="80" t="s">
        <v>169</v>
      </c>
      <c r="H279" s="80" t="s">
        <v>145</v>
      </c>
      <c r="I279" s="94"/>
      <c r="J279" s="201"/>
      <c r="K279" s="196"/>
      <c r="L279" s="201"/>
      <c r="M279" s="201"/>
      <c r="N279" s="201"/>
      <c r="O279" s="201"/>
      <c r="P279" s="201"/>
      <c r="Q279" s="201"/>
      <c r="R279" s="201"/>
      <c r="S279" s="201"/>
    </row>
    <row r="280" spans="5:19" x14ac:dyDescent="0.25">
      <c r="F280" t="s">
        <v>926</v>
      </c>
      <c r="G280" t="s">
        <v>169</v>
      </c>
      <c r="H280" t="s">
        <v>145</v>
      </c>
      <c r="J280" s="202"/>
      <c r="K280" s="198"/>
      <c r="L280" s="202"/>
      <c r="M280" s="202"/>
      <c r="N280" s="202"/>
      <c r="O280" s="202"/>
      <c r="P280" s="202"/>
      <c r="Q280" s="202"/>
      <c r="R280" s="202"/>
      <c r="S280" s="202"/>
    </row>
    <row r="281" spans="5:19" x14ac:dyDescent="0.25">
      <c r="F281" t="s">
        <v>927</v>
      </c>
      <c r="G281" t="s">
        <v>169</v>
      </c>
      <c r="H281" t="s">
        <v>145</v>
      </c>
      <c r="J281" s="202"/>
      <c r="K281" s="198"/>
      <c r="L281" s="202"/>
      <c r="M281" s="202"/>
      <c r="N281" s="202"/>
      <c r="O281" s="202"/>
      <c r="P281" s="202"/>
      <c r="Q281" s="202"/>
      <c r="R281" s="202"/>
      <c r="S281" s="202"/>
    </row>
    <row r="282" spans="5:19" x14ac:dyDescent="0.25">
      <c r="F282" t="s">
        <v>928</v>
      </c>
      <c r="G282" t="s">
        <v>169</v>
      </c>
      <c r="H282" t="s">
        <v>145</v>
      </c>
      <c r="J282" s="202"/>
      <c r="K282" s="198"/>
      <c r="L282" s="202"/>
      <c r="M282" s="202"/>
      <c r="N282" s="202"/>
      <c r="O282" s="202"/>
      <c r="P282" s="202"/>
      <c r="Q282" s="202"/>
      <c r="R282" s="202"/>
      <c r="S282" s="202"/>
    </row>
    <row r="283" spans="5:19" x14ac:dyDescent="0.25">
      <c r="F283" t="s">
        <v>929</v>
      </c>
      <c r="G283" t="s">
        <v>169</v>
      </c>
      <c r="H283" t="s">
        <v>145</v>
      </c>
      <c r="J283" s="197">
        <f t="shared" ref="J283:J285" si="54">CHOOSE(year_selection, L283,M283,N283,O283,P283,Q283,R283,S283)</f>
        <v>12241</v>
      </c>
      <c r="K283" s="198"/>
      <c r="L283" s="281"/>
      <c r="M283" s="281">
        <v>4096</v>
      </c>
      <c r="N283" s="281">
        <v>11395</v>
      </c>
      <c r="O283" s="281">
        <v>12241</v>
      </c>
      <c r="P283" s="281">
        <f t="shared" ref="P283:S285" si="55">$O283</f>
        <v>12241</v>
      </c>
      <c r="Q283" s="281">
        <f t="shared" si="55"/>
        <v>12241</v>
      </c>
      <c r="R283" s="281">
        <f t="shared" si="55"/>
        <v>12241</v>
      </c>
      <c r="S283" s="281">
        <f t="shared" si="55"/>
        <v>12241</v>
      </c>
    </row>
    <row r="284" spans="5:19" x14ac:dyDescent="0.25">
      <c r="F284" t="s">
        <v>930</v>
      </c>
      <c r="G284" t="s">
        <v>169</v>
      </c>
      <c r="H284" t="s">
        <v>145</v>
      </c>
      <c r="J284" s="197">
        <f t="shared" si="54"/>
        <v>302</v>
      </c>
      <c r="K284" s="198"/>
      <c r="L284" s="281"/>
      <c r="M284" s="281">
        <v>4</v>
      </c>
      <c r="N284" s="281">
        <v>302</v>
      </c>
      <c r="O284" s="281">
        <v>302</v>
      </c>
      <c r="P284" s="281">
        <f t="shared" si="55"/>
        <v>302</v>
      </c>
      <c r="Q284" s="281">
        <f t="shared" si="55"/>
        <v>302</v>
      </c>
      <c r="R284" s="281">
        <f t="shared" si="55"/>
        <v>302</v>
      </c>
      <c r="S284" s="281">
        <f t="shared" si="55"/>
        <v>302</v>
      </c>
    </row>
    <row r="285" spans="5:19" x14ac:dyDescent="0.25">
      <c r="F285" t="s">
        <v>931</v>
      </c>
      <c r="G285" t="s">
        <v>169</v>
      </c>
      <c r="H285" t="s">
        <v>145</v>
      </c>
      <c r="J285" s="197">
        <f t="shared" si="54"/>
        <v>5846</v>
      </c>
      <c r="K285" s="198"/>
      <c r="L285" s="281"/>
      <c r="M285" s="281">
        <v>1026</v>
      </c>
      <c r="N285" s="281">
        <v>6004</v>
      </c>
      <c r="O285" s="281">
        <v>5846</v>
      </c>
      <c r="P285" s="281">
        <f t="shared" si="55"/>
        <v>5846</v>
      </c>
      <c r="Q285" s="281">
        <f t="shared" si="55"/>
        <v>5846</v>
      </c>
      <c r="R285" s="281">
        <f t="shared" si="55"/>
        <v>5846</v>
      </c>
      <c r="S285" s="281">
        <f t="shared" si="55"/>
        <v>5846</v>
      </c>
    </row>
    <row r="286" spans="5:19" x14ac:dyDescent="0.25">
      <c r="F286" t="s">
        <v>932</v>
      </c>
      <c r="G286" t="s">
        <v>169</v>
      </c>
      <c r="H286" t="s">
        <v>145</v>
      </c>
      <c r="J286" s="202"/>
      <c r="K286" s="198"/>
      <c r="L286" s="202"/>
      <c r="M286" s="202"/>
      <c r="N286" s="202"/>
      <c r="O286" s="202"/>
      <c r="P286" s="202"/>
      <c r="Q286" s="202"/>
      <c r="R286" s="202"/>
      <c r="S286" s="202"/>
    </row>
    <row r="287" spans="5:19" x14ac:dyDescent="0.25">
      <c r="F287" t="s">
        <v>933</v>
      </c>
      <c r="G287" t="s">
        <v>169</v>
      </c>
      <c r="H287" t="s">
        <v>145</v>
      </c>
      <c r="J287" s="202"/>
      <c r="K287" s="198"/>
      <c r="L287" s="202"/>
      <c r="M287" s="202"/>
      <c r="N287" s="202"/>
      <c r="O287" s="202"/>
      <c r="P287" s="202"/>
      <c r="Q287" s="202"/>
      <c r="R287" s="202"/>
      <c r="S287" s="202"/>
    </row>
    <row r="288" spans="5:19" x14ac:dyDescent="0.25">
      <c r="F288" t="s">
        <v>934</v>
      </c>
      <c r="G288" t="s">
        <v>169</v>
      </c>
      <c r="H288" t="s">
        <v>145</v>
      </c>
      <c r="J288" s="202"/>
      <c r="K288" s="198"/>
      <c r="L288" s="202"/>
      <c r="M288" s="202"/>
      <c r="N288" s="202"/>
      <c r="O288" s="202"/>
      <c r="P288" s="202"/>
      <c r="Q288" s="202"/>
      <c r="R288" s="202"/>
      <c r="S288" s="202"/>
    </row>
    <row r="289" spans="5:19" x14ac:dyDescent="0.25">
      <c r="F289" t="s">
        <v>935</v>
      </c>
      <c r="G289" t="s">
        <v>169</v>
      </c>
      <c r="H289" t="s">
        <v>145</v>
      </c>
      <c r="J289" s="202"/>
      <c r="K289" s="198"/>
      <c r="L289" s="202"/>
      <c r="M289" s="202"/>
      <c r="N289" s="202"/>
      <c r="O289" s="202"/>
      <c r="P289" s="202"/>
      <c r="Q289" s="202"/>
      <c r="R289" s="202"/>
      <c r="S289" s="202"/>
    </row>
    <row r="290" spans="5:19" x14ac:dyDescent="0.25">
      <c r="F290" t="s">
        <v>936</v>
      </c>
      <c r="G290" t="s">
        <v>169</v>
      </c>
      <c r="H290" t="s">
        <v>145</v>
      </c>
      <c r="J290" s="202"/>
      <c r="K290" s="198"/>
      <c r="L290" s="202"/>
      <c r="M290" s="202"/>
      <c r="N290" s="202"/>
      <c r="O290" s="202"/>
      <c r="P290" s="202"/>
      <c r="Q290" s="202"/>
      <c r="R290" s="202"/>
      <c r="S290" s="202"/>
    </row>
    <row r="291" spans="5:19" x14ac:dyDescent="0.25">
      <c r="F291" t="s">
        <v>937</v>
      </c>
      <c r="G291" t="s">
        <v>169</v>
      </c>
      <c r="H291" t="s">
        <v>145</v>
      </c>
      <c r="J291" s="202"/>
      <c r="K291" s="198"/>
      <c r="L291" s="202"/>
      <c r="M291" s="202"/>
      <c r="N291" s="202"/>
      <c r="O291" s="202"/>
      <c r="P291" s="202"/>
      <c r="Q291" s="202"/>
      <c r="R291" s="202"/>
      <c r="S291" s="202"/>
    </row>
    <row r="292" spans="5:19" x14ac:dyDescent="0.25">
      <c r="F292" t="s">
        <v>938</v>
      </c>
      <c r="G292" t="s">
        <v>169</v>
      </c>
      <c r="H292" t="s">
        <v>145</v>
      </c>
      <c r="J292" s="202"/>
      <c r="K292" s="198"/>
      <c r="L292" s="202"/>
      <c r="M292" s="202"/>
      <c r="N292" s="202"/>
      <c r="O292" s="202"/>
      <c r="P292" s="202"/>
      <c r="Q292" s="202"/>
      <c r="R292" s="202"/>
      <c r="S292" s="202"/>
    </row>
    <row r="293" spans="5:19" x14ac:dyDescent="0.25">
      <c r="F293" t="s">
        <v>939</v>
      </c>
      <c r="G293" t="s">
        <v>169</v>
      </c>
      <c r="H293" t="s">
        <v>145</v>
      </c>
      <c r="J293" s="202"/>
      <c r="K293" s="198"/>
      <c r="L293" s="202"/>
      <c r="M293" s="202"/>
      <c r="N293" s="202"/>
      <c r="O293" s="202"/>
      <c r="P293" s="202"/>
      <c r="Q293" s="202"/>
      <c r="R293" s="202"/>
      <c r="S293" s="202"/>
    </row>
    <row r="294" spans="5:19" x14ac:dyDescent="0.25">
      <c r="F294" s="17" t="s">
        <v>940</v>
      </c>
      <c r="G294" s="17" t="s">
        <v>169</v>
      </c>
      <c r="H294" s="17" t="s">
        <v>145</v>
      </c>
      <c r="I294" s="122"/>
      <c r="J294" s="203"/>
      <c r="K294" s="200"/>
      <c r="L294" s="203"/>
      <c r="M294" s="203"/>
      <c r="N294" s="203"/>
      <c r="O294" s="203"/>
      <c r="P294" s="203"/>
      <c r="Q294" s="203"/>
      <c r="R294" s="203"/>
      <c r="S294" s="203"/>
    </row>
    <row r="295" spans="5:19" x14ac:dyDescent="0.25">
      <c r="J295" s="198"/>
      <c r="K295" s="198"/>
      <c r="L295" s="198"/>
      <c r="M295" s="198"/>
      <c r="N295" s="198"/>
      <c r="O295" s="198"/>
      <c r="P295" s="198"/>
      <c r="Q295" s="198"/>
      <c r="R295" s="198"/>
      <c r="S295" s="198"/>
    </row>
    <row r="296" spans="5:19" x14ac:dyDescent="0.25">
      <c r="E296" s="121" t="s">
        <v>204</v>
      </c>
      <c r="J296" s="198"/>
      <c r="K296" s="198"/>
      <c r="L296" s="198"/>
      <c r="M296" s="198"/>
      <c r="N296" s="198"/>
      <c r="O296" s="198"/>
      <c r="P296" s="198"/>
      <c r="Q296" s="198"/>
      <c r="R296" s="198"/>
      <c r="S296" s="198"/>
    </row>
    <row r="297" spans="5:19" x14ac:dyDescent="0.25">
      <c r="F297" s="80" t="s">
        <v>925</v>
      </c>
      <c r="G297" s="80" t="s">
        <v>170</v>
      </c>
      <c r="H297" s="80" t="s">
        <v>145</v>
      </c>
      <c r="I297" s="94"/>
      <c r="J297" s="201"/>
      <c r="K297" s="196"/>
      <c r="L297" s="201"/>
      <c r="M297" s="201"/>
      <c r="N297" s="201"/>
      <c r="O297" s="201"/>
      <c r="P297" s="201"/>
      <c r="Q297" s="201"/>
      <c r="R297" s="201"/>
      <c r="S297" s="201"/>
    </row>
    <row r="298" spans="5:19" x14ac:dyDescent="0.25">
      <c r="F298" t="s">
        <v>926</v>
      </c>
      <c r="G298" t="s">
        <v>170</v>
      </c>
      <c r="H298" t="s">
        <v>145</v>
      </c>
      <c r="J298" s="202"/>
      <c r="K298" s="198"/>
      <c r="L298" s="202"/>
      <c r="M298" s="202"/>
      <c r="N298" s="202"/>
      <c r="O298" s="202"/>
      <c r="P298" s="202"/>
      <c r="Q298" s="202"/>
      <c r="R298" s="202"/>
      <c r="S298" s="202"/>
    </row>
    <row r="299" spans="5:19" x14ac:dyDescent="0.25">
      <c r="F299" t="s">
        <v>927</v>
      </c>
      <c r="G299" t="s">
        <v>170</v>
      </c>
      <c r="H299" t="s">
        <v>145</v>
      </c>
      <c r="J299" s="202"/>
      <c r="K299" s="198"/>
      <c r="L299" s="202"/>
      <c r="M299" s="202"/>
      <c r="N299" s="202"/>
      <c r="O299" s="202"/>
      <c r="P299" s="202"/>
      <c r="Q299" s="202"/>
      <c r="R299" s="202"/>
      <c r="S299" s="202"/>
    </row>
    <row r="300" spans="5:19" x14ac:dyDescent="0.25">
      <c r="F300" t="s">
        <v>928</v>
      </c>
      <c r="G300" t="s">
        <v>170</v>
      </c>
      <c r="H300" t="s">
        <v>145</v>
      </c>
      <c r="J300" s="202"/>
      <c r="K300" s="198"/>
      <c r="L300" s="202"/>
      <c r="M300" s="202"/>
      <c r="N300" s="202"/>
      <c r="O300" s="202"/>
      <c r="P300" s="202"/>
      <c r="Q300" s="202"/>
      <c r="R300" s="202"/>
      <c r="S300" s="202"/>
    </row>
    <row r="301" spans="5:19" x14ac:dyDescent="0.25">
      <c r="F301" t="s">
        <v>929</v>
      </c>
      <c r="G301" t="s">
        <v>170</v>
      </c>
      <c r="H301" t="s">
        <v>145</v>
      </c>
      <c r="J301" s="197">
        <f t="shared" ref="J301:J303" si="56">CHOOSE(year_selection, L301,M301,N301,O301,P301,Q301,R301,S301)</f>
        <v>48146.402999999998</v>
      </c>
      <c r="K301" s="198"/>
      <c r="L301" s="281"/>
      <c r="M301" s="281">
        <v>41312.516000000003</v>
      </c>
      <c r="N301" s="281">
        <v>48657.455000000002</v>
      </c>
      <c r="O301" s="281">
        <v>48146.402999999998</v>
      </c>
      <c r="P301" s="281">
        <f t="shared" ref="P301:S303" si="57">$O301</f>
        <v>48146.402999999998</v>
      </c>
      <c r="Q301" s="281">
        <f t="shared" si="57"/>
        <v>48146.402999999998</v>
      </c>
      <c r="R301" s="281">
        <f t="shared" si="57"/>
        <v>48146.402999999998</v>
      </c>
      <c r="S301" s="281">
        <f t="shared" si="57"/>
        <v>48146.402999999998</v>
      </c>
    </row>
    <row r="302" spans="5:19" x14ac:dyDescent="0.25">
      <c r="F302" t="s">
        <v>930</v>
      </c>
      <c r="G302" t="s">
        <v>170</v>
      </c>
      <c r="H302" t="s">
        <v>145</v>
      </c>
      <c r="J302" s="197">
        <f t="shared" si="56"/>
        <v>502.32499999999999</v>
      </c>
      <c r="K302" s="198"/>
      <c r="L302" s="281"/>
      <c r="M302" s="281">
        <v>72.188999999999993</v>
      </c>
      <c r="N302" s="281">
        <v>234.28200000000001</v>
      </c>
      <c r="O302" s="281">
        <v>502.32499999999999</v>
      </c>
      <c r="P302" s="281">
        <f t="shared" si="57"/>
        <v>502.32499999999999</v>
      </c>
      <c r="Q302" s="281">
        <f t="shared" si="57"/>
        <v>502.32499999999999</v>
      </c>
      <c r="R302" s="281">
        <f t="shared" si="57"/>
        <v>502.32499999999999</v>
      </c>
      <c r="S302" s="281">
        <f t="shared" si="57"/>
        <v>502.32499999999999</v>
      </c>
    </row>
    <row r="303" spans="5:19" x14ac:dyDescent="0.25">
      <c r="F303" t="s">
        <v>931</v>
      </c>
      <c r="G303" t="s">
        <v>170</v>
      </c>
      <c r="H303" t="s">
        <v>145</v>
      </c>
      <c r="J303" s="197">
        <f t="shared" si="56"/>
        <v>24313.001</v>
      </c>
      <c r="K303" s="198"/>
      <c r="L303" s="281"/>
      <c r="M303" s="281">
        <v>14715.835999999999</v>
      </c>
      <c r="N303" s="281">
        <v>24704.260999999999</v>
      </c>
      <c r="O303" s="281">
        <v>24313.001</v>
      </c>
      <c r="P303" s="281">
        <f t="shared" si="57"/>
        <v>24313.001</v>
      </c>
      <c r="Q303" s="281">
        <f t="shared" si="57"/>
        <v>24313.001</v>
      </c>
      <c r="R303" s="281">
        <f t="shared" si="57"/>
        <v>24313.001</v>
      </c>
      <c r="S303" s="281">
        <f t="shared" si="57"/>
        <v>24313.001</v>
      </c>
    </row>
    <row r="304" spans="5:19" x14ac:dyDescent="0.25">
      <c r="F304" t="s">
        <v>932</v>
      </c>
      <c r="G304" t="s">
        <v>170</v>
      </c>
      <c r="H304" t="s">
        <v>145</v>
      </c>
      <c r="J304" s="202"/>
      <c r="K304" s="198"/>
      <c r="L304" s="202"/>
      <c r="M304" s="202"/>
      <c r="N304" s="202"/>
      <c r="O304" s="202"/>
      <c r="P304" s="202"/>
      <c r="Q304" s="202"/>
      <c r="R304" s="202"/>
      <c r="S304" s="202"/>
    </row>
    <row r="305" spans="3:21" x14ac:dyDescent="0.25">
      <c r="F305" t="s">
        <v>933</v>
      </c>
      <c r="G305" t="s">
        <v>170</v>
      </c>
      <c r="H305" t="s">
        <v>145</v>
      </c>
      <c r="J305" s="202"/>
      <c r="K305" s="198"/>
      <c r="L305" s="202"/>
      <c r="M305" s="202"/>
      <c r="N305" s="202"/>
      <c r="O305" s="202"/>
      <c r="P305" s="202"/>
      <c r="Q305" s="202"/>
      <c r="R305" s="202"/>
      <c r="S305" s="202"/>
    </row>
    <row r="306" spans="3:21" x14ac:dyDescent="0.25">
      <c r="F306" t="s">
        <v>934</v>
      </c>
      <c r="G306" t="s">
        <v>170</v>
      </c>
      <c r="H306" t="s">
        <v>145</v>
      </c>
      <c r="J306" s="202"/>
      <c r="K306" s="198"/>
      <c r="L306" s="202"/>
      <c r="M306" s="202"/>
      <c r="N306" s="202"/>
      <c r="O306" s="202"/>
      <c r="P306" s="202"/>
      <c r="Q306" s="202"/>
      <c r="R306" s="202"/>
      <c r="S306" s="202"/>
    </row>
    <row r="307" spans="3:21" x14ac:dyDescent="0.25">
      <c r="F307" t="s">
        <v>935</v>
      </c>
      <c r="G307" t="s">
        <v>170</v>
      </c>
      <c r="H307" t="s">
        <v>145</v>
      </c>
      <c r="J307" s="202"/>
      <c r="K307" s="198"/>
      <c r="L307" s="202"/>
      <c r="M307" s="202"/>
      <c r="N307" s="202"/>
      <c r="O307" s="202"/>
      <c r="P307" s="202"/>
      <c r="Q307" s="202"/>
      <c r="R307" s="202"/>
      <c r="S307" s="202"/>
    </row>
    <row r="308" spans="3:21" x14ac:dyDescent="0.25">
      <c r="F308" t="s">
        <v>936</v>
      </c>
      <c r="G308" t="s">
        <v>170</v>
      </c>
      <c r="H308" t="s">
        <v>145</v>
      </c>
      <c r="J308" s="202"/>
      <c r="K308" s="198"/>
      <c r="L308" s="202"/>
      <c r="M308" s="202"/>
      <c r="N308" s="202"/>
      <c r="O308" s="202"/>
      <c r="P308" s="202"/>
      <c r="Q308" s="202"/>
      <c r="R308" s="202"/>
      <c r="S308" s="202"/>
    </row>
    <row r="309" spans="3:21" x14ac:dyDescent="0.25">
      <c r="F309" t="s">
        <v>937</v>
      </c>
      <c r="G309" t="s">
        <v>170</v>
      </c>
      <c r="H309" t="s">
        <v>145</v>
      </c>
      <c r="J309" s="202"/>
      <c r="K309" s="198"/>
      <c r="L309" s="202"/>
      <c r="M309" s="202"/>
      <c r="N309" s="202"/>
      <c r="O309" s="202"/>
      <c r="P309" s="202"/>
      <c r="Q309" s="202"/>
      <c r="R309" s="202"/>
      <c r="S309" s="202"/>
    </row>
    <row r="310" spans="3:21" x14ac:dyDescent="0.25">
      <c r="F310" t="s">
        <v>938</v>
      </c>
      <c r="G310" t="s">
        <v>170</v>
      </c>
      <c r="H310" t="s">
        <v>145</v>
      </c>
      <c r="J310" s="202"/>
      <c r="K310" s="198"/>
      <c r="L310" s="202"/>
      <c r="M310" s="202"/>
      <c r="N310" s="202"/>
      <c r="O310" s="202"/>
      <c r="P310" s="202"/>
      <c r="Q310" s="202"/>
      <c r="R310" s="202"/>
      <c r="S310" s="202"/>
    </row>
    <row r="311" spans="3:21" x14ac:dyDescent="0.25">
      <c r="F311" t="s">
        <v>939</v>
      </c>
      <c r="G311" t="s">
        <v>170</v>
      </c>
      <c r="H311" t="s">
        <v>145</v>
      </c>
      <c r="J311" s="202"/>
      <c r="K311" s="198"/>
      <c r="L311" s="202"/>
      <c r="M311" s="202"/>
      <c r="N311" s="202"/>
      <c r="O311" s="202"/>
      <c r="P311" s="202"/>
      <c r="Q311" s="202"/>
      <c r="R311" s="202"/>
      <c r="S311" s="202"/>
    </row>
    <row r="312" spans="3:21" x14ac:dyDescent="0.25">
      <c r="F312" s="17" t="s">
        <v>940</v>
      </c>
      <c r="G312" s="17" t="s">
        <v>170</v>
      </c>
      <c r="H312" s="17" t="s">
        <v>145</v>
      </c>
      <c r="I312" s="122"/>
      <c r="J312" s="203"/>
      <c r="K312" s="200"/>
      <c r="L312" s="203"/>
      <c r="M312" s="203"/>
      <c r="N312" s="203"/>
      <c r="O312" s="203"/>
      <c r="P312" s="203"/>
      <c r="Q312" s="203"/>
      <c r="R312" s="203"/>
      <c r="S312" s="203"/>
    </row>
    <row r="313" spans="3:21" x14ac:dyDescent="0.25">
      <c r="J313" s="198"/>
      <c r="K313" s="198"/>
      <c r="L313" s="198"/>
      <c r="M313" s="198"/>
      <c r="N313" s="198"/>
      <c r="O313" s="198"/>
      <c r="P313" s="198"/>
      <c r="Q313" s="198"/>
      <c r="R313" s="198"/>
      <c r="S313" s="198"/>
    </row>
    <row r="314" spans="3:21" x14ac:dyDescent="0.25">
      <c r="C314" s="5" t="str">
        <f ca="1">INDEX('Version control'!$H$36:$H$62,MATCH($A$1,'Version control'!$F$36:$F$62,0),1)&amp;"-E: All-the-way volumes - Residual Band 2"</f>
        <v>Input 501-E: All-the-way volumes - Residual Band 2</v>
      </c>
      <c r="D314" s="5"/>
      <c r="E314" s="5"/>
      <c r="F314" s="5"/>
      <c r="G314" s="5"/>
      <c r="H314" s="5"/>
      <c r="I314" s="143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</row>
    <row r="315" spans="3:21" x14ac:dyDescent="0.25">
      <c r="C315" s="52"/>
    </row>
    <row r="316" spans="3:21" x14ac:dyDescent="0.25">
      <c r="E316" s="121" t="s">
        <v>199</v>
      </c>
      <c r="I316" s="59" t="s">
        <v>359</v>
      </c>
      <c r="U316" t="s">
        <v>691</v>
      </c>
    </row>
    <row r="317" spans="3:21" x14ac:dyDescent="0.25">
      <c r="F317" s="80" t="s">
        <v>925</v>
      </c>
      <c r="G317" s="80" t="s">
        <v>120</v>
      </c>
      <c r="H317" s="80" t="s">
        <v>145</v>
      </c>
      <c r="I317" s="94"/>
      <c r="J317" s="201"/>
      <c r="K317" s="196"/>
      <c r="L317" s="201"/>
      <c r="M317" s="201"/>
      <c r="N317" s="201"/>
      <c r="O317" s="201"/>
      <c r="P317" s="201"/>
      <c r="Q317" s="201"/>
      <c r="R317" s="201"/>
      <c r="S317" s="201"/>
    </row>
    <row r="318" spans="3:21" x14ac:dyDescent="0.25">
      <c r="F318" t="s">
        <v>926</v>
      </c>
      <c r="G318" t="s">
        <v>120</v>
      </c>
      <c r="H318" t="s">
        <v>145</v>
      </c>
      <c r="J318" s="202"/>
      <c r="K318" s="198"/>
      <c r="L318" s="202"/>
      <c r="M318" s="202"/>
      <c r="N318" s="202"/>
      <c r="O318" s="202"/>
      <c r="P318" s="202"/>
      <c r="Q318" s="202"/>
      <c r="R318" s="202"/>
      <c r="S318" s="202"/>
    </row>
    <row r="319" spans="3:21" x14ac:dyDescent="0.25">
      <c r="F319" t="s">
        <v>927</v>
      </c>
      <c r="G319" t="s">
        <v>120</v>
      </c>
      <c r="H319" t="s">
        <v>145</v>
      </c>
      <c r="J319" s="197">
        <f t="shared" ref="J319" si="58">CHOOSE(year_selection, L319,M319,N319,O319,P319,Q319,R319,S319)</f>
        <v>30057.319359680965</v>
      </c>
      <c r="K319" s="198"/>
      <c r="L319" s="281"/>
      <c r="M319" s="281">
        <v>22319.259085548329</v>
      </c>
      <c r="N319" s="281">
        <v>28750.319998850213</v>
      </c>
      <c r="O319" s="281">
        <v>30057.319359680965</v>
      </c>
      <c r="P319" s="281">
        <f t="shared" ref="P319:S319" si="59">$O319</f>
        <v>30057.319359680965</v>
      </c>
      <c r="Q319" s="281">
        <f t="shared" si="59"/>
        <v>30057.319359680965</v>
      </c>
      <c r="R319" s="281">
        <f t="shared" si="59"/>
        <v>30057.319359680965</v>
      </c>
      <c r="S319" s="281">
        <f t="shared" si="59"/>
        <v>30057.319359680965</v>
      </c>
    </row>
    <row r="320" spans="3:21" x14ac:dyDescent="0.25">
      <c r="F320" t="s">
        <v>928</v>
      </c>
      <c r="G320" t="s">
        <v>120</v>
      </c>
      <c r="H320" t="s">
        <v>145</v>
      </c>
      <c r="J320" s="202"/>
      <c r="K320" s="198"/>
      <c r="L320" s="202"/>
      <c r="M320" s="202"/>
      <c r="N320" s="202"/>
      <c r="O320" s="202"/>
      <c r="P320" s="202"/>
      <c r="Q320" s="202"/>
      <c r="R320" s="202"/>
      <c r="S320" s="202"/>
    </row>
    <row r="321" spans="5:19" x14ac:dyDescent="0.25">
      <c r="F321" t="s">
        <v>929</v>
      </c>
      <c r="G321" t="s">
        <v>120</v>
      </c>
      <c r="H321" t="s">
        <v>145</v>
      </c>
      <c r="J321" s="197">
        <f t="shared" ref="J321:J323" si="60">CHOOSE(year_selection, L321,M321,N321,O321,P321,Q321,R321,S321)</f>
        <v>65625.904093153804</v>
      </c>
      <c r="K321" s="198"/>
      <c r="L321" s="281"/>
      <c r="M321" s="281">
        <v>63370.976935237777</v>
      </c>
      <c r="N321" s="281">
        <v>69695.361290646397</v>
      </c>
      <c r="O321" s="281">
        <v>65625.904093153804</v>
      </c>
      <c r="P321" s="281">
        <f t="shared" ref="P321:S323" si="61">$O321</f>
        <v>65625.904093153804</v>
      </c>
      <c r="Q321" s="281">
        <f t="shared" si="61"/>
        <v>65625.904093153804</v>
      </c>
      <c r="R321" s="281">
        <f t="shared" si="61"/>
        <v>65625.904093153804</v>
      </c>
      <c r="S321" s="281">
        <f t="shared" si="61"/>
        <v>65625.904093153804</v>
      </c>
    </row>
    <row r="322" spans="5:19" x14ac:dyDescent="0.25">
      <c r="F322" t="s">
        <v>930</v>
      </c>
      <c r="G322" t="s">
        <v>120</v>
      </c>
      <c r="H322" t="s">
        <v>145</v>
      </c>
      <c r="J322" s="197">
        <f t="shared" si="60"/>
        <v>622.15327059830827</v>
      </c>
      <c r="K322" s="198"/>
      <c r="L322" s="281"/>
      <c r="M322" s="281">
        <v>537.19684070743642</v>
      </c>
      <c r="N322" s="281">
        <v>491.86176987709507</v>
      </c>
      <c r="O322" s="281">
        <v>622.15327059830827</v>
      </c>
      <c r="P322" s="281">
        <f t="shared" si="61"/>
        <v>622.15327059830827</v>
      </c>
      <c r="Q322" s="281">
        <f t="shared" si="61"/>
        <v>622.15327059830827</v>
      </c>
      <c r="R322" s="281">
        <f t="shared" si="61"/>
        <v>622.15327059830827</v>
      </c>
      <c r="S322" s="281">
        <f t="shared" si="61"/>
        <v>622.15327059830827</v>
      </c>
    </row>
    <row r="323" spans="5:19" x14ac:dyDescent="0.25">
      <c r="F323" t="s">
        <v>931</v>
      </c>
      <c r="G323" t="s">
        <v>120</v>
      </c>
      <c r="H323" t="s">
        <v>145</v>
      </c>
      <c r="J323" s="197">
        <f t="shared" si="60"/>
        <v>57933.42611206969</v>
      </c>
      <c r="K323" s="198"/>
      <c r="L323" s="281"/>
      <c r="M323" s="281">
        <v>62950.236087719692</v>
      </c>
      <c r="N323" s="281">
        <v>64103.474693516262</v>
      </c>
      <c r="O323" s="281">
        <v>57933.42611206969</v>
      </c>
      <c r="P323" s="281">
        <f t="shared" si="61"/>
        <v>57933.42611206969</v>
      </c>
      <c r="Q323" s="281">
        <f t="shared" si="61"/>
        <v>57933.42611206969</v>
      </c>
      <c r="R323" s="281">
        <f t="shared" si="61"/>
        <v>57933.42611206969</v>
      </c>
      <c r="S323" s="281">
        <f t="shared" si="61"/>
        <v>57933.42611206969</v>
      </c>
    </row>
    <row r="324" spans="5:19" x14ac:dyDescent="0.25">
      <c r="F324" t="s">
        <v>932</v>
      </c>
      <c r="G324" t="s">
        <v>120</v>
      </c>
      <c r="H324" t="s">
        <v>145</v>
      </c>
      <c r="J324" s="202"/>
      <c r="K324" s="198"/>
      <c r="L324" s="202"/>
      <c r="M324" s="202"/>
      <c r="N324" s="202"/>
      <c r="O324" s="202"/>
      <c r="P324" s="202"/>
      <c r="Q324" s="202"/>
      <c r="R324" s="202"/>
      <c r="S324" s="202"/>
    </row>
    <row r="325" spans="5:19" x14ac:dyDescent="0.25">
      <c r="F325" t="s">
        <v>933</v>
      </c>
      <c r="G325" t="s">
        <v>120</v>
      </c>
      <c r="H325" t="s">
        <v>145</v>
      </c>
      <c r="J325" s="202"/>
      <c r="K325" s="198"/>
      <c r="L325" s="202"/>
      <c r="M325" s="202"/>
      <c r="N325" s="202"/>
      <c r="O325" s="202"/>
      <c r="P325" s="202"/>
      <c r="Q325" s="202"/>
      <c r="R325" s="202"/>
      <c r="S325" s="202"/>
    </row>
    <row r="326" spans="5:19" x14ac:dyDescent="0.25">
      <c r="F326" t="s">
        <v>934</v>
      </c>
      <c r="G326" t="s">
        <v>120</v>
      </c>
      <c r="H326" t="s">
        <v>145</v>
      </c>
      <c r="J326" s="202"/>
      <c r="K326" s="198"/>
      <c r="L326" s="202"/>
      <c r="M326" s="202"/>
      <c r="N326" s="202"/>
      <c r="O326" s="202"/>
      <c r="P326" s="202"/>
      <c r="Q326" s="202"/>
      <c r="R326" s="202"/>
      <c r="S326" s="202"/>
    </row>
    <row r="327" spans="5:19" x14ac:dyDescent="0.25">
      <c r="F327" t="s">
        <v>935</v>
      </c>
      <c r="G327" t="s">
        <v>120</v>
      </c>
      <c r="H327" t="s">
        <v>145</v>
      </c>
      <c r="J327" s="202"/>
      <c r="K327" s="198"/>
      <c r="L327" s="202"/>
      <c r="M327" s="202"/>
      <c r="N327" s="202"/>
      <c r="O327" s="202"/>
      <c r="P327" s="202"/>
      <c r="Q327" s="202"/>
      <c r="R327" s="202"/>
      <c r="S327" s="202"/>
    </row>
    <row r="328" spans="5:19" x14ac:dyDescent="0.25">
      <c r="F328" t="s">
        <v>936</v>
      </c>
      <c r="G328" t="s">
        <v>120</v>
      </c>
      <c r="H328" t="s">
        <v>145</v>
      </c>
      <c r="J328" s="202"/>
      <c r="K328" s="198"/>
      <c r="L328" s="202"/>
      <c r="M328" s="202"/>
      <c r="N328" s="202"/>
      <c r="O328" s="202"/>
      <c r="P328" s="202"/>
      <c r="Q328" s="202"/>
      <c r="R328" s="202"/>
      <c r="S328" s="202"/>
    </row>
    <row r="329" spans="5:19" x14ac:dyDescent="0.25">
      <c r="F329" t="s">
        <v>937</v>
      </c>
      <c r="G329" t="s">
        <v>120</v>
      </c>
      <c r="H329" t="s">
        <v>145</v>
      </c>
      <c r="J329" s="202"/>
      <c r="K329" s="198"/>
      <c r="L329" s="202"/>
      <c r="M329" s="202"/>
      <c r="N329" s="202"/>
      <c r="O329" s="202"/>
      <c r="P329" s="202"/>
      <c r="Q329" s="202"/>
      <c r="R329" s="202"/>
      <c r="S329" s="202"/>
    </row>
    <row r="330" spans="5:19" x14ac:dyDescent="0.25">
      <c r="F330" t="s">
        <v>938</v>
      </c>
      <c r="G330" t="s">
        <v>120</v>
      </c>
      <c r="H330" t="s">
        <v>145</v>
      </c>
      <c r="J330" s="202"/>
      <c r="K330" s="198"/>
      <c r="L330" s="202"/>
      <c r="M330" s="202"/>
      <c r="N330" s="202"/>
      <c r="O330" s="202"/>
      <c r="P330" s="202"/>
      <c r="Q330" s="202"/>
      <c r="R330" s="202"/>
      <c r="S330" s="202"/>
    </row>
    <row r="331" spans="5:19" x14ac:dyDescent="0.25">
      <c r="F331" t="s">
        <v>939</v>
      </c>
      <c r="G331" t="s">
        <v>120</v>
      </c>
      <c r="H331" t="s">
        <v>145</v>
      </c>
      <c r="J331" s="202"/>
      <c r="K331" s="198"/>
      <c r="L331" s="202"/>
      <c r="M331" s="202"/>
      <c r="N331" s="202"/>
      <c r="O331" s="202"/>
      <c r="P331" s="202"/>
      <c r="Q331" s="202"/>
      <c r="R331" s="202"/>
      <c r="S331" s="202"/>
    </row>
    <row r="332" spans="5:19" x14ac:dyDescent="0.25">
      <c r="F332" s="17" t="s">
        <v>940</v>
      </c>
      <c r="G332" s="17" t="s">
        <v>120</v>
      </c>
      <c r="H332" s="17" t="s">
        <v>145</v>
      </c>
      <c r="I332" s="122"/>
      <c r="J332" s="203"/>
      <c r="K332" s="200"/>
      <c r="L332" s="203"/>
      <c r="M332" s="203"/>
      <c r="N332" s="203"/>
      <c r="O332" s="203"/>
      <c r="P332" s="203"/>
      <c r="Q332" s="203"/>
      <c r="R332" s="203"/>
      <c r="S332" s="203"/>
    </row>
    <row r="333" spans="5:19" x14ac:dyDescent="0.25">
      <c r="J333" s="198"/>
      <c r="K333" s="198"/>
      <c r="L333" s="198"/>
      <c r="M333" s="198"/>
      <c r="N333" s="198"/>
      <c r="O333" s="198"/>
      <c r="P333" s="198"/>
      <c r="Q333" s="198"/>
      <c r="R333" s="198"/>
      <c r="S333" s="198"/>
    </row>
    <row r="334" spans="5:19" x14ac:dyDescent="0.25">
      <c r="E334" s="121" t="s">
        <v>200</v>
      </c>
      <c r="J334" s="198"/>
      <c r="K334" s="198"/>
      <c r="L334" s="198"/>
      <c r="M334" s="198"/>
      <c r="N334" s="198"/>
      <c r="O334" s="198"/>
      <c r="P334" s="198"/>
      <c r="Q334" s="198"/>
      <c r="R334" s="198"/>
      <c r="S334" s="198"/>
    </row>
    <row r="335" spans="5:19" x14ac:dyDescent="0.25">
      <c r="F335" s="80" t="s">
        <v>925</v>
      </c>
      <c r="G335" s="80" t="s">
        <v>120</v>
      </c>
      <c r="H335" s="80" t="s">
        <v>145</v>
      </c>
      <c r="I335" s="94"/>
      <c r="J335" s="201"/>
      <c r="K335" s="196"/>
      <c r="L335" s="201"/>
      <c r="M335" s="201"/>
      <c r="N335" s="201"/>
      <c r="O335" s="201"/>
      <c r="P335" s="201"/>
      <c r="Q335" s="201"/>
      <c r="R335" s="201"/>
      <c r="S335" s="201"/>
    </row>
    <row r="336" spans="5:19" x14ac:dyDescent="0.25">
      <c r="F336" t="s">
        <v>926</v>
      </c>
      <c r="G336" t="s">
        <v>120</v>
      </c>
      <c r="H336" t="s">
        <v>145</v>
      </c>
      <c r="J336" s="202"/>
      <c r="K336" s="198"/>
      <c r="L336" s="202"/>
      <c r="M336" s="202"/>
      <c r="N336" s="202"/>
      <c r="O336" s="202"/>
      <c r="P336" s="202"/>
      <c r="Q336" s="202"/>
      <c r="R336" s="202"/>
      <c r="S336" s="202"/>
    </row>
    <row r="337" spans="5:19" x14ac:dyDescent="0.25">
      <c r="F337" t="s">
        <v>927</v>
      </c>
      <c r="G337" t="s">
        <v>120</v>
      </c>
      <c r="H337" t="s">
        <v>145</v>
      </c>
      <c r="J337" s="197">
        <f t="shared" ref="J337" si="62">CHOOSE(year_selection, L337,M337,N337,O337,P337,Q337,R337,S337)</f>
        <v>154560.90540419368</v>
      </c>
      <c r="K337" s="198"/>
      <c r="L337" s="281"/>
      <c r="M337" s="281">
        <v>120788.49722014672</v>
      </c>
      <c r="N337" s="281">
        <v>155592.43852803425</v>
      </c>
      <c r="O337" s="281">
        <v>154560.90540419368</v>
      </c>
      <c r="P337" s="281">
        <f t="shared" ref="P337:S337" si="63">$O337</f>
        <v>154560.90540419368</v>
      </c>
      <c r="Q337" s="281">
        <f t="shared" si="63"/>
        <v>154560.90540419368</v>
      </c>
      <c r="R337" s="281">
        <f t="shared" si="63"/>
        <v>154560.90540419368</v>
      </c>
      <c r="S337" s="281">
        <f t="shared" si="63"/>
        <v>154560.90540419368</v>
      </c>
    </row>
    <row r="338" spans="5:19" x14ac:dyDescent="0.25">
      <c r="F338" t="s">
        <v>928</v>
      </c>
      <c r="G338" t="s">
        <v>120</v>
      </c>
      <c r="H338" t="s">
        <v>145</v>
      </c>
      <c r="J338" s="202"/>
      <c r="K338" s="198"/>
      <c r="L338" s="202"/>
      <c r="M338" s="202"/>
      <c r="N338" s="202"/>
      <c r="O338" s="202"/>
      <c r="P338" s="202"/>
      <c r="Q338" s="202"/>
      <c r="R338" s="202"/>
      <c r="S338" s="202"/>
    </row>
    <row r="339" spans="5:19" x14ac:dyDescent="0.25">
      <c r="F339" t="s">
        <v>929</v>
      </c>
      <c r="G339" t="s">
        <v>120</v>
      </c>
      <c r="H339" t="s">
        <v>145</v>
      </c>
      <c r="J339" s="197">
        <f t="shared" ref="J339:J341" si="64">CHOOSE(year_selection, L339,M339,N339,O339,P339,Q339,R339,S339)</f>
        <v>314851.0725743408</v>
      </c>
      <c r="K339" s="198"/>
      <c r="L339" s="281"/>
      <c r="M339" s="281">
        <v>303942.08965638647</v>
      </c>
      <c r="N339" s="281">
        <v>334283.1801409474</v>
      </c>
      <c r="O339" s="281">
        <v>314851.0725743408</v>
      </c>
      <c r="P339" s="281">
        <f t="shared" ref="P339:S341" si="65">$O339</f>
        <v>314851.0725743408</v>
      </c>
      <c r="Q339" s="281">
        <f t="shared" si="65"/>
        <v>314851.0725743408</v>
      </c>
      <c r="R339" s="281">
        <f t="shared" si="65"/>
        <v>314851.0725743408</v>
      </c>
      <c r="S339" s="281">
        <f t="shared" si="65"/>
        <v>314851.0725743408</v>
      </c>
    </row>
    <row r="340" spans="5:19" x14ac:dyDescent="0.25">
      <c r="F340" t="s">
        <v>930</v>
      </c>
      <c r="G340" t="s">
        <v>120</v>
      </c>
      <c r="H340" t="s">
        <v>145</v>
      </c>
      <c r="J340" s="197">
        <f t="shared" si="64"/>
        <v>2899.6865479946259</v>
      </c>
      <c r="K340" s="198"/>
      <c r="L340" s="281"/>
      <c r="M340" s="281">
        <v>2528.462771755329</v>
      </c>
      <c r="N340" s="281">
        <v>2315.6044052024595</v>
      </c>
      <c r="O340" s="281">
        <v>2899.6865479946259</v>
      </c>
      <c r="P340" s="281">
        <f t="shared" si="65"/>
        <v>2899.6865479946259</v>
      </c>
      <c r="Q340" s="281">
        <f t="shared" si="65"/>
        <v>2899.6865479946259</v>
      </c>
      <c r="R340" s="281">
        <f t="shared" si="65"/>
        <v>2899.6865479946259</v>
      </c>
      <c r="S340" s="281">
        <f t="shared" si="65"/>
        <v>2899.6865479946259</v>
      </c>
    </row>
    <row r="341" spans="5:19" x14ac:dyDescent="0.25">
      <c r="F341" t="s">
        <v>931</v>
      </c>
      <c r="G341" t="s">
        <v>120</v>
      </c>
      <c r="H341" t="s">
        <v>145</v>
      </c>
      <c r="J341" s="197">
        <f t="shared" si="64"/>
        <v>268694.38116284559</v>
      </c>
      <c r="K341" s="198"/>
      <c r="L341" s="281"/>
      <c r="M341" s="281">
        <v>292581.65274044592</v>
      </c>
      <c r="N341" s="281">
        <v>297957.84591086989</v>
      </c>
      <c r="O341" s="281">
        <v>268694.38116284559</v>
      </c>
      <c r="P341" s="281">
        <f t="shared" si="65"/>
        <v>268694.38116284559</v>
      </c>
      <c r="Q341" s="281">
        <f t="shared" si="65"/>
        <v>268694.38116284559</v>
      </c>
      <c r="R341" s="281">
        <f t="shared" si="65"/>
        <v>268694.38116284559</v>
      </c>
      <c r="S341" s="281">
        <f t="shared" si="65"/>
        <v>268694.38116284559</v>
      </c>
    </row>
    <row r="342" spans="5:19" x14ac:dyDescent="0.25">
      <c r="F342" t="s">
        <v>932</v>
      </c>
      <c r="G342" t="s">
        <v>120</v>
      </c>
      <c r="H342" t="s">
        <v>145</v>
      </c>
      <c r="J342" s="202"/>
      <c r="K342" s="198"/>
      <c r="L342" s="202"/>
      <c r="M342" s="202"/>
      <c r="N342" s="202"/>
      <c r="O342" s="202"/>
      <c r="P342" s="202"/>
      <c r="Q342" s="202"/>
      <c r="R342" s="202"/>
      <c r="S342" s="202"/>
    </row>
    <row r="343" spans="5:19" x14ac:dyDescent="0.25">
      <c r="F343" t="s">
        <v>933</v>
      </c>
      <c r="G343" t="s">
        <v>120</v>
      </c>
      <c r="H343" t="s">
        <v>145</v>
      </c>
      <c r="J343" s="202"/>
      <c r="K343" s="198"/>
      <c r="L343" s="202"/>
      <c r="M343" s="202"/>
      <c r="N343" s="202"/>
      <c r="O343" s="202"/>
      <c r="P343" s="202"/>
      <c r="Q343" s="202"/>
      <c r="R343" s="202"/>
      <c r="S343" s="202"/>
    </row>
    <row r="344" spans="5:19" x14ac:dyDescent="0.25">
      <c r="F344" t="s">
        <v>934</v>
      </c>
      <c r="G344" t="s">
        <v>120</v>
      </c>
      <c r="H344" t="s">
        <v>145</v>
      </c>
      <c r="J344" s="202"/>
      <c r="K344" s="198"/>
      <c r="L344" s="202"/>
      <c r="M344" s="202"/>
      <c r="N344" s="202"/>
      <c r="O344" s="202"/>
      <c r="P344" s="202"/>
      <c r="Q344" s="202"/>
      <c r="R344" s="202"/>
      <c r="S344" s="202"/>
    </row>
    <row r="345" spans="5:19" x14ac:dyDescent="0.25">
      <c r="F345" t="s">
        <v>935</v>
      </c>
      <c r="G345" t="s">
        <v>120</v>
      </c>
      <c r="H345" t="s">
        <v>145</v>
      </c>
      <c r="J345" s="202"/>
      <c r="K345" s="198"/>
      <c r="L345" s="202"/>
      <c r="M345" s="202"/>
      <c r="N345" s="202"/>
      <c r="O345" s="202"/>
      <c r="P345" s="202"/>
      <c r="Q345" s="202"/>
      <c r="R345" s="202"/>
      <c r="S345" s="202"/>
    </row>
    <row r="346" spans="5:19" x14ac:dyDescent="0.25">
      <c r="F346" t="s">
        <v>936</v>
      </c>
      <c r="G346" t="s">
        <v>120</v>
      </c>
      <c r="H346" t="s">
        <v>145</v>
      </c>
      <c r="J346" s="202"/>
      <c r="K346" s="198"/>
      <c r="L346" s="202"/>
      <c r="M346" s="202"/>
      <c r="N346" s="202"/>
      <c r="O346" s="202"/>
      <c r="P346" s="202"/>
      <c r="Q346" s="202"/>
      <c r="R346" s="202"/>
      <c r="S346" s="202"/>
    </row>
    <row r="347" spans="5:19" x14ac:dyDescent="0.25">
      <c r="F347" t="s">
        <v>937</v>
      </c>
      <c r="G347" t="s">
        <v>120</v>
      </c>
      <c r="H347" t="s">
        <v>145</v>
      </c>
      <c r="J347" s="202"/>
      <c r="K347" s="198"/>
      <c r="L347" s="202"/>
      <c r="M347" s="202"/>
      <c r="N347" s="202"/>
      <c r="O347" s="202"/>
      <c r="P347" s="202"/>
      <c r="Q347" s="202"/>
      <c r="R347" s="202"/>
      <c r="S347" s="202"/>
    </row>
    <row r="348" spans="5:19" x14ac:dyDescent="0.25">
      <c r="F348" t="s">
        <v>938</v>
      </c>
      <c r="G348" t="s">
        <v>120</v>
      </c>
      <c r="H348" t="s">
        <v>145</v>
      </c>
      <c r="J348" s="202"/>
      <c r="K348" s="198"/>
      <c r="L348" s="202"/>
      <c r="M348" s="202"/>
      <c r="N348" s="202"/>
      <c r="O348" s="202"/>
      <c r="P348" s="202"/>
      <c r="Q348" s="202"/>
      <c r="R348" s="202"/>
      <c r="S348" s="202"/>
    </row>
    <row r="349" spans="5:19" x14ac:dyDescent="0.25">
      <c r="F349" t="s">
        <v>939</v>
      </c>
      <c r="G349" t="s">
        <v>120</v>
      </c>
      <c r="H349" t="s">
        <v>145</v>
      </c>
      <c r="J349" s="202"/>
      <c r="K349" s="198"/>
      <c r="L349" s="202"/>
      <c r="M349" s="202"/>
      <c r="N349" s="202"/>
      <c r="O349" s="202"/>
      <c r="P349" s="202"/>
      <c r="Q349" s="202"/>
      <c r="R349" s="202"/>
      <c r="S349" s="202"/>
    </row>
    <row r="350" spans="5:19" x14ac:dyDescent="0.25">
      <c r="F350" s="17" t="s">
        <v>940</v>
      </c>
      <c r="G350" s="17" t="s">
        <v>120</v>
      </c>
      <c r="H350" s="17" t="s">
        <v>145</v>
      </c>
      <c r="I350" s="122"/>
      <c r="J350" s="203"/>
      <c r="K350" s="200"/>
      <c r="L350" s="203"/>
      <c r="M350" s="203"/>
      <c r="N350" s="203"/>
      <c r="O350" s="203"/>
      <c r="P350" s="203"/>
      <c r="Q350" s="203"/>
      <c r="R350" s="203"/>
      <c r="S350" s="203"/>
    </row>
    <row r="351" spans="5:19" x14ac:dyDescent="0.25">
      <c r="J351" s="198"/>
      <c r="K351" s="198"/>
      <c r="L351" s="198"/>
      <c r="M351" s="198"/>
      <c r="N351" s="198"/>
      <c r="O351" s="198"/>
      <c r="P351" s="198"/>
      <c r="Q351" s="198"/>
      <c r="R351" s="198"/>
      <c r="S351" s="198"/>
    </row>
    <row r="352" spans="5:19" x14ac:dyDescent="0.25">
      <c r="E352" s="121" t="s">
        <v>201</v>
      </c>
      <c r="J352" s="198"/>
      <c r="K352" s="198"/>
      <c r="L352" s="198"/>
      <c r="M352" s="198"/>
      <c r="N352" s="198"/>
      <c r="O352" s="198"/>
      <c r="P352" s="198"/>
      <c r="Q352" s="198"/>
      <c r="R352" s="198"/>
      <c r="S352" s="198"/>
    </row>
    <row r="353" spans="6:19" x14ac:dyDescent="0.25">
      <c r="F353" s="80" t="s">
        <v>925</v>
      </c>
      <c r="G353" s="80" t="s">
        <v>120</v>
      </c>
      <c r="H353" s="80" t="s">
        <v>145</v>
      </c>
      <c r="I353" s="94"/>
      <c r="J353" s="201"/>
      <c r="K353" s="196"/>
      <c r="L353" s="201"/>
      <c r="M353" s="201"/>
      <c r="N353" s="201"/>
      <c r="O353" s="201"/>
      <c r="P353" s="201"/>
      <c r="Q353" s="201"/>
      <c r="R353" s="201"/>
      <c r="S353" s="201"/>
    </row>
    <row r="354" spans="6:19" x14ac:dyDescent="0.25">
      <c r="F354" t="s">
        <v>926</v>
      </c>
      <c r="G354" t="s">
        <v>120</v>
      </c>
      <c r="H354" t="s">
        <v>145</v>
      </c>
      <c r="J354" s="202"/>
      <c r="K354" s="198"/>
      <c r="L354" s="202"/>
      <c r="M354" s="202"/>
      <c r="N354" s="202"/>
      <c r="O354" s="202"/>
      <c r="P354" s="202"/>
      <c r="Q354" s="202"/>
      <c r="R354" s="202"/>
      <c r="S354" s="202"/>
    </row>
    <row r="355" spans="6:19" x14ac:dyDescent="0.25">
      <c r="F355" t="s">
        <v>927</v>
      </c>
      <c r="G355" t="s">
        <v>120</v>
      </c>
      <c r="H355" t="s">
        <v>145</v>
      </c>
      <c r="J355" s="197">
        <f t="shared" ref="J355" si="66">CHOOSE(year_selection, L355,M355,N355,O355,P355,Q355,R355,S355)</f>
        <v>124317.62346355653</v>
      </c>
      <c r="K355" s="198"/>
      <c r="L355" s="281"/>
      <c r="M355" s="281">
        <v>116544.15941855809</v>
      </c>
      <c r="N355" s="281">
        <v>150125.13920993541</v>
      </c>
      <c r="O355" s="281">
        <v>124317.62346355653</v>
      </c>
      <c r="P355" s="281">
        <f t="shared" ref="P355:S355" si="67">$O355</f>
        <v>124317.62346355653</v>
      </c>
      <c r="Q355" s="281">
        <f t="shared" si="67"/>
        <v>124317.62346355653</v>
      </c>
      <c r="R355" s="281">
        <f t="shared" si="67"/>
        <v>124317.62346355653</v>
      </c>
      <c r="S355" s="281">
        <f t="shared" si="67"/>
        <v>124317.62346355653</v>
      </c>
    </row>
    <row r="356" spans="6:19" x14ac:dyDescent="0.25">
      <c r="F356" t="s">
        <v>928</v>
      </c>
      <c r="G356" t="s">
        <v>120</v>
      </c>
      <c r="H356" t="s">
        <v>145</v>
      </c>
      <c r="J356" s="202"/>
      <c r="K356" s="198"/>
      <c r="L356" s="202"/>
      <c r="M356" s="202"/>
      <c r="N356" s="202"/>
      <c r="O356" s="202"/>
      <c r="P356" s="202"/>
      <c r="Q356" s="202"/>
      <c r="R356" s="202"/>
      <c r="S356" s="202"/>
    </row>
    <row r="357" spans="6:19" x14ac:dyDescent="0.25">
      <c r="F357" t="s">
        <v>929</v>
      </c>
      <c r="G357" t="s">
        <v>120</v>
      </c>
      <c r="H357" t="s">
        <v>145</v>
      </c>
      <c r="J357" s="197">
        <f t="shared" ref="J357:J359" si="68">CHOOSE(year_selection, L357,M357,N357,O357,P357,Q357,R357,S357)</f>
        <v>279278.4062210978</v>
      </c>
      <c r="K357" s="198"/>
      <c r="L357" s="281"/>
      <c r="M357" s="281">
        <v>265319.09521347925</v>
      </c>
      <c r="N357" s="281">
        <v>291826.8144476267</v>
      </c>
      <c r="O357" s="281">
        <v>279278.4062210978</v>
      </c>
      <c r="P357" s="281">
        <f t="shared" ref="P357:S359" si="69">$O357</f>
        <v>279278.4062210978</v>
      </c>
      <c r="Q357" s="281">
        <f t="shared" si="69"/>
        <v>279278.4062210978</v>
      </c>
      <c r="R357" s="281">
        <f t="shared" si="69"/>
        <v>279278.4062210978</v>
      </c>
      <c r="S357" s="281">
        <f t="shared" si="69"/>
        <v>279278.4062210978</v>
      </c>
    </row>
    <row r="358" spans="6:19" x14ac:dyDescent="0.25">
      <c r="F358" t="s">
        <v>930</v>
      </c>
      <c r="G358" t="s">
        <v>120</v>
      </c>
      <c r="H358" t="s">
        <v>145</v>
      </c>
      <c r="J358" s="197">
        <f t="shared" si="68"/>
        <v>2982.2711814070658</v>
      </c>
      <c r="K358" s="198"/>
      <c r="L358" s="281"/>
      <c r="M358" s="281">
        <v>2524.934316294984</v>
      </c>
      <c r="N358" s="281">
        <v>2312.6192606713321</v>
      </c>
      <c r="O358" s="281">
        <v>2982.2711814070658</v>
      </c>
      <c r="P358" s="281">
        <f t="shared" si="69"/>
        <v>2982.2711814070658</v>
      </c>
      <c r="Q358" s="281">
        <f t="shared" si="69"/>
        <v>2982.2711814070658</v>
      </c>
      <c r="R358" s="281">
        <f t="shared" si="69"/>
        <v>2982.2711814070658</v>
      </c>
      <c r="S358" s="281">
        <f t="shared" si="69"/>
        <v>2982.2711814070658</v>
      </c>
    </row>
    <row r="359" spans="6:19" x14ac:dyDescent="0.25">
      <c r="F359" t="s">
        <v>931</v>
      </c>
      <c r="G359" t="s">
        <v>120</v>
      </c>
      <c r="H359" t="s">
        <v>145</v>
      </c>
      <c r="J359" s="197">
        <f t="shared" si="68"/>
        <v>295665.04380391253</v>
      </c>
      <c r="K359" s="198"/>
      <c r="L359" s="281"/>
      <c r="M359" s="281">
        <v>314318.17677916965</v>
      </c>
      <c r="N359" s="281">
        <v>320065.21735655051</v>
      </c>
      <c r="O359" s="281">
        <v>295665.04380391253</v>
      </c>
      <c r="P359" s="281">
        <f t="shared" si="69"/>
        <v>295665.04380391253</v>
      </c>
      <c r="Q359" s="281">
        <f t="shared" si="69"/>
        <v>295665.04380391253</v>
      </c>
      <c r="R359" s="281">
        <f t="shared" si="69"/>
        <v>295665.04380391253</v>
      </c>
      <c r="S359" s="281">
        <f t="shared" si="69"/>
        <v>295665.04380391253</v>
      </c>
    </row>
    <row r="360" spans="6:19" x14ac:dyDescent="0.25">
      <c r="F360" t="s">
        <v>932</v>
      </c>
      <c r="G360" t="s">
        <v>120</v>
      </c>
      <c r="H360" t="s">
        <v>145</v>
      </c>
      <c r="J360" s="202"/>
      <c r="K360" s="198"/>
      <c r="L360" s="202"/>
      <c r="M360" s="202"/>
      <c r="N360" s="202"/>
      <c r="O360" s="202"/>
      <c r="P360" s="202"/>
      <c r="Q360" s="202"/>
      <c r="R360" s="202"/>
      <c r="S360" s="202"/>
    </row>
    <row r="361" spans="6:19" x14ac:dyDescent="0.25">
      <c r="F361" t="s">
        <v>933</v>
      </c>
      <c r="G361" t="s">
        <v>120</v>
      </c>
      <c r="H361" t="s">
        <v>145</v>
      </c>
      <c r="J361" s="202"/>
      <c r="K361" s="198"/>
      <c r="L361" s="202"/>
      <c r="M361" s="202"/>
      <c r="N361" s="202"/>
      <c r="O361" s="202"/>
      <c r="P361" s="202"/>
      <c r="Q361" s="202"/>
      <c r="R361" s="202"/>
      <c r="S361" s="202"/>
    </row>
    <row r="362" spans="6:19" x14ac:dyDescent="0.25">
      <c r="F362" t="s">
        <v>934</v>
      </c>
      <c r="G362" t="s">
        <v>120</v>
      </c>
      <c r="H362" t="s">
        <v>145</v>
      </c>
      <c r="J362" s="202"/>
      <c r="K362" s="198"/>
      <c r="L362" s="202"/>
      <c r="M362" s="202"/>
      <c r="N362" s="202"/>
      <c r="O362" s="202"/>
      <c r="P362" s="202"/>
      <c r="Q362" s="202"/>
      <c r="R362" s="202"/>
      <c r="S362" s="202"/>
    </row>
    <row r="363" spans="6:19" x14ac:dyDescent="0.25">
      <c r="F363" t="s">
        <v>935</v>
      </c>
      <c r="G363" t="s">
        <v>120</v>
      </c>
      <c r="H363" t="s">
        <v>145</v>
      </c>
      <c r="J363" s="202"/>
      <c r="K363" s="198"/>
      <c r="L363" s="202"/>
      <c r="M363" s="202"/>
      <c r="N363" s="202"/>
      <c r="O363" s="202"/>
      <c r="P363" s="202"/>
      <c r="Q363" s="202"/>
      <c r="R363" s="202"/>
      <c r="S363" s="202"/>
    </row>
    <row r="364" spans="6:19" x14ac:dyDescent="0.25">
      <c r="F364" t="s">
        <v>936</v>
      </c>
      <c r="G364" t="s">
        <v>120</v>
      </c>
      <c r="H364" t="s">
        <v>145</v>
      </c>
      <c r="J364" s="202"/>
      <c r="K364" s="198"/>
      <c r="L364" s="202"/>
      <c r="M364" s="202"/>
      <c r="N364" s="202"/>
      <c r="O364" s="202"/>
      <c r="P364" s="202"/>
      <c r="Q364" s="202"/>
      <c r="R364" s="202"/>
      <c r="S364" s="202"/>
    </row>
    <row r="365" spans="6:19" x14ac:dyDescent="0.25">
      <c r="F365" t="s">
        <v>937</v>
      </c>
      <c r="G365" t="s">
        <v>120</v>
      </c>
      <c r="H365" t="s">
        <v>145</v>
      </c>
      <c r="J365" s="202"/>
      <c r="K365" s="198"/>
      <c r="L365" s="202"/>
      <c r="M365" s="202"/>
      <c r="N365" s="202"/>
      <c r="O365" s="202"/>
      <c r="P365" s="202"/>
      <c r="Q365" s="202"/>
      <c r="R365" s="202"/>
      <c r="S365" s="202"/>
    </row>
    <row r="366" spans="6:19" x14ac:dyDescent="0.25">
      <c r="F366" t="s">
        <v>938</v>
      </c>
      <c r="G366" t="s">
        <v>120</v>
      </c>
      <c r="H366" t="s">
        <v>145</v>
      </c>
      <c r="J366" s="202"/>
      <c r="K366" s="198"/>
      <c r="L366" s="202"/>
      <c r="M366" s="202"/>
      <c r="N366" s="202"/>
      <c r="O366" s="202"/>
      <c r="P366" s="202"/>
      <c r="Q366" s="202"/>
      <c r="R366" s="202"/>
      <c r="S366" s="202"/>
    </row>
    <row r="367" spans="6:19" x14ac:dyDescent="0.25">
      <c r="F367" t="s">
        <v>939</v>
      </c>
      <c r="G367" t="s">
        <v>120</v>
      </c>
      <c r="H367" t="s">
        <v>145</v>
      </c>
      <c r="J367" s="202"/>
      <c r="K367" s="198"/>
      <c r="L367" s="202"/>
      <c r="M367" s="202"/>
      <c r="N367" s="202"/>
      <c r="O367" s="202"/>
      <c r="P367" s="202"/>
      <c r="Q367" s="202"/>
      <c r="R367" s="202"/>
      <c r="S367" s="202"/>
    </row>
    <row r="368" spans="6:19" x14ac:dyDescent="0.25">
      <c r="F368" s="17" t="s">
        <v>940</v>
      </c>
      <c r="G368" s="17" t="s">
        <v>120</v>
      </c>
      <c r="H368" s="17" t="s">
        <v>145</v>
      </c>
      <c r="I368" s="122"/>
      <c r="J368" s="203"/>
      <c r="K368" s="200"/>
      <c r="L368" s="203"/>
      <c r="M368" s="203"/>
      <c r="N368" s="203"/>
      <c r="O368" s="203"/>
      <c r="P368" s="203"/>
      <c r="Q368" s="203"/>
      <c r="R368" s="203"/>
      <c r="S368" s="203"/>
    </row>
    <row r="369" spans="5:19" x14ac:dyDescent="0.25">
      <c r="J369" s="198"/>
      <c r="K369" s="198"/>
      <c r="L369" s="198"/>
      <c r="M369" s="198"/>
      <c r="N369" s="198"/>
      <c r="O369" s="198"/>
      <c r="P369" s="198"/>
      <c r="Q369" s="198"/>
      <c r="R369" s="198"/>
      <c r="S369" s="198"/>
    </row>
    <row r="370" spans="5:19" x14ac:dyDescent="0.25">
      <c r="E370" s="121" t="s">
        <v>74</v>
      </c>
      <c r="J370" s="198"/>
      <c r="K370" s="198"/>
      <c r="L370" s="198"/>
      <c r="M370" s="198"/>
      <c r="N370" s="198"/>
      <c r="O370" s="198"/>
      <c r="P370" s="198"/>
      <c r="Q370" s="198"/>
      <c r="R370" s="198"/>
      <c r="S370" s="198"/>
    </row>
    <row r="371" spans="5:19" x14ac:dyDescent="0.25">
      <c r="F371" s="80" t="s">
        <v>925</v>
      </c>
      <c r="G371" s="80" t="s">
        <v>74</v>
      </c>
      <c r="H371" s="80" t="s">
        <v>145</v>
      </c>
      <c r="I371" s="94"/>
      <c r="J371" s="201"/>
      <c r="K371" s="196"/>
      <c r="L371" s="201"/>
      <c r="M371" s="201"/>
      <c r="N371" s="201"/>
      <c r="O371" s="201"/>
      <c r="P371" s="201"/>
      <c r="Q371" s="201"/>
      <c r="R371" s="201"/>
      <c r="S371" s="201"/>
    </row>
    <row r="372" spans="5:19" x14ac:dyDescent="0.25">
      <c r="F372" t="s">
        <v>926</v>
      </c>
      <c r="G372" t="s">
        <v>74</v>
      </c>
      <c r="H372" t="s">
        <v>145</v>
      </c>
      <c r="J372" s="202"/>
      <c r="K372" s="198"/>
      <c r="L372" s="202"/>
      <c r="M372" s="202"/>
      <c r="N372" s="202"/>
      <c r="O372" s="202"/>
      <c r="P372" s="202"/>
      <c r="Q372" s="202"/>
      <c r="R372" s="202"/>
      <c r="S372" s="202"/>
    </row>
    <row r="373" spans="5:19" x14ac:dyDescent="0.25">
      <c r="F373" t="s">
        <v>927</v>
      </c>
      <c r="G373" t="s">
        <v>74</v>
      </c>
      <c r="H373" t="s">
        <v>145</v>
      </c>
      <c r="J373" s="197">
        <f t="shared" ref="J373" si="70">CHOOSE(year_selection, L373,M373,N373,O373,P373,Q373,R373,S373)</f>
        <v>36661</v>
      </c>
      <c r="K373" s="198"/>
      <c r="L373" s="281"/>
      <c r="M373" s="281">
        <v>36915</v>
      </c>
      <c r="N373" s="281">
        <v>37099</v>
      </c>
      <c r="O373" s="281">
        <v>36661</v>
      </c>
      <c r="P373" s="281">
        <f t="shared" ref="P373:S373" si="71">$O373</f>
        <v>36661</v>
      </c>
      <c r="Q373" s="281">
        <f t="shared" si="71"/>
        <v>36661</v>
      </c>
      <c r="R373" s="281">
        <f t="shared" si="71"/>
        <v>36661</v>
      </c>
      <c r="S373" s="281">
        <f t="shared" si="71"/>
        <v>36661</v>
      </c>
    </row>
    <row r="374" spans="5:19" x14ac:dyDescent="0.25">
      <c r="F374" t="s">
        <v>928</v>
      </c>
      <c r="G374" t="s">
        <v>74</v>
      </c>
      <c r="H374" t="s">
        <v>145</v>
      </c>
      <c r="J374" s="202"/>
      <c r="K374" s="198"/>
      <c r="L374" s="202"/>
      <c r="M374" s="202"/>
      <c r="N374" s="202"/>
      <c r="O374" s="202"/>
      <c r="P374" s="202"/>
      <c r="Q374" s="202"/>
      <c r="R374" s="202"/>
      <c r="S374" s="202"/>
    </row>
    <row r="375" spans="5:19" x14ac:dyDescent="0.25">
      <c r="F375" t="s">
        <v>929</v>
      </c>
      <c r="G375" t="s">
        <v>74</v>
      </c>
      <c r="H375" t="s">
        <v>145</v>
      </c>
      <c r="J375" s="197">
        <f t="shared" ref="J375:J377" si="72">CHOOSE(year_selection, L375,M375,N375,O375,P375,Q375,R375,S375)</f>
        <v>3723</v>
      </c>
      <c r="K375" s="198"/>
      <c r="L375" s="281"/>
      <c r="M375" s="281">
        <v>3442</v>
      </c>
      <c r="N375" s="281">
        <v>3617</v>
      </c>
      <c r="O375" s="281">
        <v>3723</v>
      </c>
      <c r="P375" s="281">
        <f t="shared" ref="P375:S377" si="73">$O375</f>
        <v>3723</v>
      </c>
      <c r="Q375" s="281">
        <f t="shared" si="73"/>
        <v>3723</v>
      </c>
      <c r="R375" s="281">
        <f t="shared" si="73"/>
        <v>3723</v>
      </c>
      <c r="S375" s="281">
        <f t="shared" si="73"/>
        <v>3723</v>
      </c>
    </row>
    <row r="376" spans="5:19" x14ac:dyDescent="0.25">
      <c r="F376" t="s">
        <v>930</v>
      </c>
      <c r="G376" t="s">
        <v>74</v>
      </c>
      <c r="H376" t="s">
        <v>145</v>
      </c>
      <c r="J376" s="197">
        <f t="shared" si="72"/>
        <v>24</v>
      </c>
      <c r="K376" s="198"/>
      <c r="L376" s="281"/>
      <c r="M376" s="281">
        <v>22</v>
      </c>
      <c r="N376" s="281">
        <v>23</v>
      </c>
      <c r="O376" s="281">
        <v>24</v>
      </c>
      <c r="P376" s="281">
        <f t="shared" si="73"/>
        <v>24</v>
      </c>
      <c r="Q376" s="281">
        <f t="shared" si="73"/>
        <v>24</v>
      </c>
      <c r="R376" s="281">
        <f t="shared" si="73"/>
        <v>24</v>
      </c>
      <c r="S376" s="281">
        <f t="shared" si="73"/>
        <v>24</v>
      </c>
    </row>
    <row r="377" spans="5:19" x14ac:dyDescent="0.25">
      <c r="F377" t="s">
        <v>931</v>
      </c>
      <c r="G377" t="s">
        <v>74</v>
      </c>
      <c r="H377" t="s">
        <v>145</v>
      </c>
      <c r="J377" s="197">
        <f t="shared" si="72"/>
        <v>403</v>
      </c>
      <c r="K377" s="198"/>
      <c r="L377" s="281"/>
      <c r="M377" s="281">
        <v>387</v>
      </c>
      <c r="N377" s="281">
        <v>393</v>
      </c>
      <c r="O377" s="281">
        <v>403</v>
      </c>
      <c r="P377" s="281">
        <f t="shared" si="73"/>
        <v>403</v>
      </c>
      <c r="Q377" s="281">
        <f t="shared" si="73"/>
        <v>403</v>
      </c>
      <c r="R377" s="281">
        <f t="shared" si="73"/>
        <v>403</v>
      </c>
      <c r="S377" s="281">
        <f t="shared" si="73"/>
        <v>403</v>
      </c>
    </row>
    <row r="378" spans="5:19" x14ac:dyDescent="0.25">
      <c r="F378" t="s">
        <v>932</v>
      </c>
      <c r="G378" t="s">
        <v>74</v>
      </c>
      <c r="H378" t="s">
        <v>145</v>
      </c>
      <c r="J378" s="202"/>
      <c r="K378" s="198"/>
      <c r="L378" s="202"/>
      <c r="M378" s="202"/>
      <c r="N378" s="202"/>
      <c r="O378" s="202"/>
      <c r="P378" s="202"/>
      <c r="Q378" s="202"/>
      <c r="R378" s="202"/>
      <c r="S378" s="202"/>
    </row>
    <row r="379" spans="5:19" x14ac:dyDescent="0.25">
      <c r="F379" t="s">
        <v>933</v>
      </c>
      <c r="G379" t="s">
        <v>74</v>
      </c>
      <c r="H379" t="s">
        <v>145</v>
      </c>
      <c r="J379" s="202"/>
      <c r="K379" s="198"/>
      <c r="L379" s="202"/>
      <c r="M379" s="202"/>
      <c r="N379" s="202"/>
      <c r="O379" s="202"/>
      <c r="P379" s="202"/>
      <c r="Q379" s="202"/>
      <c r="R379" s="202"/>
      <c r="S379" s="202"/>
    </row>
    <row r="380" spans="5:19" x14ac:dyDescent="0.25">
      <c r="F380" t="s">
        <v>934</v>
      </c>
      <c r="G380" t="s">
        <v>74</v>
      </c>
      <c r="H380" t="s">
        <v>145</v>
      </c>
      <c r="J380" s="202"/>
      <c r="K380" s="198"/>
      <c r="L380" s="202"/>
      <c r="M380" s="202"/>
      <c r="N380" s="202"/>
      <c r="O380" s="202"/>
      <c r="P380" s="202"/>
      <c r="Q380" s="202"/>
      <c r="R380" s="202"/>
      <c r="S380" s="202"/>
    </row>
    <row r="381" spans="5:19" x14ac:dyDescent="0.25">
      <c r="F381" t="s">
        <v>935</v>
      </c>
      <c r="G381" t="s">
        <v>74</v>
      </c>
      <c r="H381" t="s">
        <v>145</v>
      </c>
      <c r="J381" s="202"/>
      <c r="K381" s="198"/>
      <c r="L381" s="202"/>
      <c r="M381" s="202"/>
      <c r="N381" s="202"/>
      <c r="O381" s="202"/>
      <c r="P381" s="202"/>
      <c r="Q381" s="202"/>
      <c r="R381" s="202"/>
      <c r="S381" s="202"/>
    </row>
    <row r="382" spans="5:19" x14ac:dyDescent="0.25">
      <c r="F382" t="s">
        <v>936</v>
      </c>
      <c r="G382" t="s">
        <v>74</v>
      </c>
      <c r="H382" t="s">
        <v>145</v>
      </c>
      <c r="J382" s="202"/>
      <c r="K382" s="198"/>
      <c r="L382" s="202"/>
      <c r="M382" s="202"/>
      <c r="N382" s="202"/>
      <c r="O382" s="202"/>
      <c r="P382" s="202"/>
      <c r="Q382" s="202"/>
      <c r="R382" s="202"/>
      <c r="S382" s="202"/>
    </row>
    <row r="383" spans="5:19" x14ac:dyDescent="0.25">
      <c r="F383" t="s">
        <v>937</v>
      </c>
      <c r="G383" t="s">
        <v>74</v>
      </c>
      <c r="H383" t="s">
        <v>145</v>
      </c>
      <c r="J383" s="202"/>
      <c r="K383" s="198"/>
      <c r="L383" s="202"/>
      <c r="M383" s="202"/>
      <c r="N383" s="202"/>
      <c r="O383" s="202"/>
      <c r="P383" s="202"/>
      <c r="Q383" s="202"/>
      <c r="R383" s="202"/>
      <c r="S383" s="202"/>
    </row>
    <row r="384" spans="5:19" x14ac:dyDescent="0.25">
      <c r="F384" t="s">
        <v>938</v>
      </c>
      <c r="G384" t="s">
        <v>74</v>
      </c>
      <c r="H384" t="s">
        <v>145</v>
      </c>
      <c r="J384" s="202"/>
      <c r="K384" s="198"/>
      <c r="L384" s="202"/>
      <c r="M384" s="202"/>
      <c r="N384" s="202"/>
      <c r="O384" s="202"/>
      <c r="P384" s="202"/>
      <c r="Q384" s="202"/>
      <c r="R384" s="202"/>
      <c r="S384" s="202"/>
    </row>
    <row r="385" spans="5:19" x14ac:dyDescent="0.25">
      <c r="F385" t="s">
        <v>939</v>
      </c>
      <c r="G385" t="s">
        <v>74</v>
      </c>
      <c r="H385" t="s">
        <v>145</v>
      </c>
      <c r="J385" s="202"/>
      <c r="K385" s="198"/>
      <c r="L385" s="202"/>
      <c r="M385" s="202"/>
      <c r="N385" s="202"/>
      <c r="O385" s="202"/>
      <c r="P385" s="202"/>
      <c r="Q385" s="202"/>
      <c r="R385" s="202"/>
      <c r="S385" s="202"/>
    </row>
    <row r="386" spans="5:19" x14ac:dyDescent="0.25">
      <c r="F386" s="17" t="s">
        <v>940</v>
      </c>
      <c r="G386" s="17" t="s">
        <v>74</v>
      </c>
      <c r="H386" s="17" t="s">
        <v>145</v>
      </c>
      <c r="I386" s="122"/>
      <c r="J386" s="203"/>
      <c r="K386" s="200"/>
      <c r="L386" s="203"/>
      <c r="M386" s="203"/>
      <c r="N386" s="203"/>
      <c r="O386" s="203"/>
      <c r="P386" s="203"/>
      <c r="Q386" s="203"/>
      <c r="R386" s="203"/>
      <c r="S386" s="203"/>
    </row>
    <row r="387" spans="5:19" x14ac:dyDescent="0.25">
      <c r="J387" s="198"/>
      <c r="K387" s="198"/>
      <c r="L387" s="198"/>
      <c r="M387" s="198"/>
      <c r="N387" s="198"/>
      <c r="O387" s="198"/>
      <c r="P387" s="198"/>
      <c r="Q387" s="198"/>
      <c r="R387" s="198"/>
      <c r="S387" s="198"/>
    </row>
    <row r="388" spans="5:19" x14ac:dyDescent="0.25">
      <c r="E388" s="121" t="s">
        <v>202</v>
      </c>
      <c r="J388" s="198"/>
      <c r="K388" s="198"/>
      <c r="L388" s="198"/>
      <c r="M388" s="198"/>
      <c r="N388" s="198"/>
      <c r="O388" s="198"/>
      <c r="P388" s="198"/>
      <c r="Q388" s="198"/>
      <c r="R388" s="198"/>
      <c r="S388" s="198"/>
    </row>
    <row r="389" spans="5:19" x14ac:dyDescent="0.25">
      <c r="F389" s="80" t="s">
        <v>925</v>
      </c>
      <c r="G389" s="80" t="s">
        <v>169</v>
      </c>
      <c r="H389" s="80" t="s">
        <v>145</v>
      </c>
      <c r="I389" s="94"/>
      <c r="J389" s="201"/>
      <c r="K389" s="196"/>
      <c r="L389" s="201"/>
      <c r="M389" s="201"/>
      <c r="N389" s="201"/>
      <c r="O389" s="201"/>
      <c r="P389" s="201"/>
      <c r="Q389" s="201"/>
      <c r="R389" s="201"/>
      <c r="S389" s="201"/>
    </row>
    <row r="390" spans="5:19" x14ac:dyDescent="0.25">
      <c r="F390" t="s">
        <v>926</v>
      </c>
      <c r="G390" t="s">
        <v>169</v>
      </c>
      <c r="H390" t="s">
        <v>145</v>
      </c>
      <c r="J390" s="202"/>
      <c r="K390" s="198"/>
      <c r="L390" s="202"/>
      <c r="M390" s="202"/>
      <c r="N390" s="202"/>
      <c r="O390" s="202"/>
      <c r="P390" s="202"/>
      <c r="Q390" s="202"/>
      <c r="R390" s="202"/>
      <c r="S390" s="202"/>
    </row>
    <row r="391" spans="5:19" x14ac:dyDescent="0.25">
      <c r="F391" t="s">
        <v>927</v>
      </c>
      <c r="G391" t="s">
        <v>169</v>
      </c>
      <c r="H391" t="s">
        <v>145</v>
      </c>
      <c r="J391" s="202"/>
      <c r="K391" s="198"/>
      <c r="L391" s="202"/>
      <c r="M391" s="202"/>
      <c r="N391" s="202"/>
      <c r="O391" s="202"/>
      <c r="P391" s="202"/>
      <c r="Q391" s="202"/>
      <c r="R391" s="202"/>
      <c r="S391" s="202"/>
    </row>
    <row r="392" spans="5:19" x14ac:dyDescent="0.25">
      <c r="F392" t="s">
        <v>928</v>
      </c>
      <c r="G392" t="s">
        <v>169</v>
      </c>
      <c r="H392" t="s">
        <v>145</v>
      </c>
      <c r="J392" s="202"/>
      <c r="K392" s="198"/>
      <c r="L392" s="202"/>
      <c r="M392" s="202"/>
      <c r="N392" s="202"/>
      <c r="O392" s="202"/>
      <c r="P392" s="202"/>
      <c r="Q392" s="202"/>
      <c r="R392" s="202"/>
      <c r="S392" s="202"/>
    </row>
    <row r="393" spans="5:19" x14ac:dyDescent="0.25">
      <c r="F393" t="s">
        <v>929</v>
      </c>
      <c r="G393" t="s">
        <v>169</v>
      </c>
      <c r="H393" t="s">
        <v>145</v>
      </c>
      <c r="J393" s="197">
        <f t="shared" ref="J393:J395" si="74">CHOOSE(year_selection, L393,M393,N393,O393,P393,Q393,R393,S393)</f>
        <v>420018</v>
      </c>
      <c r="K393" s="198"/>
      <c r="L393" s="281"/>
      <c r="M393" s="281">
        <v>395935</v>
      </c>
      <c r="N393" s="281">
        <v>409876</v>
      </c>
      <c r="O393" s="281">
        <v>420018</v>
      </c>
      <c r="P393" s="281">
        <f t="shared" ref="P393:S395" si="75">$O393</f>
        <v>420018</v>
      </c>
      <c r="Q393" s="281">
        <f t="shared" si="75"/>
        <v>420018</v>
      </c>
      <c r="R393" s="281">
        <f t="shared" si="75"/>
        <v>420018</v>
      </c>
      <c r="S393" s="281">
        <f t="shared" si="75"/>
        <v>420018</v>
      </c>
    </row>
    <row r="394" spans="5:19" x14ac:dyDescent="0.25">
      <c r="F394" t="s">
        <v>930</v>
      </c>
      <c r="G394" t="s">
        <v>169</v>
      </c>
      <c r="H394" t="s">
        <v>145</v>
      </c>
      <c r="J394" s="197">
        <f t="shared" si="74"/>
        <v>3051</v>
      </c>
      <c r="K394" s="198"/>
      <c r="L394" s="281"/>
      <c r="M394" s="281">
        <v>2538</v>
      </c>
      <c r="N394" s="281">
        <v>2909</v>
      </c>
      <c r="O394" s="281">
        <v>3051</v>
      </c>
      <c r="P394" s="281">
        <f t="shared" si="75"/>
        <v>3051</v>
      </c>
      <c r="Q394" s="281">
        <f t="shared" si="75"/>
        <v>3051</v>
      </c>
      <c r="R394" s="281">
        <f t="shared" si="75"/>
        <v>3051</v>
      </c>
      <c r="S394" s="281">
        <f t="shared" si="75"/>
        <v>3051</v>
      </c>
    </row>
    <row r="395" spans="5:19" x14ac:dyDescent="0.25">
      <c r="F395" t="s">
        <v>931</v>
      </c>
      <c r="G395" t="s">
        <v>169</v>
      </c>
      <c r="H395" t="s">
        <v>145</v>
      </c>
      <c r="J395" s="197">
        <f t="shared" si="74"/>
        <v>277706</v>
      </c>
      <c r="K395" s="198"/>
      <c r="L395" s="281"/>
      <c r="M395" s="281">
        <v>264875</v>
      </c>
      <c r="N395" s="281">
        <v>267174</v>
      </c>
      <c r="O395" s="281">
        <v>277706</v>
      </c>
      <c r="P395" s="281">
        <f t="shared" si="75"/>
        <v>277706</v>
      </c>
      <c r="Q395" s="281">
        <f t="shared" si="75"/>
        <v>277706</v>
      </c>
      <c r="R395" s="281">
        <f t="shared" si="75"/>
        <v>277706</v>
      </c>
      <c r="S395" s="281">
        <f t="shared" si="75"/>
        <v>277706</v>
      </c>
    </row>
    <row r="396" spans="5:19" x14ac:dyDescent="0.25">
      <c r="F396" t="s">
        <v>932</v>
      </c>
      <c r="G396" t="s">
        <v>169</v>
      </c>
      <c r="H396" t="s">
        <v>145</v>
      </c>
      <c r="J396" s="202"/>
      <c r="K396" s="198"/>
      <c r="L396" s="202"/>
      <c r="M396" s="202"/>
      <c r="N396" s="202"/>
      <c r="O396" s="202"/>
      <c r="P396" s="202"/>
      <c r="Q396" s="202"/>
      <c r="R396" s="202"/>
      <c r="S396" s="202"/>
    </row>
    <row r="397" spans="5:19" x14ac:dyDescent="0.25">
      <c r="F397" t="s">
        <v>933</v>
      </c>
      <c r="G397" t="s">
        <v>169</v>
      </c>
      <c r="H397" t="s">
        <v>145</v>
      </c>
      <c r="J397" s="202"/>
      <c r="K397" s="198"/>
      <c r="L397" s="202"/>
      <c r="M397" s="202"/>
      <c r="N397" s="202"/>
      <c r="O397" s="202"/>
      <c r="P397" s="202"/>
      <c r="Q397" s="202"/>
      <c r="R397" s="202"/>
      <c r="S397" s="202"/>
    </row>
    <row r="398" spans="5:19" x14ac:dyDescent="0.25">
      <c r="F398" t="s">
        <v>934</v>
      </c>
      <c r="G398" t="s">
        <v>169</v>
      </c>
      <c r="H398" t="s">
        <v>145</v>
      </c>
      <c r="J398" s="202"/>
      <c r="K398" s="198"/>
      <c r="L398" s="202"/>
      <c r="M398" s="202"/>
      <c r="N398" s="202"/>
      <c r="O398" s="202"/>
      <c r="P398" s="202"/>
      <c r="Q398" s="202"/>
      <c r="R398" s="202"/>
      <c r="S398" s="202"/>
    </row>
    <row r="399" spans="5:19" x14ac:dyDescent="0.25">
      <c r="F399" t="s">
        <v>935</v>
      </c>
      <c r="G399" t="s">
        <v>169</v>
      </c>
      <c r="H399" t="s">
        <v>145</v>
      </c>
      <c r="J399" s="202"/>
      <c r="K399" s="198"/>
      <c r="L399" s="202"/>
      <c r="M399" s="202"/>
      <c r="N399" s="202"/>
      <c r="O399" s="202"/>
      <c r="P399" s="202"/>
      <c r="Q399" s="202"/>
      <c r="R399" s="202"/>
      <c r="S399" s="202"/>
    </row>
    <row r="400" spans="5:19" x14ac:dyDescent="0.25">
      <c r="F400" t="s">
        <v>936</v>
      </c>
      <c r="G400" t="s">
        <v>169</v>
      </c>
      <c r="H400" t="s">
        <v>145</v>
      </c>
      <c r="J400" s="202"/>
      <c r="K400" s="198"/>
      <c r="L400" s="202"/>
      <c r="M400" s="202"/>
      <c r="N400" s="202"/>
      <c r="O400" s="202"/>
      <c r="P400" s="202"/>
      <c r="Q400" s="202"/>
      <c r="R400" s="202"/>
      <c r="S400" s="202"/>
    </row>
    <row r="401" spans="5:19" x14ac:dyDescent="0.25">
      <c r="F401" t="s">
        <v>937</v>
      </c>
      <c r="G401" t="s">
        <v>169</v>
      </c>
      <c r="H401" t="s">
        <v>145</v>
      </c>
      <c r="J401" s="202"/>
      <c r="K401" s="198"/>
      <c r="L401" s="202"/>
      <c r="M401" s="202"/>
      <c r="N401" s="202"/>
      <c r="O401" s="202"/>
      <c r="P401" s="202"/>
      <c r="Q401" s="202"/>
      <c r="R401" s="202"/>
      <c r="S401" s="202"/>
    </row>
    <row r="402" spans="5:19" x14ac:dyDescent="0.25">
      <c r="F402" t="s">
        <v>938</v>
      </c>
      <c r="G402" t="s">
        <v>169</v>
      </c>
      <c r="H402" t="s">
        <v>145</v>
      </c>
      <c r="J402" s="202"/>
      <c r="K402" s="198"/>
      <c r="L402" s="202"/>
      <c r="M402" s="202"/>
      <c r="N402" s="202"/>
      <c r="O402" s="202"/>
      <c r="P402" s="202"/>
      <c r="Q402" s="202"/>
      <c r="R402" s="202"/>
      <c r="S402" s="202"/>
    </row>
    <row r="403" spans="5:19" x14ac:dyDescent="0.25">
      <c r="F403" t="s">
        <v>939</v>
      </c>
      <c r="G403" t="s">
        <v>169</v>
      </c>
      <c r="H403" t="s">
        <v>145</v>
      </c>
      <c r="J403" s="202"/>
      <c r="K403" s="198"/>
      <c r="L403" s="202"/>
      <c r="M403" s="202"/>
      <c r="N403" s="202"/>
      <c r="O403" s="202"/>
      <c r="P403" s="202"/>
      <c r="Q403" s="202"/>
      <c r="R403" s="202"/>
      <c r="S403" s="202"/>
    </row>
    <row r="404" spans="5:19" x14ac:dyDescent="0.25">
      <c r="F404" s="17" t="s">
        <v>940</v>
      </c>
      <c r="G404" s="17" t="s">
        <v>169</v>
      </c>
      <c r="H404" s="17" t="s">
        <v>145</v>
      </c>
      <c r="I404" s="122"/>
      <c r="J404" s="203"/>
      <c r="K404" s="200"/>
      <c r="L404" s="203"/>
      <c r="M404" s="203"/>
      <c r="N404" s="203"/>
      <c r="O404" s="203"/>
      <c r="P404" s="203"/>
      <c r="Q404" s="203"/>
      <c r="R404" s="203"/>
      <c r="S404" s="203"/>
    </row>
    <row r="405" spans="5:19" x14ac:dyDescent="0.25">
      <c r="J405" s="198"/>
      <c r="K405" s="198"/>
      <c r="L405" s="198"/>
      <c r="M405" s="198"/>
      <c r="N405" s="198"/>
      <c r="O405" s="198"/>
      <c r="P405" s="198"/>
      <c r="Q405" s="198"/>
      <c r="R405" s="198"/>
      <c r="S405" s="198"/>
    </row>
    <row r="406" spans="5:19" x14ac:dyDescent="0.25">
      <c r="E406" s="121" t="s">
        <v>203</v>
      </c>
      <c r="J406" s="198"/>
      <c r="K406" s="198"/>
      <c r="L406" s="198"/>
      <c r="M406" s="198"/>
      <c r="N406" s="198"/>
      <c r="O406" s="198"/>
      <c r="P406" s="198"/>
      <c r="Q406" s="198"/>
      <c r="R406" s="198"/>
      <c r="S406" s="198"/>
    </row>
    <row r="407" spans="5:19" x14ac:dyDescent="0.25">
      <c r="F407" s="80" t="s">
        <v>925</v>
      </c>
      <c r="G407" s="80" t="s">
        <v>169</v>
      </c>
      <c r="H407" s="80" t="s">
        <v>145</v>
      </c>
      <c r="I407" s="94"/>
      <c r="J407" s="201"/>
      <c r="K407" s="196"/>
      <c r="L407" s="201"/>
      <c r="M407" s="201"/>
      <c r="N407" s="201"/>
      <c r="O407" s="201"/>
      <c r="P407" s="201"/>
      <c r="Q407" s="201"/>
      <c r="R407" s="201"/>
      <c r="S407" s="201"/>
    </row>
    <row r="408" spans="5:19" x14ac:dyDescent="0.25">
      <c r="F408" t="s">
        <v>926</v>
      </c>
      <c r="G408" t="s">
        <v>169</v>
      </c>
      <c r="H408" t="s">
        <v>145</v>
      </c>
      <c r="J408" s="202"/>
      <c r="K408" s="198"/>
      <c r="L408" s="202"/>
      <c r="M408" s="202"/>
      <c r="N408" s="202"/>
      <c r="O408" s="202"/>
      <c r="P408" s="202"/>
      <c r="Q408" s="202"/>
      <c r="R408" s="202"/>
      <c r="S408" s="202"/>
    </row>
    <row r="409" spans="5:19" x14ac:dyDescent="0.25">
      <c r="F409" t="s">
        <v>927</v>
      </c>
      <c r="G409" t="s">
        <v>169</v>
      </c>
      <c r="H409" t="s">
        <v>145</v>
      </c>
      <c r="J409" s="202"/>
      <c r="K409" s="198"/>
      <c r="L409" s="202"/>
      <c r="M409" s="202"/>
      <c r="N409" s="202"/>
      <c r="O409" s="202"/>
      <c r="P409" s="202"/>
      <c r="Q409" s="202"/>
      <c r="R409" s="202"/>
      <c r="S409" s="202"/>
    </row>
    <row r="410" spans="5:19" x14ac:dyDescent="0.25">
      <c r="F410" t="s">
        <v>928</v>
      </c>
      <c r="G410" t="s">
        <v>169</v>
      </c>
      <c r="H410" t="s">
        <v>145</v>
      </c>
      <c r="J410" s="202"/>
      <c r="K410" s="198"/>
      <c r="L410" s="202"/>
      <c r="M410" s="202"/>
      <c r="N410" s="202"/>
      <c r="O410" s="202"/>
      <c r="P410" s="202"/>
      <c r="Q410" s="202"/>
      <c r="R410" s="202"/>
      <c r="S410" s="202"/>
    </row>
    <row r="411" spans="5:19" x14ac:dyDescent="0.25">
      <c r="F411" t="s">
        <v>929</v>
      </c>
      <c r="G411" t="s">
        <v>169</v>
      </c>
      <c r="H411" t="s">
        <v>145</v>
      </c>
      <c r="J411" s="197">
        <f t="shared" ref="J411:J413" si="76">CHOOSE(year_selection, L411,M411,N411,O411,P411,Q411,R411,S411)</f>
        <v>6970</v>
      </c>
      <c r="K411" s="198"/>
      <c r="L411" s="281"/>
      <c r="M411" s="281">
        <v>6410</v>
      </c>
      <c r="N411" s="281">
        <v>5946</v>
      </c>
      <c r="O411" s="281">
        <v>6970</v>
      </c>
      <c r="P411" s="281">
        <f t="shared" ref="P411:S413" si="77">$O411</f>
        <v>6970</v>
      </c>
      <c r="Q411" s="281">
        <f t="shared" si="77"/>
        <v>6970</v>
      </c>
      <c r="R411" s="281">
        <f t="shared" si="77"/>
        <v>6970</v>
      </c>
      <c r="S411" s="281">
        <f t="shared" si="77"/>
        <v>6970</v>
      </c>
    </row>
    <row r="412" spans="5:19" x14ac:dyDescent="0.25">
      <c r="F412" t="s">
        <v>930</v>
      </c>
      <c r="G412" t="s">
        <v>169</v>
      </c>
      <c r="H412" t="s">
        <v>145</v>
      </c>
      <c r="J412" s="197">
        <f t="shared" si="76"/>
        <v>189</v>
      </c>
      <c r="K412" s="198"/>
      <c r="L412" s="281"/>
      <c r="M412" s="281">
        <v>29</v>
      </c>
      <c r="N412" s="281">
        <v>225</v>
      </c>
      <c r="O412" s="281">
        <v>189</v>
      </c>
      <c r="P412" s="281">
        <f t="shared" si="77"/>
        <v>189</v>
      </c>
      <c r="Q412" s="281">
        <f t="shared" si="77"/>
        <v>189</v>
      </c>
      <c r="R412" s="281">
        <f t="shared" si="77"/>
        <v>189</v>
      </c>
      <c r="S412" s="281">
        <f t="shared" si="77"/>
        <v>189</v>
      </c>
    </row>
    <row r="413" spans="5:19" x14ac:dyDescent="0.25">
      <c r="F413" t="s">
        <v>931</v>
      </c>
      <c r="G413" t="s">
        <v>169</v>
      </c>
      <c r="H413" t="s">
        <v>145</v>
      </c>
      <c r="J413" s="197">
        <f t="shared" si="76"/>
        <v>2073</v>
      </c>
      <c r="K413" s="198"/>
      <c r="L413" s="281"/>
      <c r="M413" s="281">
        <v>3432</v>
      </c>
      <c r="N413" s="281">
        <v>1757</v>
      </c>
      <c r="O413" s="281">
        <v>2073</v>
      </c>
      <c r="P413" s="281">
        <f t="shared" si="77"/>
        <v>2073</v>
      </c>
      <c r="Q413" s="281">
        <f t="shared" si="77"/>
        <v>2073</v>
      </c>
      <c r="R413" s="281">
        <f t="shared" si="77"/>
        <v>2073</v>
      </c>
      <c r="S413" s="281">
        <f t="shared" si="77"/>
        <v>2073</v>
      </c>
    </row>
    <row r="414" spans="5:19" x14ac:dyDescent="0.25">
      <c r="F414" t="s">
        <v>932</v>
      </c>
      <c r="G414" t="s">
        <v>169</v>
      </c>
      <c r="H414" t="s">
        <v>145</v>
      </c>
      <c r="J414" s="202"/>
      <c r="K414" s="198"/>
      <c r="L414" s="202"/>
      <c r="M414" s="202"/>
      <c r="N414" s="202"/>
      <c r="O414" s="202"/>
      <c r="P414" s="202"/>
      <c r="Q414" s="202"/>
      <c r="R414" s="202"/>
      <c r="S414" s="202"/>
    </row>
    <row r="415" spans="5:19" x14ac:dyDescent="0.25">
      <c r="F415" t="s">
        <v>933</v>
      </c>
      <c r="G415" t="s">
        <v>169</v>
      </c>
      <c r="H415" t="s">
        <v>145</v>
      </c>
      <c r="J415" s="202"/>
      <c r="K415" s="198"/>
      <c r="L415" s="202"/>
      <c r="M415" s="202"/>
      <c r="N415" s="202"/>
      <c r="O415" s="202"/>
      <c r="P415" s="202"/>
      <c r="Q415" s="202"/>
      <c r="R415" s="202"/>
      <c r="S415" s="202"/>
    </row>
    <row r="416" spans="5:19" x14ac:dyDescent="0.25">
      <c r="F416" t="s">
        <v>934</v>
      </c>
      <c r="G416" t="s">
        <v>169</v>
      </c>
      <c r="H416" t="s">
        <v>145</v>
      </c>
      <c r="J416" s="202"/>
      <c r="K416" s="198"/>
      <c r="L416" s="202"/>
      <c r="M416" s="202"/>
      <c r="N416" s="202"/>
      <c r="O416" s="202"/>
      <c r="P416" s="202"/>
      <c r="Q416" s="202"/>
      <c r="R416" s="202"/>
      <c r="S416" s="202"/>
    </row>
    <row r="417" spans="5:19" x14ac:dyDescent="0.25">
      <c r="F417" t="s">
        <v>935</v>
      </c>
      <c r="G417" t="s">
        <v>169</v>
      </c>
      <c r="H417" t="s">
        <v>145</v>
      </c>
      <c r="J417" s="202"/>
      <c r="K417" s="198"/>
      <c r="L417" s="202"/>
      <c r="M417" s="202"/>
      <c r="N417" s="202"/>
      <c r="O417" s="202"/>
      <c r="P417" s="202"/>
      <c r="Q417" s="202"/>
      <c r="R417" s="202"/>
      <c r="S417" s="202"/>
    </row>
    <row r="418" spans="5:19" x14ac:dyDescent="0.25">
      <c r="F418" t="s">
        <v>936</v>
      </c>
      <c r="G418" t="s">
        <v>169</v>
      </c>
      <c r="H418" t="s">
        <v>145</v>
      </c>
      <c r="J418" s="202"/>
      <c r="K418" s="198"/>
      <c r="L418" s="202"/>
      <c r="M418" s="202"/>
      <c r="N418" s="202"/>
      <c r="O418" s="202"/>
      <c r="P418" s="202"/>
      <c r="Q418" s="202"/>
      <c r="R418" s="202"/>
      <c r="S418" s="202"/>
    </row>
    <row r="419" spans="5:19" x14ac:dyDescent="0.25">
      <c r="F419" t="s">
        <v>937</v>
      </c>
      <c r="G419" t="s">
        <v>169</v>
      </c>
      <c r="H419" t="s">
        <v>145</v>
      </c>
      <c r="J419" s="202"/>
      <c r="K419" s="198"/>
      <c r="L419" s="202"/>
      <c r="M419" s="202"/>
      <c r="N419" s="202"/>
      <c r="O419" s="202"/>
      <c r="P419" s="202"/>
      <c r="Q419" s="202"/>
      <c r="R419" s="202"/>
      <c r="S419" s="202"/>
    </row>
    <row r="420" spans="5:19" x14ac:dyDescent="0.25">
      <c r="F420" t="s">
        <v>938</v>
      </c>
      <c r="G420" t="s">
        <v>169</v>
      </c>
      <c r="H420" t="s">
        <v>145</v>
      </c>
      <c r="J420" s="202"/>
      <c r="K420" s="198"/>
      <c r="L420" s="202"/>
      <c r="M420" s="202"/>
      <c r="N420" s="202"/>
      <c r="O420" s="202"/>
      <c r="P420" s="202"/>
      <c r="Q420" s="202"/>
      <c r="R420" s="202"/>
      <c r="S420" s="202"/>
    </row>
    <row r="421" spans="5:19" x14ac:dyDescent="0.25">
      <c r="F421" t="s">
        <v>939</v>
      </c>
      <c r="G421" t="s">
        <v>169</v>
      </c>
      <c r="H421" t="s">
        <v>145</v>
      </c>
      <c r="J421" s="202"/>
      <c r="K421" s="198"/>
      <c r="L421" s="202"/>
      <c r="M421" s="202"/>
      <c r="N421" s="202"/>
      <c r="O421" s="202"/>
      <c r="P421" s="202"/>
      <c r="Q421" s="202"/>
      <c r="R421" s="202"/>
      <c r="S421" s="202"/>
    </row>
    <row r="422" spans="5:19" x14ac:dyDescent="0.25">
      <c r="F422" s="17" t="s">
        <v>940</v>
      </c>
      <c r="G422" s="17" t="s">
        <v>169</v>
      </c>
      <c r="H422" s="17" t="s">
        <v>145</v>
      </c>
      <c r="I422" s="122"/>
      <c r="J422" s="203"/>
      <c r="K422" s="200"/>
      <c r="L422" s="203"/>
      <c r="M422" s="203"/>
      <c r="N422" s="203"/>
      <c r="O422" s="203"/>
      <c r="P422" s="203"/>
      <c r="Q422" s="203"/>
      <c r="R422" s="203"/>
      <c r="S422" s="203"/>
    </row>
    <row r="423" spans="5:19" x14ac:dyDescent="0.25">
      <c r="J423" s="198"/>
      <c r="K423" s="198"/>
      <c r="L423" s="198"/>
      <c r="M423" s="198"/>
      <c r="N423" s="198"/>
      <c r="O423" s="198"/>
      <c r="P423" s="198"/>
      <c r="Q423" s="198"/>
      <c r="R423" s="198"/>
      <c r="S423" s="198"/>
    </row>
    <row r="424" spans="5:19" x14ac:dyDescent="0.25">
      <c r="E424" s="121" t="s">
        <v>204</v>
      </c>
      <c r="J424" s="198"/>
      <c r="K424" s="198"/>
      <c r="L424" s="198"/>
      <c r="M424" s="198"/>
      <c r="N424" s="198"/>
      <c r="O424" s="198"/>
      <c r="P424" s="198"/>
      <c r="Q424" s="198"/>
      <c r="R424" s="198"/>
      <c r="S424" s="198"/>
    </row>
    <row r="425" spans="5:19" x14ac:dyDescent="0.25">
      <c r="F425" s="80" t="s">
        <v>925</v>
      </c>
      <c r="G425" s="80" t="s">
        <v>170</v>
      </c>
      <c r="H425" s="80" t="s">
        <v>145</v>
      </c>
      <c r="I425" s="94"/>
      <c r="J425" s="201"/>
      <c r="K425" s="196"/>
      <c r="L425" s="201"/>
      <c r="M425" s="201"/>
      <c r="N425" s="201"/>
      <c r="O425" s="201"/>
      <c r="P425" s="201"/>
      <c r="Q425" s="201"/>
      <c r="R425" s="201"/>
      <c r="S425" s="201"/>
    </row>
    <row r="426" spans="5:19" x14ac:dyDescent="0.25">
      <c r="F426" t="s">
        <v>926</v>
      </c>
      <c r="G426" t="s">
        <v>170</v>
      </c>
      <c r="H426" t="s">
        <v>145</v>
      </c>
      <c r="J426" s="202"/>
      <c r="K426" s="198"/>
      <c r="L426" s="202"/>
      <c r="M426" s="202"/>
      <c r="N426" s="202"/>
      <c r="O426" s="202"/>
      <c r="P426" s="202"/>
      <c r="Q426" s="202"/>
      <c r="R426" s="202"/>
      <c r="S426" s="202"/>
    </row>
    <row r="427" spans="5:19" x14ac:dyDescent="0.25">
      <c r="F427" t="s">
        <v>927</v>
      </c>
      <c r="G427" t="s">
        <v>170</v>
      </c>
      <c r="H427" t="s">
        <v>145</v>
      </c>
      <c r="J427" s="202"/>
      <c r="K427" s="198"/>
      <c r="L427" s="202"/>
      <c r="M427" s="202"/>
      <c r="N427" s="202"/>
      <c r="O427" s="202"/>
      <c r="P427" s="202"/>
      <c r="Q427" s="202"/>
      <c r="R427" s="202"/>
      <c r="S427" s="202"/>
    </row>
    <row r="428" spans="5:19" x14ac:dyDescent="0.25">
      <c r="F428" t="s">
        <v>928</v>
      </c>
      <c r="G428" t="s">
        <v>170</v>
      </c>
      <c r="H428" t="s">
        <v>145</v>
      </c>
      <c r="J428" s="202"/>
      <c r="K428" s="198"/>
      <c r="L428" s="202"/>
      <c r="M428" s="202"/>
      <c r="N428" s="202"/>
      <c r="O428" s="202"/>
      <c r="P428" s="202"/>
      <c r="Q428" s="202"/>
      <c r="R428" s="202"/>
      <c r="S428" s="202"/>
    </row>
    <row r="429" spans="5:19" x14ac:dyDescent="0.25">
      <c r="F429" t="s">
        <v>929</v>
      </c>
      <c r="G429" t="s">
        <v>170</v>
      </c>
      <c r="H429" t="s">
        <v>145</v>
      </c>
      <c r="J429" s="197">
        <f t="shared" ref="J429:J431" si="78">CHOOSE(year_selection, L429,M429,N429,O429,P429,Q429,R429,S429)</f>
        <v>60478.904999999999</v>
      </c>
      <c r="K429" s="198"/>
      <c r="L429" s="281"/>
      <c r="M429" s="281">
        <v>64659.866999999998</v>
      </c>
      <c r="N429" s="281">
        <v>60814.616000000002</v>
      </c>
      <c r="O429" s="281">
        <v>60478.904999999999</v>
      </c>
      <c r="P429" s="281">
        <f t="shared" ref="P429:S431" si="79">$O429</f>
        <v>60478.904999999999</v>
      </c>
      <c r="Q429" s="281">
        <f t="shared" si="79"/>
        <v>60478.904999999999</v>
      </c>
      <c r="R429" s="281">
        <f t="shared" si="79"/>
        <v>60478.904999999999</v>
      </c>
      <c r="S429" s="281">
        <f t="shared" si="79"/>
        <v>60478.904999999999</v>
      </c>
    </row>
    <row r="430" spans="5:19" x14ac:dyDescent="0.25">
      <c r="F430" t="s">
        <v>930</v>
      </c>
      <c r="G430" t="s">
        <v>170</v>
      </c>
      <c r="H430" t="s">
        <v>145</v>
      </c>
      <c r="J430" s="197">
        <f t="shared" si="78"/>
        <v>611.57899999999995</v>
      </c>
      <c r="K430" s="198"/>
      <c r="L430" s="281"/>
      <c r="M430" s="281">
        <v>535.721</v>
      </c>
      <c r="N430" s="281">
        <v>625.37300000000005</v>
      </c>
      <c r="O430" s="281">
        <v>611.57899999999995</v>
      </c>
      <c r="P430" s="281">
        <f t="shared" si="79"/>
        <v>611.57899999999995</v>
      </c>
      <c r="Q430" s="281">
        <f t="shared" si="79"/>
        <v>611.57899999999995</v>
      </c>
      <c r="R430" s="281">
        <f t="shared" si="79"/>
        <v>611.57899999999995</v>
      </c>
      <c r="S430" s="281">
        <f t="shared" si="79"/>
        <v>611.57899999999995</v>
      </c>
    </row>
    <row r="431" spans="5:19" x14ac:dyDescent="0.25">
      <c r="F431" t="s">
        <v>931</v>
      </c>
      <c r="G431" t="s">
        <v>170</v>
      </c>
      <c r="H431" t="s">
        <v>145</v>
      </c>
      <c r="J431" s="197">
        <f t="shared" si="78"/>
        <v>38777.107000000004</v>
      </c>
      <c r="K431" s="198"/>
      <c r="L431" s="281"/>
      <c r="M431" s="281">
        <v>49205.427000000003</v>
      </c>
      <c r="N431" s="281">
        <v>38734.983999999997</v>
      </c>
      <c r="O431" s="281">
        <v>38777.107000000004</v>
      </c>
      <c r="P431" s="281">
        <f t="shared" si="79"/>
        <v>38777.107000000004</v>
      </c>
      <c r="Q431" s="281">
        <f t="shared" si="79"/>
        <v>38777.107000000004</v>
      </c>
      <c r="R431" s="281">
        <f t="shared" si="79"/>
        <v>38777.107000000004</v>
      </c>
      <c r="S431" s="281">
        <f t="shared" si="79"/>
        <v>38777.107000000004</v>
      </c>
    </row>
    <row r="432" spans="5:19" x14ac:dyDescent="0.25">
      <c r="F432" t="s">
        <v>932</v>
      </c>
      <c r="G432" t="s">
        <v>170</v>
      </c>
      <c r="H432" t="s">
        <v>145</v>
      </c>
      <c r="J432" s="202"/>
      <c r="K432" s="198"/>
      <c r="L432" s="202"/>
      <c r="M432" s="202"/>
      <c r="N432" s="202"/>
      <c r="O432" s="202"/>
      <c r="P432" s="202"/>
      <c r="Q432" s="202"/>
      <c r="R432" s="202"/>
      <c r="S432" s="202"/>
    </row>
    <row r="433" spans="3:21" x14ac:dyDescent="0.25">
      <c r="F433" t="s">
        <v>933</v>
      </c>
      <c r="G433" t="s">
        <v>170</v>
      </c>
      <c r="H433" t="s">
        <v>145</v>
      </c>
      <c r="J433" s="202"/>
      <c r="K433" s="198"/>
      <c r="L433" s="202"/>
      <c r="M433" s="202"/>
      <c r="N433" s="202"/>
      <c r="O433" s="202"/>
      <c r="P433" s="202"/>
      <c r="Q433" s="202"/>
      <c r="R433" s="202"/>
      <c r="S433" s="202"/>
    </row>
    <row r="434" spans="3:21" x14ac:dyDescent="0.25">
      <c r="F434" t="s">
        <v>934</v>
      </c>
      <c r="G434" t="s">
        <v>170</v>
      </c>
      <c r="H434" t="s">
        <v>145</v>
      </c>
      <c r="J434" s="202"/>
      <c r="K434" s="198"/>
      <c r="L434" s="202"/>
      <c r="M434" s="202"/>
      <c r="N434" s="202"/>
      <c r="O434" s="202"/>
      <c r="P434" s="202"/>
      <c r="Q434" s="202"/>
      <c r="R434" s="202"/>
      <c r="S434" s="202"/>
    </row>
    <row r="435" spans="3:21" x14ac:dyDescent="0.25">
      <c r="F435" t="s">
        <v>935</v>
      </c>
      <c r="G435" t="s">
        <v>170</v>
      </c>
      <c r="H435" t="s">
        <v>145</v>
      </c>
      <c r="J435" s="202"/>
      <c r="K435" s="198"/>
      <c r="L435" s="202"/>
      <c r="M435" s="202"/>
      <c r="N435" s="202"/>
      <c r="O435" s="202"/>
      <c r="P435" s="202"/>
      <c r="Q435" s="202"/>
      <c r="R435" s="202"/>
      <c r="S435" s="202"/>
    </row>
    <row r="436" spans="3:21" x14ac:dyDescent="0.25">
      <c r="F436" t="s">
        <v>936</v>
      </c>
      <c r="G436" t="s">
        <v>170</v>
      </c>
      <c r="H436" t="s">
        <v>145</v>
      </c>
      <c r="J436" s="202"/>
      <c r="K436" s="198"/>
      <c r="L436" s="202"/>
      <c r="M436" s="202"/>
      <c r="N436" s="202"/>
      <c r="O436" s="202"/>
      <c r="P436" s="202"/>
      <c r="Q436" s="202"/>
      <c r="R436" s="202"/>
      <c r="S436" s="202"/>
    </row>
    <row r="437" spans="3:21" x14ac:dyDescent="0.25">
      <c r="F437" t="s">
        <v>937</v>
      </c>
      <c r="G437" t="s">
        <v>170</v>
      </c>
      <c r="H437" t="s">
        <v>145</v>
      </c>
      <c r="J437" s="202"/>
      <c r="K437" s="198"/>
      <c r="L437" s="202"/>
      <c r="M437" s="202"/>
      <c r="N437" s="202"/>
      <c r="O437" s="202"/>
      <c r="P437" s="202"/>
      <c r="Q437" s="202"/>
      <c r="R437" s="202"/>
      <c r="S437" s="202"/>
    </row>
    <row r="438" spans="3:21" x14ac:dyDescent="0.25">
      <c r="F438" t="s">
        <v>938</v>
      </c>
      <c r="G438" t="s">
        <v>170</v>
      </c>
      <c r="H438" t="s">
        <v>145</v>
      </c>
      <c r="J438" s="202"/>
      <c r="K438" s="198"/>
      <c r="L438" s="202"/>
      <c r="M438" s="202"/>
      <c r="N438" s="202"/>
      <c r="O438" s="202"/>
      <c r="P438" s="202"/>
      <c r="Q438" s="202"/>
      <c r="R438" s="202"/>
      <c r="S438" s="202"/>
    </row>
    <row r="439" spans="3:21" x14ac:dyDescent="0.25">
      <c r="F439" t="s">
        <v>939</v>
      </c>
      <c r="G439" t="s">
        <v>170</v>
      </c>
      <c r="H439" t="s">
        <v>145</v>
      </c>
      <c r="J439" s="202"/>
      <c r="K439" s="198"/>
      <c r="L439" s="202"/>
      <c r="M439" s="202"/>
      <c r="N439" s="202"/>
      <c r="O439" s="202"/>
      <c r="P439" s="202"/>
      <c r="Q439" s="202"/>
      <c r="R439" s="202"/>
      <c r="S439" s="202"/>
    </row>
    <row r="440" spans="3:21" x14ac:dyDescent="0.25">
      <c r="F440" s="17" t="s">
        <v>940</v>
      </c>
      <c r="G440" s="17" t="s">
        <v>170</v>
      </c>
      <c r="H440" s="17" t="s">
        <v>145</v>
      </c>
      <c r="I440" s="122"/>
      <c r="J440" s="203"/>
      <c r="K440" s="200"/>
      <c r="L440" s="203"/>
      <c r="M440" s="203"/>
      <c r="N440" s="203"/>
      <c r="O440" s="203"/>
      <c r="P440" s="203"/>
      <c r="Q440" s="203"/>
      <c r="R440" s="203"/>
      <c r="S440" s="203"/>
    </row>
    <row r="441" spans="3:21" x14ac:dyDescent="0.25">
      <c r="J441" s="198"/>
      <c r="K441" s="198"/>
      <c r="L441" s="198"/>
      <c r="M441" s="198"/>
      <c r="N441" s="198"/>
      <c r="O441" s="198"/>
      <c r="P441" s="198"/>
      <c r="Q441" s="198"/>
      <c r="R441" s="198"/>
      <c r="S441" s="198"/>
    </row>
    <row r="442" spans="3:21" x14ac:dyDescent="0.25">
      <c r="C442" s="5" t="str">
        <f ca="1">INDEX('Version control'!$H$36:$H$62,MATCH($A$1,'Version control'!$F$36:$F$62,0),1)&amp;"-F: All-the-way volumes - Residual Band 3"</f>
        <v>Input 501-F: All-the-way volumes - Residual Band 3</v>
      </c>
      <c r="D442" s="5"/>
      <c r="E442" s="5"/>
      <c r="F442" s="5"/>
      <c r="G442" s="5"/>
      <c r="H442" s="5"/>
      <c r="I442" s="143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</row>
    <row r="443" spans="3:21" x14ac:dyDescent="0.25">
      <c r="C443" s="52"/>
    </row>
    <row r="444" spans="3:21" x14ac:dyDescent="0.25">
      <c r="E444" s="121" t="s">
        <v>199</v>
      </c>
      <c r="I444" s="59" t="s">
        <v>359</v>
      </c>
      <c r="U444" t="s">
        <v>691</v>
      </c>
    </row>
    <row r="445" spans="3:21" x14ac:dyDescent="0.25">
      <c r="F445" s="80" t="s">
        <v>925</v>
      </c>
      <c r="G445" s="80" t="s">
        <v>120</v>
      </c>
      <c r="H445" s="80" t="s">
        <v>145</v>
      </c>
      <c r="I445" s="94"/>
      <c r="J445" s="201"/>
      <c r="K445" s="196"/>
      <c r="L445" s="201"/>
      <c r="M445" s="201"/>
      <c r="N445" s="201"/>
      <c r="O445" s="201"/>
      <c r="P445" s="201"/>
      <c r="Q445" s="201"/>
      <c r="R445" s="201"/>
      <c r="S445" s="201"/>
    </row>
    <row r="446" spans="3:21" x14ac:dyDescent="0.25">
      <c r="F446" t="s">
        <v>926</v>
      </c>
      <c r="G446" t="s">
        <v>120</v>
      </c>
      <c r="H446" t="s">
        <v>145</v>
      </c>
      <c r="J446" s="202"/>
      <c r="K446" s="198"/>
      <c r="L446" s="202"/>
      <c r="M446" s="202"/>
      <c r="N446" s="202"/>
      <c r="O446" s="202"/>
      <c r="P446" s="202"/>
      <c r="Q446" s="202"/>
      <c r="R446" s="202"/>
      <c r="S446" s="202"/>
    </row>
    <row r="447" spans="3:21" x14ac:dyDescent="0.25">
      <c r="F447" t="s">
        <v>927</v>
      </c>
      <c r="G447" t="s">
        <v>120</v>
      </c>
      <c r="H447" t="s">
        <v>145</v>
      </c>
      <c r="J447" s="197">
        <f t="shared" ref="J447" si="80">CHOOSE(year_selection, L447,M447,N447,O447,P447,Q447,R447,S447)</f>
        <v>37425.923933004749</v>
      </c>
      <c r="K447" s="198"/>
      <c r="L447" s="281"/>
      <c r="M447" s="281">
        <v>31817.958349921406</v>
      </c>
      <c r="N447" s="281">
        <v>36957.094871882917</v>
      </c>
      <c r="O447" s="281">
        <v>37425.923933004749</v>
      </c>
      <c r="P447" s="281">
        <f t="shared" ref="P447:S447" si="81">$O447</f>
        <v>37425.923933004749</v>
      </c>
      <c r="Q447" s="281">
        <f t="shared" si="81"/>
        <v>37425.923933004749</v>
      </c>
      <c r="R447" s="281">
        <f t="shared" si="81"/>
        <v>37425.923933004749</v>
      </c>
      <c r="S447" s="281">
        <f t="shared" si="81"/>
        <v>37425.923933004749</v>
      </c>
    </row>
    <row r="448" spans="3:21" x14ac:dyDescent="0.25">
      <c r="F448" t="s">
        <v>928</v>
      </c>
      <c r="G448" t="s">
        <v>120</v>
      </c>
      <c r="H448" t="s">
        <v>145</v>
      </c>
      <c r="J448" s="202"/>
      <c r="K448" s="198"/>
      <c r="L448" s="202"/>
      <c r="M448" s="202"/>
      <c r="N448" s="202"/>
      <c r="O448" s="202"/>
      <c r="P448" s="202"/>
      <c r="Q448" s="202"/>
      <c r="R448" s="202"/>
      <c r="S448" s="202"/>
    </row>
    <row r="449" spans="5:19" x14ac:dyDescent="0.25">
      <c r="F449" t="s">
        <v>929</v>
      </c>
      <c r="G449" t="s">
        <v>120</v>
      </c>
      <c r="H449" t="s">
        <v>145</v>
      </c>
      <c r="J449" s="197">
        <f t="shared" ref="J449:J451" si="82">CHOOSE(year_selection, L449,M449,N449,O449,P449,Q449,R449,S449)</f>
        <v>36868.568333115407</v>
      </c>
      <c r="K449" s="198"/>
      <c r="L449" s="281"/>
      <c r="M449" s="281">
        <v>36286.160412546575</v>
      </c>
      <c r="N449" s="281">
        <v>39226.06054211982</v>
      </c>
      <c r="O449" s="281">
        <v>36868.568333115407</v>
      </c>
      <c r="P449" s="281">
        <f t="shared" ref="P449:S451" si="83">$O449</f>
        <v>36868.568333115407</v>
      </c>
      <c r="Q449" s="281">
        <f t="shared" si="83"/>
        <v>36868.568333115407</v>
      </c>
      <c r="R449" s="281">
        <f t="shared" si="83"/>
        <v>36868.568333115407</v>
      </c>
      <c r="S449" s="281">
        <f t="shared" si="83"/>
        <v>36868.568333115407</v>
      </c>
    </row>
    <row r="450" spans="5:19" x14ac:dyDescent="0.25">
      <c r="F450" t="s">
        <v>930</v>
      </c>
      <c r="G450" t="s">
        <v>120</v>
      </c>
      <c r="H450" t="s">
        <v>145</v>
      </c>
      <c r="J450" s="197">
        <f t="shared" si="82"/>
        <v>2087.8978294873009</v>
      </c>
      <c r="K450" s="198"/>
      <c r="L450" s="281"/>
      <c r="M450" s="281">
        <v>1562.2733968721784</v>
      </c>
      <c r="N450" s="281">
        <v>1998.5529779761553</v>
      </c>
      <c r="O450" s="281">
        <v>2087.8978294873009</v>
      </c>
      <c r="P450" s="281">
        <f t="shared" si="83"/>
        <v>2087.8978294873009</v>
      </c>
      <c r="Q450" s="281">
        <f t="shared" si="83"/>
        <v>2087.8978294873009</v>
      </c>
      <c r="R450" s="281">
        <f t="shared" si="83"/>
        <v>2087.8978294873009</v>
      </c>
      <c r="S450" s="281">
        <f t="shared" si="83"/>
        <v>2087.8978294873009</v>
      </c>
    </row>
    <row r="451" spans="5:19" x14ac:dyDescent="0.25">
      <c r="F451" t="s">
        <v>931</v>
      </c>
      <c r="G451" t="s">
        <v>120</v>
      </c>
      <c r="H451" t="s">
        <v>145</v>
      </c>
      <c r="J451" s="197">
        <f t="shared" si="82"/>
        <v>52159.250767746467</v>
      </c>
      <c r="K451" s="198"/>
      <c r="L451" s="281"/>
      <c r="M451" s="281">
        <v>56125.824462391247</v>
      </c>
      <c r="N451" s="281">
        <v>58657.827402165058</v>
      </c>
      <c r="O451" s="281">
        <v>52159.250767746467</v>
      </c>
      <c r="P451" s="281">
        <f t="shared" si="83"/>
        <v>52159.250767746467</v>
      </c>
      <c r="Q451" s="281">
        <f t="shared" si="83"/>
        <v>52159.250767746467</v>
      </c>
      <c r="R451" s="281">
        <f t="shared" si="83"/>
        <v>52159.250767746467</v>
      </c>
      <c r="S451" s="281">
        <f t="shared" si="83"/>
        <v>52159.250767746467</v>
      </c>
    </row>
    <row r="452" spans="5:19" x14ac:dyDescent="0.25">
      <c r="F452" t="s">
        <v>932</v>
      </c>
      <c r="G452" t="s">
        <v>120</v>
      </c>
      <c r="H452" t="s">
        <v>145</v>
      </c>
      <c r="J452" s="202"/>
      <c r="K452" s="198"/>
      <c r="L452" s="202"/>
      <c r="M452" s="202"/>
      <c r="N452" s="202"/>
      <c r="O452" s="202"/>
      <c r="P452" s="202"/>
      <c r="Q452" s="202"/>
      <c r="R452" s="202"/>
      <c r="S452" s="202"/>
    </row>
    <row r="453" spans="5:19" x14ac:dyDescent="0.25">
      <c r="F453" t="s">
        <v>933</v>
      </c>
      <c r="G453" t="s">
        <v>120</v>
      </c>
      <c r="H453" t="s">
        <v>145</v>
      </c>
      <c r="J453" s="202"/>
      <c r="K453" s="198"/>
      <c r="L453" s="202"/>
      <c r="M453" s="202"/>
      <c r="N453" s="202"/>
      <c r="O453" s="202"/>
      <c r="P453" s="202"/>
      <c r="Q453" s="202"/>
      <c r="R453" s="202"/>
      <c r="S453" s="202"/>
    </row>
    <row r="454" spans="5:19" x14ac:dyDescent="0.25">
      <c r="F454" t="s">
        <v>934</v>
      </c>
      <c r="G454" t="s">
        <v>120</v>
      </c>
      <c r="H454" t="s">
        <v>145</v>
      </c>
      <c r="J454" s="202"/>
      <c r="K454" s="198"/>
      <c r="L454" s="202"/>
      <c r="M454" s="202"/>
      <c r="N454" s="202"/>
      <c r="O454" s="202"/>
      <c r="P454" s="202"/>
      <c r="Q454" s="202"/>
      <c r="R454" s="202"/>
      <c r="S454" s="202"/>
    </row>
    <row r="455" spans="5:19" x14ac:dyDescent="0.25">
      <c r="F455" t="s">
        <v>935</v>
      </c>
      <c r="G455" t="s">
        <v>120</v>
      </c>
      <c r="H455" t="s">
        <v>145</v>
      </c>
      <c r="J455" s="202"/>
      <c r="K455" s="198"/>
      <c r="L455" s="202"/>
      <c r="M455" s="202"/>
      <c r="N455" s="202"/>
      <c r="O455" s="202"/>
      <c r="P455" s="202"/>
      <c r="Q455" s="202"/>
      <c r="R455" s="202"/>
      <c r="S455" s="202"/>
    </row>
    <row r="456" spans="5:19" x14ac:dyDescent="0.25">
      <c r="F456" t="s">
        <v>936</v>
      </c>
      <c r="G456" t="s">
        <v>120</v>
      </c>
      <c r="H456" t="s">
        <v>145</v>
      </c>
      <c r="J456" s="202"/>
      <c r="K456" s="198"/>
      <c r="L456" s="202"/>
      <c r="M456" s="202"/>
      <c r="N456" s="202"/>
      <c r="O456" s="202"/>
      <c r="P456" s="202"/>
      <c r="Q456" s="202"/>
      <c r="R456" s="202"/>
      <c r="S456" s="202"/>
    </row>
    <row r="457" spans="5:19" x14ac:dyDescent="0.25">
      <c r="F457" t="s">
        <v>937</v>
      </c>
      <c r="G457" t="s">
        <v>120</v>
      </c>
      <c r="H457" t="s">
        <v>145</v>
      </c>
      <c r="J457" s="202"/>
      <c r="K457" s="198"/>
      <c r="L457" s="202"/>
      <c r="M457" s="202"/>
      <c r="N457" s="202"/>
      <c r="O457" s="202"/>
      <c r="P457" s="202"/>
      <c r="Q457" s="202"/>
      <c r="R457" s="202"/>
      <c r="S457" s="202"/>
    </row>
    <row r="458" spans="5:19" x14ac:dyDescent="0.25">
      <c r="F458" t="s">
        <v>938</v>
      </c>
      <c r="G458" t="s">
        <v>120</v>
      </c>
      <c r="H458" t="s">
        <v>145</v>
      </c>
      <c r="J458" s="202"/>
      <c r="K458" s="198"/>
      <c r="L458" s="202"/>
      <c r="M458" s="202"/>
      <c r="N458" s="202"/>
      <c r="O458" s="202"/>
      <c r="P458" s="202"/>
      <c r="Q458" s="202"/>
      <c r="R458" s="202"/>
      <c r="S458" s="202"/>
    </row>
    <row r="459" spans="5:19" x14ac:dyDescent="0.25">
      <c r="F459" t="s">
        <v>939</v>
      </c>
      <c r="G459" t="s">
        <v>120</v>
      </c>
      <c r="H459" t="s">
        <v>145</v>
      </c>
      <c r="J459" s="202"/>
      <c r="K459" s="198"/>
      <c r="L459" s="202"/>
      <c r="M459" s="202"/>
      <c r="N459" s="202"/>
      <c r="O459" s="202"/>
      <c r="P459" s="202"/>
      <c r="Q459" s="202"/>
      <c r="R459" s="202"/>
      <c r="S459" s="202"/>
    </row>
    <row r="460" spans="5:19" x14ac:dyDescent="0.25">
      <c r="F460" s="17" t="s">
        <v>940</v>
      </c>
      <c r="G460" s="17" t="s">
        <v>120</v>
      </c>
      <c r="H460" s="17" t="s">
        <v>145</v>
      </c>
      <c r="I460" s="122"/>
      <c r="J460" s="203"/>
      <c r="K460" s="200"/>
      <c r="L460" s="203"/>
      <c r="M460" s="203"/>
      <c r="N460" s="203"/>
      <c r="O460" s="203"/>
      <c r="P460" s="203"/>
      <c r="Q460" s="203"/>
      <c r="R460" s="203"/>
      <c r="S460" s="203"/>
    </row>
    <row r="461" spans="5:19" x14ac:dyDescent="0.25">
      <c r="J461" s="198"/>
      <c r="K461" s="198"/>
      <c r="L461" s="198"/>
      <c r="M461" s="198"/>
      <c r="N461" s="198"/>
      <c r="O461" s="198"/>
      <c r="P461" s="198"/>
      <c r="Q461" s="198"/>
      <c r="R461" s="198"/>
      <c r="S461" s="198"/>
    </row>
    <row r="462" spans="5:19" x14ac:dyDescent="0.25">
      <c r="E462" s="121" t="s">
        <v>200</v>
      </c>
      <c r="J462" s="198"/>
      <c r="K462" s="198"/>
      <c r="L462" s="198"/>
      <c r="M462" s="198"/>
      <c r="N462" s="198"/>
      <c r="O462" s="198"/>
      <c r="P462" s="198"/>
      <c r="Q462" s="198"/>
      <c r="R462" s="198"/>
      <c r="S462" s="198"/>
    </row>
    <row r="463" spans="5:19" x14ac:dyDescent="0.25">
      <c r="F463" s="80" t="s">
        <v>925</v>
      </c>
      <c r="G463" s="80" t="s">
        <v>120</v>
      </c>
      <c r="H463" s="80" t="s">
        <v>145</v>
      </c>
      <c r="I463" s="94"/>
      <c r="J463" s="201"/>
      <c r="K463" s="196"/>
      <c r="L463" s="201"/>
      <c r="M463" s="201"/>
      <c r="N463" s="201"/>
      <c r="O463" s="201"/>
      <c r="P463" s="201"/>
      <c r="Q463" s="201"/>
      <c r="R463" s="201"/>
      <c r="S463" s="201"/>
    </row>
    <row r="464" spans="5:19" x14ac:dyDescent="0.25">
      <c r="F464" t="s">
        <v>926</v>
      </c>
      <c r="G464" t="s">
        <v>120</v>
      </c>
      <c r="H464" t="s">
        <v>145</v>
      </c>
      <c r="J464" s="202"/>
      <c r="K464" s="198"/>
      <c r="L464" s="202"/>
      <c r="M464" s="202"/>
      <c r="N464" s="202"/>
      <c r="O464" s="202"/>
      <c r="P464" s="202"/>
      <c r="Q464" s="202"/>
      <c r="R464" s="202"/>
      <c r="S464" s="202"/>
    </row>
    <row r="465" spans="5:19" x14ac:dyDescent="0.25">
      <c r="F465" t="s">
        <v>927</v>
      </c>
      <c r="G465" t="s">
        <v>120</v>
      </c>
      <c r="H465" t="s">
        <v>145</v>
      </c>
      <c r="J465" s="197">
        <f t="shared" ref="J465" si="84">CHOOSE(year_selection, L465,M465,N465,O465,P465,Q465,R465,S465)</f>
        <v>192451.78252433133</v>
      </c>
      <c r="K465" s="198"/>
      <c r="L465" s="281"/>
      <c r="M465" s="281">
        <v>172194.03919141373</v>
      </c>
      <c r="N465" s="281">
        <v>200006.2786173558</v>
      </c>
      <c r="O465" s="281">
        <v>192451.78252433133</v>
      </c>
      <c r="P465" s="281">
        <f t="shared" ref="P465:S465" si="85">$O465</f>
        <v>192451.78252433133</v>
      </c>
      <c r="Q465" s="281">
        <f t="shared" si="85"/>
        <v>192451.78252433133</v>
      </c>
      <c r="R465" s="281">
        <f t="shared" si="85"/>
        <v>192451.78252433133</v>
      </c>
      <c r="S465" s="281">
        <f t="shared" si="85"/>
        <v>192451.78252433133</v>
      </c>
    </row>
    <row r="466" spans="5:19" x14ac:dyDescent="0.25">
      <c r="F466" t="s">
        <v>928</v>
      </c>
      <c r="G466" t="s">
        <v>120</v>
      </c>
      <c r="H466" t="s">
        <v>145</v>
      </c>
      <c r="J466" s="202"/>
      <c r="K466" s="198"/>
      <c r="L466" s="202"/>
      <c r="M466" s="202"/>
      <c r="N466" s="202"/>
      <c r="O466" s="202"/>
      <c r="P466" s="202"/>
      <c r="Q466" s="202"/>
      <c r="R466" s="202"/>
      <c r="S466" s="202"/>
    </row>
    <row r="467" spans="5:19" x14ac:dyDescent="0.25">
      <c r="F467" t="s">
        <v>929</v>
      </c>
      <c r="G467" t="s">
        <v>120</v>
      </c>
      <c r="H467" t="s">
        <v>145</v>
      </c>
      <c r="J467" s="197">
        <f t="shared" ref="J467:J469" si="86">CHOOSE(year_selection, L467,M467,N467,O467,P467,Q467,R467,S467)</f>
        <v>176883.02270829573</v>
      </c>
      <c r="K467" s="198"/>
      <c r="L467" s="281"/>
      <c r="M467" s="281">
        <v>174036.94806010756</v>
      </c>
      <c r="N467" s="281">
        <v>188141.82206098913</v>
      </c>
      <c r="O467" s="281">
        <v>176883.02270829573</v>
      </c>
      <c r="P467" s="281">
        <f t="shared" ref="P467:S469" si="87">$O467</f>
        <v>176883.02270829573</v>
      </c>
      <c r="Q467" s="281">
        <f t="shared" si="87"/>
        <v>176883.02270829573</v>
      </c>
      <c r="R467" s="281">
        <f t="shared" si="87"/>
        <v>176883.02270829573</v>
      </c>
      <c r="S467" s="281">
        <f t="shared" si="87"/>
        <v>176883.02270829573</v>
      </c>
    </row>
    <row r="468" spans="5:19" x14ac:dyDescent="0.25">
      <c r="F468" t="s">
        <v>930</v>
      </c>
      <c r="G468" t="s">
        <v>120</v>
      </c>
      <c r="H468" t="s">
        <v>145</v>
      </c>
      <c r="J468" s="197">
        <f t="shared" si="86"/>
        <v>9731.1217924311368</v>
      </c>
      <c r="K468" s="198"/>
      <c r="L468" s="281"/>
      <c r="M468" s="281">
        <v>7353.2638764090161</v>
      </c>
      <c r="N468" s="281">
        <v>9408.8590804454561</v>
      </c>
      <c r="O468" s="281">
        <v>9731.1217924311368</v>
      </c>
      <c r="P468" s="281">
        <f t="shared" si="87"/>
        <v>9731.1217924311368</v>
      </c>
      <c r="Q468" s="281">
        <f t="shared" si="87"/>
        <v>9731.1217924311368</v>
      </c>
      <c r="R468" s="281">
        <f t="shared" si="87"/>
        <v>9731.1217924311368</v>
      </c>
      <c r="S468" s="281">
        <f t="shared" si="87"/>
        <v>9731.1217924311368</v>
      </c>
    </row>
    <row r="469" spans="5:19" x14ac:dyDescent="0.25">
      <c r="F469" t="s">
        <v>931</v>
      </c>
      <c r="G469" t="s">
        <v>120</v>
      </c>
      <c r="H469" t="s">
        <v>145</v>
      </c>
      <c r="J469" s="197">
        <f t="shared" si="86"/>
        <v>241913.84054942831</v>
      </c>
      <c r="K469" s="198"/>
      <c r="L469" s="281"/>
      <c r="M469" s="281">
        <v>260862.98484637553</v>
      </c>
      <c r="N469" s="281">
        <v>272646.06142057484</v>
      </c>
      <c r="O469" s="281">
        <v>241913.84054942831</v>
      </c>
      <c r="P469" s="281">
        <f t="shared" si="87"/>
        <v>241913.84054942831</v>
      </c>
      <c r="Q469" s="281">
        <f t="shared" si="87"/>
        <v>241913.84054942831</v>
      </c>
      <c r="R469" s="281">
        <f t="shared" si="87"/>
        <v>241913.84054942831</v>
      </c>
      <c r="S469" s="281">
        <f t="shared" si="87"/>
        <v>241913.84054942831</v>
      </c>
    </row>
    <row r="470" spans="5:19" x14ac:dyDescent="0.25">
      <c r="F470" t="s">
        <v>932</v>
      </c>
      <c r="G470" t="s">
        <v>120</v>
      </c>
      <c r="H470" t="s">
        <v>145</v>
      </c>
      <c r="J470" s="202"/>
      <c r="K470" s="198"/>
      <c r="L470" s="202"/>
      <c r="M470" s="202"/>
      <c r="N470" s="202"/>
      <c r="O470" s="202"/>
      <c r="P470" s="202"/>
      <c r="Q470" s="202"/>
      <c r="R470" s="202"/>
      <c r="S470" s="202"/>
    </row>
    <row r="471" spans="5:19" x14ac:dyDescent="0.25">
      <c r="F471" t="s">
        <v>933</v>
      </c>
      <c r="G471" t="s">
        <v>120</v>
      </c>
      <c r="H471" t="s">
        <v>145</v>
      </c>
      <c r="J471" s="202"/>
      <c r="K471" s="198"/>
      <c r="L471" s="202"/>
      <c r="M471" s="202"/>
      <c r="N471" s="202"/>
      <c r="O471" s="202"/>
      <c r="P471" s="202"/>
      <c r="Q471" s="202"/>
      <c r="R471" s="202"/>
      <c r="S471" s="202"/>
    </row>
    <row r="472" spans="5:19" x14ac:dyDescent="0.25">
      <c r="F472" t="s">
        <v>934</v>
      </c>
      <c r="G472" t="s">
        <v>120</v>
      </c>
      <c r="H472" t="s">
        <v>145</v>
      </c>
      <c r="J472" s="202"/>
      <c r="K472" s="198"/>
      <c r="L472" s="202"/>
      <c r="M472" s="202"/>
      <c r="N472" s="202"/>
      <c r="O472" s="202"/>
      <c r="P472" s="202"/>
      <c r="Q472" s="202"/>
      <c r="R472" s="202"/>
      <c r="S472" s="202"/>
    </row>
    <row r="473" spans="5:19" x14ac:dyDescent="0.25">
      <c r="F473" t="s">
        <v>935</v>
      </c>
      <c r="G473" t="s">
        <v>120</v>
      </c>
      <c r="H473" t="s">
        <v>145</v>
      </c>
      <c r="J473" s="202"/>
      <c r="K473" s="198"/>
      <c r="L473" s="202"/>
      <c r="M473" s="202"/>
      <c r="N473" s="202"/>
      <c r="O473" s="202"/>
      <c r="P473" s="202"/>
      <c r="Q473" s="202"/>
      <c r="R473" s="202"/>
      <c r="S473" s="202"/>
    </row>
    <row r="474" spans="5:19" x14ac:dyDescent="0.25">
      <c r="F474" t="s">
        <v>936</v>
      </c>
      <c r="G474" t="s">
        <v>120</v>
      </c>
      <c r="H474" t="s">
        <v>145</v>
      </c>
      <c r="J474" s="202"/>
      <c r="K474" s="198"/>
      <c r="L474" s="202"/>
      <c r="M474" s="202"/>
      <c r="N474" s="202"/>
      <c r="O474" s="202"/>
      <c r="P474" s="202"/>
      <c r="Q474" s="202"/>
      <c r="R474" s="202"/>
      <c r="S474" s="202"/>
    </row>
    <row r="475" spans="5:19" x14ac:dyDescent="0.25">
      <c r="F475" t="s">
        <v>937</v>
      </c>
      <c r="G475" t="s">
        <v>120</v>
      </c>
      <c r="H475" t="s">
        <v>145</v>
      </c>
      <c r="J475" s="202"/>
      <c r="K475" s="198"/>
      <c r="L475" s="202"/>
      <c r="M475" s="202"/>
      <c r="N475" s="202"/>
      <c r="O475" s="202"/>
      <c r="P475" s="202"/>
      <c r="Q475" s="202"/>
      <c r="R475" s="202"/>
      <c r="S475" s="202"/>
    </row>
    <row r="476" spans="5:19" x14ac:dyDescent="0.25">
      <c r="F476" t="s">
        <v>938</v>
      </c>
      <c r="G476" t="s">
        <v>120</v>
      </c>
      <c r="H476" t="s">
        <v>145</v>
      </c>
      <c r="J476" s="202"/>
      <c r="K476" s="198"/>
      <c r="L476" s="202"/>
      <c r="M476" s="202"/>
      <c r="N476" s="202"/>
      <c r="O476" s="202"/>
      <c r="P476" s="202"/>
      <c r="Q476" s="202"/>
      <c r="R476" s="202"/>
      <c r="S476" s="202"/>
    </row>
    <row r="477" spans="5:19" x14ac:dyDescent="0.25">
      <c r="F477" t="s">
        <v>939</v>
      </c>
      <c r="G477" t="s">
        <v>120</v>
      </c>
      <c r="H477" t="s">
        <v>145</v>
      </c>
      <c r="J477" s="202"/>
      <c r="K477" s="198"/>
      <c r="L477" s="202"/>
      <c r="M477" s="202"/>
      <c r="N477" s="202"/>
      <c r="O477" s="202"/>
      <c r="P477" s="202"/>
      <c r="Q477" s="202"/>
      <c r="R477" s="202"/>
      <c r="S477" s="202"/>
    </row>
    <row r="478" spans="5:19" x14ac:dyDescent="0.25">
      <c r="F478" s="17" t="s">
        <v>940</v>
      </c>
      <c r="G478" s="17" t="s">
        <v>120</v>
      </c>
      <c r="H478" s="17" t="s">
        <v>145</v>
      </c>
      <c r="I478" s="122"/>
      <c r="J478" s="203"/>
      <c r="K478" s="200"/>
      <c r="L478" s="203"/>
      <c r="M478" s="203"/>
      <c r="N478" s="203"/>
      <c r="O478" s="203"/>
      <c r="P478" s="203"/>
      <c r="Q478" s="203"/>
      <c r="R478" s="203"/>
      <c r="S478" s="203"/>
    </row>
    <row r="479" spans="5:19" x14ac:dyDescent="0.25">
      <c r="J479" s="198"/>
      <c r="K479" s="198"/>
      <c r="L479" s="198"/>
      <c r="M479" s="198"/>
      <c r="N479" s="198"/>
      <c r="O479" s="198"/>
      <c r="P479" s="198"/>
      <c r="Q479" s="198"/>
      <c r="R479" s="198"/>
      <c r="S479" s="198"/>
    </row>
    <row r="480" spans="5:19" x14ac:dyDescent="0.25">
      <c r="E480" s="121" t="s">
        <v>201</v>
      </c>
      <c r="J480" s="198"/>
      <c r="K480" s="198"/>
      <c r="L480" s="198"/>
      <c r="M480" s="198"/>
      <c r="N480" s="198"/>
      <c r="O480" s="198"/>
      <c r="P480" s="198"/>
      <c r="Q480" s="198"/>
      <c r="R480" s="198"/>
      <c r="S480" s="198"/>
    </row>
    <row r="481" spans="6:19" x14ac:dyDescent="0.25">
      <c r="F481" s="80" t="s">
        <v>925</v>
      </c>
      <c r="G481" s="80" t="s">
        <v>120</v>
      </c>
      <c r="H481" s="80" t="s">
        <v>145</v>
      </c>
      <c r="I481" s="94"/>
      <c r="J481" s="201"/>
      <c r="K481" s="196"/>
      <c r="L481" s="201"/>
      <c r="M481" s="201"/>
      <c r="N481" s="201"/>
      <c r="O481" s="201"/>
      <c r="P481" s="201"/>
      <c r="Q481" s="201"/>
      <c r="R481" s="201"/>
      <c r="S481" s="201"/>
    </row>
    <row r="482" spans="6:19" x14ac:dyDescent="0.25">
      <c r="F482" t="s">
        <v>926</v>
      </c>
      <c r="G482" t="s">
        <v>120</v>
      </c>
      <c r="H482" t="s">
        <v>145</v>
      </c>
      <c r="J482" s="202"/>
      <c r="K482" s="198"/>
      <c r="L482" s="202"/>
      <c r="M482" s="202"/>
      <c r="N482" s="202"/>
      <c r="O482" s="202"/>
      <c r="P482" s="202"/>
      <c r="Q482" s="202"/>
      <c r="R482" s="202"/>
      <c r="S482" s="202"/>
    </row>
    <row r="483" spans="6:19" x14ac:dyDescent="0.25">
      <c r="F483" t="s">
        <v>927</v>
      </c>
      <c r="G483" t="s">
        <v>120</v>
      </c>
      <c r="H483" t="s">
        <v>145</v>
      </c>
      <c r="J483" s="197">
        <f t="shared" ref="J483" si="88">CHOOSE(year_selection, L483,M483,N483,O483,P483,Q483,R483,S483)</f>
        <v>154794.30695739787</v>
      </c>
      <c r="K483" s="198"/>
      <c r="L483" s="281"/>
      <c r="M483" s="281">
        <v>166143.38299013395</v>
      </c>
      <c r="N483" s="281">
        <v>192978.33946398151</v>
      </c>
      <c r="O483" s="281">
        <v>154794.30695739787</v>
      </c>
      <c r="P483" s="281">
        <f t="shared" ref="P483:S483" si="89">$O483</f>
        <v>154794.30695739787</v>
      </c>
      <c r="Q483" s="281">
        <f t="shared" si="89"/>
        <v>154794.30695739787</v>
      </c>
      <c r="R483" s="281">
        <f t="shared" si="89"/>
        <v>154794.30695739787</v>
      </c>
      <c r="S483" s="281">
        <f t="shared" si="89"/>
        <v>154794.30695739787</v>
      </c>
    </row>
    <row r="484" spans="6:19" x14ac:dyDescent="0.25">
      <c r="F484" t="s">
        <v>928</v>
      </c>
      <c r="G484" t="s">
        <v>120</v>
      </c>
      <c r="H484" t="s">
        <v>145</v>
      </c>
      <c r="J484" s="202"/>
      <c r="K484" s="198"/>
      <c r="L484" s="202"/>
      <c r="M484" s="202"/>
      <c r="N484" s="202"/>
      <c r="O484" s="202"/>
      <c r="P484" s="202"/>
      <c r="Q484" s="202"/>
      <c r="R484" s="202"/>
      <c r="S484" s="202"/>
    </row>
    <row r="485" spans="6:19" x14ac:dyDescent="0.25">
      <c r="F485" t="s">
        <v>929</v>
      </c>
      <c r="G485" t="s">
        <v>120</v>
      </c>
      <c r="H485" t="s">
        <v>145</v>
      </c>
      <c r="J485" s="197">
        <f t="shared" ref="J485:J487" si="90">CHOOSE(year_selection, L485,M485,N485,O485,P485,Q485,R485,S485)</f>
        <v>156898.33376025464</v>
      </c>
      <c r="K485" s="198"/>
      <c r="L485" s="281"/>
      <c r="M485" s="281">
        <v>151921.45860820165</v>
      </c>
      <c r="N485" s="281">
        <v>164246.45886544624</v>
      </c>
      <c r="O485" s="281">
        <v>156898.33376025464</v>
      </c>
      <c r="P485" s="281">
        <f t="shared" ref="P485:S487" si="91">$O485</f>
        <v>156898.33376025464</v>
      </c>
      <c r="Q485" s="281">
        <f t="shared" si="91"/>
        <v>156898.33376025464</v>
      </c>
      <c r="R485" s="281">
        <f t="shared" si="91"/>
        <v>156898.33376025464</v>
      </c>
      <c r="S485" s="281">
        <f t="shared" si="91"/>
        <v>156898.33376025464</v>
      </c>
    </row>
    <row r="486" spans="6:19" x14ac:dyDescent="0.25">
      <c r="F486" t="s">
        <v>930</v>
      </c>
      <c r="G486" t="s">
        <v>120</v>
      </c>
      <c r="H486" t="s">
        <v>145</v>
      </c>
      <c r="J486" s="197">
        <f t="shared" si="90"/>
        <v>10008.269378081564</v>
      </c>
      <c r="K486" s="198"/>
      <c r="L486" s="281"/>
      <c r="M486" s="281">
        <v>7343.0024383661466</v>
      </c>
      <c r="N486" s="281">
        <v>9396.7297183812643</v>
      </c>
      <c r="O486" s="281">
        <v>10008.269378081564</v>
      </c>
      <c r="P486" s="281">
        <f t="shared" si="91"/>
        <v>10008.269378081564</v>
      </c>
      <c r="Q486" s="281">
        <f t="shared" si="91"/>
        <v>10008.269378081564</v>
      </c>
      <c r="R486" s="281">
        <f t="shared" si="91"/>
        <v>10008.269378081564</v>
      </c>
      <c r="S486" s="281">
        <f t="shared" si="91"/>
        <v>10008.269378081564</v>
      </c>
    </row>
    <row r="487" spans="6:19" x14ac:dyDescent="0.25">
      <c r="F487" t="s">
        <v>931</v>
      </c>
      <c r="G487" t="s">
        <v>120</v>
      </c>
      <c r="H487" t="s">
        <v>145</v>
      </c>
      <c r="J487" s="197">
        <f t="shared" si="90"/>
        <v>266196.36016679689</v>
      </c>
      <c r="K487" s="198"/>
      <c r="L487" s="281"/>
      <c r="M487" s="281">
        <v>280243.06041781482</v>
      </c>
      <c r="N487" s="281">
        <v>292875.39196429728</v>
      </c>
      <c r="O487" s="281">
        <v>266196.36016679689</v>
      </c>
      <c r="P487" s="281">
        <f t="shared" si="91"/>
        <v>266196.36016679689</v>
      </c>
      <c r="Q487" s="281">
        <f t="shared" si="91"/>
        <v>266196.36016679689</v>
      </c>
      <c r="R487" s="281">
        <f t="shared" si="91"/>
        <v>266196.36016679689</v>
      </c>
      <c r="S487" s="281">
        <f t="shared" si="91"/>
        <v>266196.36016679689</v>
      </c>
    </row>
    <row r="488" spans="6:19" x14ac:dyDescent="0.25">
      <c r="F488" t="s">
        <v>932</v>
      </c>
      <c r="G488" t="s">
        <v>120</v>
      </c>
      <c r="H488" t="s">
        <v>145</v>
      </c>
      <c r="J488" s="202"/>
      <c r="K488" s="198"/>
      <c r="L488" s="202"/>
      <c r="M488" s="202"/>
      <c r="N488" s="202"/>
      <c r="O488" s="202"/>
      <c r="P488" s="202"/>
      <c r="Q488" s="202"/>
      <c r="R488" s="202"/>
      <c r="S488" s="202"/>
    </row>
    <row r="489" spans="6:19" x14ac:dyDescent="0.25">
      <c r="F489" t="s">
        <v>933</v>
      </c>
      <c r="G489" t="s">
        <v>120</v>
      </c>
      <c r="H489" t="s">
        <v>145</v>
      </c>
      <c r="J489" s="202"/>
      <c r="K489" s="198"/>
      <c r="L489" s="202"/>
      <c r="M489" s="202"/>
      <c r="N489" s="202"/>
      <c r="O489" s="202"/>
      <c r="P489" s="202"/>
      <c r="Q489" s="202"/>
      <c r="R489" s="202"/>
      <c r="S489" s="202"/>
    </row>
    <row r="490" spans="6:19" x14ac:dyDescent="0.25">
      <c r="F490" t="s">
        <v>934</v>
      </c>
      <c r="G490" t="s">
        <v>120</v>
      </c>
      <c r="H490" t="s">
        <v>145</v>
      </c>
      <c r="J490" s="202"/>
      <c r="K490" s="198"/>
      <c r="L490" s="202"/>
      <c r="M490" s="202"/>
      <c r="N490" s="202"/>
      <c r="O490" s="202"/>
      <c r="P490" s="202"/>
      <c r="Q490" s="202"/>
      <c r="R490" s="202"/>
      <c r="S490" s="202"/>
    </row>
    <row r="491" spans="6:19" x14ac:dyDescent="0.25">
      <c r="F491" t="s">
        <v>935</v>
      </c>
      <c r="G491" t="s">
        <v>120</v>
      </c>
      <c r="H491" t="s">
        <v>145</v>
      </c>
      <c r="J491" s="202"/>
      <c r="K491" s="198"/>
      <c r="L491" s="202"/>
      <c r="M491" s="202"/>
      <c r="N491" s="202"/>
      <c r="O491" s="202"/>
      <c r="P491" s="202"/>
      <c r="Q491" s="202"/>
      <c r="R491" s="202"/>
      <c r="S491" s="202"/>
    </row>
    <row r="492" spans="6:19" x14ac:dyDescent="0.25">
      <c r="F492" t="s">
        <v>936</v>
      </c>
      <c r="G492" t="s">
        <v>120</v>
      </c>
      <c r="H492" t="s">
        <v>145</v>
      </c>
      <c r="J492" s="202"/>
      <c r="K492" s="198"/>
      <c r="L492" s="202"/>
      <c r="M492" s="202"/>
      <c r="N492" s="202"/>
      <c r="O492" s="202"/>
      <c r="P492" s="202"/>
      <c r="Q492" s="202"/>
      <c r="R492" s="202"/>
      <c r="S492" s="202"/>
    </row>
    <row r="493" spans="6:19" x14ac:dyDescent="0.25">
      <c r="F493" t="s">
        <v>937</v>
      </c>
      <c r="G493" t="s">
        <v>120</v>
      </c>
      <c r="H493" t="s">
        <v>145</v>
      </c>
      <c r="J493" s="202"/>
      <c r="K493" s="198"/>
      <c r="L493" s="202"/>
      <c r="M493" s="202"/>
      <c r="N493" s="202"/>
      <c r="O493" s="202"/>
      <c r="P493" s="202"/>
      <c r="Q493" s="202"/>
      <c r="R493" s="202"/>
      <c r="S493" s="202"/>
    </row>
    <row r="494" spans="6:19" x14ac:dyDescent="0.25">
      <c r="F494" t="s">
        <v>938</v>
      </c>
      <c r="G494" t="s">
        <v>120</v>
      </c>
      <c r="H494" t="s">
        <v>145</v>
      </c>
      <c r="J494" s="202"/>
      <c r="K494" s="198"/>
      <c r="L494" s="202"/>
      <c r="M494" s="202"/>
      <c r="N494" s="202"/>
      <c r="O494" s="202"/>
      <c r="P494" s="202"/>
      <c r="Q494" s="202"/>
      <c r="R494" s="202"/>
      <c r="S494" s="202"/>
    </row>
    <row r="495" spans="6:19" x14ac:dyDescent="0.25">
      <c r="F495" t="s">
        <v>939</v>
      </c>
      <c r="G495" t="s">
        <v>120</v>
      </c>
      <c r="H495" t="s">
        <v>145</v>
      </c>
      <c r="J495" s="202"/>
      <c r="K495" s="198"/>
      <c r="L495" s="202"/>
      <c r="M495" s="202"/>
      <c r="N495" s="202"/>
      <c r="O495" s="202"/>
      <c r="P495" s="202"/>
      <c r="Q495" s="202"/>
      <c r="R495" s="202"/>
      <c r="S495" s="202"/>
    </row>
    <row r="496" spans="6:19" x14ac:dyDescent="0.25">
      <c r="F496" s="17" t="s">
        <v>940</v>
      </c>
      <c r="G496" s="17" t="s">
        <v>120</v>
      </c>
      <c r="H496" s="17" t="s">
        <v>145</v>
      </c>
      <c r="I496" s="122"/>
      <c r="J496" s="203"/>
      <c r="K496" s="200"/>
      <c r="L496" s="203"/>
      <c r="M496" s="203"/>
      <c r="N496" s="203"/>
      <c r="O496" s="203"/>
      <c r="P496" s="203"/>
      <c r="Q496" s="203"/>
      <c r="R496" s="203"/>
      <c r="S496" s="203"/>
    </row>
    <row r="497" spans="5:19" x14ac:dyDescent="0.25">
      <c r="J497" s="198"/>
      <c r="K497" s="198"/>
      <c r="L497" s="198"/>
      <c r="M497" s="198"/>
      <c r="N497" s="198"/>
      <c r="O497" s="198"/>
      <c r="P497" s="198"/>
      <c r="Q497" s="198"/>
      <c r="R497" s="198"/>
      <c r="S497" s="198"/>
    </row>
    <row r="498" spans="5:19" x14ac:dyDescent="0.25">
      <c r="E498" s="121" t="s">
        <v>74</v>
      </c>
      <c r="J498" s="198"/>
      <c r="K498" s="198"/>
      <c r="L498" s="198"/>
      <c r="M498" s="198"/>
      <c r="N498" s="198"/>
      <c r="O498" s="198"/>
      <c r="P498" s="198"/>
      <c r="Q498" s="198"/>
      <c r="R498" s="198"/>
      <c r="S498" s="198"/>
    </row>
    <row r="499" spans="5:19" x14ac:dyDescent="0.25">
      <c r="F499" s="80" t="s">
        <v>925</v>
      </c>
      <c r="G499" s="80" t="s">
        <v>74</v>
      </c>
      <c r="H499" s="80" t="s">
        <v>145</v>
      </c>
      <c r="I499" s="94"/>
      <c r="J499" s="201"/>
      <c r="K499" s="196"/>
      <c r="L499" s="201"/>
      <c r="M499" s="201"/>
      <c r="N499" s="201"/>
      <c r="O499" s="201"/>
      <c r="P499" s="201"/>
      <c r="Q499" s="201"/>
      <c r="R499" s="201"/>
      <c r="S499" s="201"/>
    </row>
    <row r="500" spans="5:19" x14ac:dyDescent="0.25">
      <c r="F500" t="s">
        <v>926</v>
      </c>
      <c r="G500" t="s">
        <v>74</v>
      </c>
      <c r="H500" t="s">
        <v>145</v>
      </c>
      <c r="J500" s="202"/>
      <c r="K500" s="198"/>
      <c r="L500" s="202"/>
      <c r="M500" s="202"/>
      <c r="N500" s="202"/>
      <c r="O500" s="202"/>
      <c r="P500" s="202"/>
      <c r="Q500" s="202"/>
      <c r="R500" s="202"/>
      <c r="S500" s="202"/>
    </row>
    <row r="501" spans="5:19" x14ac:dyDescent="0.25">
      <c r="F501" t="s">
        <v>927</v>
      </c>
      <c r="G501" t="s">
        <v>74</v>
      </c>
      <c r="H501" t="s">
        <v>145</v>
      </c>
      <c r="J501" s="197">
        <f t="shared" ref="J501" si="92">CHOOSE(year_selection, L501,M501,N501,O501,P501,Q501,R501,S501)</f>
        <v>21107</v>
      </c>
      <c r="K501" s="198"/>
      <c r="L501" s="281"/>
      <c r="M501" s="281">
        <v>21086</v>
      </c>
      <c r="N501" s="281">
        <v>21391</v>
      </c>
      <c r="O501" s="281">
        <v>21107</v>
      </c>
      <c r="P501" s="281">
        <f t="shared" ref="P501:S501" si="93">$O501</f>
        <v>21107</v>
      </c>
      <c r="Q501" s="281">
        <f t="shared" si="93"/>
        <v>21107</v>
      </c>
      <c r="R501" s="281">
        <f t="shared" si="93"/>
        <v>21107</v>
      </c>
      <c r="S501" s="281">
        <f t="shared" si="93"/>
        <v>21107</v>
      </c>
    </row>
    <row r="502" spans="5:19" x14ac:dyDescent="0.25">
      <c r="F502" t="s">
        <v>928</v>
      </c>
      <c r="G502" t="s">
        <v>74</v>
      </c>
      <c r="H502" t="s">
        <v>145</v>
      </c>
      <c r="J502" s="202"/>
      <c r="K502" s="198"/>
      <c r="L502" s="202"/>
      <c r="M502" s="202"/>
      <c r="N502" s="202"/>
      <c r="O502" s="202"/>
      <c r="P502" s="202"/>
      <c r="Q502" s="202"/>
      <c r="R502" s="202"/>
      <c r="S502" s="202"/>
    </row>
    <row r="503" spans="5:19" x14ac:dyDescent="0.25">
      <c r="F503" t="s">
        <v>929</v>
      </c>
      <c r="G503" t="s">
        <v>74</v>
      </c>
      <c r="H503" t="s">
        <v>145</v>
      </c>
      <c r="J503" s="197">
        <f t="shared" ref="J503:J505" si="94">CHOOSE(year_selection, L503,M503,N503,O503,P503,Q503,R503,S503)</f>
        <v>1261</v>
      </c>
      <c r="K503" s="198"/>
      <c r="L503" s="281"/>
      <c r="M503" s="281">
        <v>1190</v>
      </c>
      <c r="N503" s="281">
        <v>1214</v>
      </c>
      <c r="O503" s="281">
        <v>1261</v>
      </c>
      <c r="P503" s="281">
        <f t="shared" ref="P503:S505" si="95">$O503</f>
        <v>1261</v>
      </c>
      <c r="Q503" s="281">
        <f t="shared" si="95"/>
        <v>1261</v>
      </c>
      <c r="R503" s="281">
        <f t="shared" si="95"/>
        <v>1261</v>
      </c>
      <c r="S503" s="281">
        <f t="shared" si="95"/>
        <v>1261</v>
      </c>
    </row>
    <row r="504" spans="5:19" x14ac:dyDescent="0.25">
      <c r="F504" t="s">
        <v>930</v>
      </c>
      <c r="G504" t="s">
        <v>74</v>
      </c>
      <c r="H504" t="s">
        <v>145</v>
      </c>
      <c r="J504" s="197">
        <f t="shared" si="94"/>
        <v>41</v>
      </c>
      <c r="K504" s="198"/>
      <c r="L504" s="281"/>
      <c r="M504" s="281">
        <v>38</v>
      </c>
      <c r="N504" s="281">
        <v>40</v>
      </c>
      <c r="O504" s="281">
        <v>41</v>
      </c>
      <c r="P504" s="281">
        <f t="shared" si="95"/>
        <v>41</v>
      </c>
      <c r="Q504" s="281">
        <f t="shared" si="95"/>
        <v>41</v>
      </c>
      <c r="R504" s="281">
        <f t="shared" si="95"/>
        <v>41</v>
      </c>
      <c r="S504" s="281">
        <f t="shared" si="95"/>
        <v>41</v>
      </c>
    </row>
    <row r="505" spans="5:19" x14ac:dyDescent="0.25">
      <c r="F505" t="s">
        <v>931</v>
      </c>
      <c r="G505" t="s">
        <v>74</v>
      </c>
      <c r="H505" t="s">
        <v>145</v>
      </c>
      <c r="J505" s="197">
        <f t="shared" si="94"/>
        <v>177</v>
      </c>
      <c r="K505" s="198"/>
      <c r="L505" s="281"/>
      <c r="M505" s="281">
        <v>170</v>
      </c>
      <c r="N505" s="281">
        <v>173</v>
      </c>
      <c r="O505" s="281">
        <v>177</v>
      </c>
      <c r="P505" s="281">
        <f t="shared" si="95"/>
        <v>177</v>
      </c>
      <c r="Q505" s="281">
        <f t="shared" si="95"/>
        <v>177</v>
      </c>
      <c r="R505" s="281">
        <f t="shared" si="95"/>
        <v>177</v>
      </c>
      <c r="S505" s="281">
        <f t="shared" si="95"/>
        <v>177</v>
      </c>
    </row>
    <row r="506" spans="5:19" x14ac:dyDescent="0.25">
      <c r="F506" t="s">
        <v>932</v>
      </c>
      <c r="G506" t="s">
        <v>74</v>
      </c>
      <c r="H506" t="s">
        <v>145</v>
      </c>
      <c r="J506" s="202"/>
      <c r="K506" s="198"/>
      <c r="L506" s="202"/>
      <c r="M506" s="202"/>
      <c r="N506" s="202"/>
      <c r="O506" s="202"/>
      <c r="P506" s="202"/>
      <c r="Q506" s="202"/>
      <c r="R506" s="202"/>
      <c r="S506" s="202"/>
    </row>
    <row r="507" spans="5:19" x14ac:dyDescent="0.25">
      <c r="F507" t="s">
        <v>933</v>
      </c>
      <c r="G507" t="s">
        <v>74</v>
      </c>
      <c r="H507" t="s">
        <v>145</v>
      </c>
      <c r="J507" s="202"/>
      <c r="K507" s="198"/>
      <c r="L507" s="202"/>
      <c r="M507" s="202"/>
      <c r="N507" s="202"/>
      <c r="O507" s="202"/>
      <c r="P507" s="202"/>
      <c r="Q507" s="202"/>
      <c r="R507" s="202"/>
      <c r="S507" s="202"/>
    </row>
    <row r="508" spans="5:19" x14ac:dyDescent="0.25">
      <c r="F508" t="s">
        <v>934</v>
      </c>
      <c r="G508" t="s">
        <v>74</v>
      </c>
      <c r="H508" t="s">
        <v>145</v>
      </c>
      <c r="J508" s="202"/>
      <c r="K508" s="198"/>
      <c r="L508" s="202"/>
      <c r="M508" s="202"/>
      <c r="N508" s="202"/>
      <c r="O508" s="202"/>
      <c r="P508" s="202"/>
      <c r="Q508" s="202"/>
      <c r="R508" s="202"/>
      <c r="S508" s="202"/>
    </row>
    <row r="509" spans="5:19" x14ac:dyDescent="0.25">
      <c r="F509" t="s">
        <v>935</v>
      </c>
      <c r="G509" t="s">
        <v>74</v>
      </c>
      <c r="H509" t="s">
        <v>145</v>
      </c>
      <c r="J509" s="202"/>
      <c r="K509" s="198"/>
      <c r="L509" s="202"/>
      <c r="M509" s="202"/>
      <c r="N509" s="202"/>
      <c r="O509" s="202"/>
      <c r="P509" s="202"/>
      <c r="Q509" s="202"/>
      <c r="R509" s="202"/>
      <c r="S509" s="202"/>
    </row>
    <row r="510" spans="5:19" x14ac:dyDescent="0.25">
      <c r="F510" t="s">
        <v>936</v>
      </c>
      <c r="G510" t="s">
        <v>74</v>
      </c>
      <c r="H510" t="s">
        <v>145</v>
      </c>
      <c r="J510" s="202"/>
      <c r="K510" s="198"/>
      <c r="L510" s="202"/>
      <c r="M510" s="202"/>
      <c r="N510" s="202"/>
      <c r="O510" s="202"/>
      <c r="P510" s="202"/>
      <c r="Q510" s="202"/>
      <c r="R510" s="202"/>
      <c r="S510" s="202"/>
    </row>
    <row r="511" spans="5:19" x14ac:dyDescent="0.25">
      <c r="F511" t="s">
        <v>937</v>
      </c>
      <c r="G511" t="s">
        <v>74</v>
      </c>
      <c r="H511" t="s">
        <v>145</v>
      </c>
      <c r="J511" s="202"/>
      <c r="K511" s="198"/>
      <c r="L511" s="202"/>
      <c r="M511" s="202"/>
      <c r="N511" s="202"/>
      <c r="O511" s="202"/>
      <c r="P511" s="202"/>
      <c r="Q511" s="202"/>
      <c r="R511" s="202"/>
      <c r="S511" s="202"/>
    </row>
    <row r="512" spans="5:19" x14ac:dyDescent="0.25">
      <c r="F512" t="s">
        <v>938</v>
      </c>
      <c r="G512" t="s">
        <v>74</v>
      </c>
      <c r="H512" t="s">
        <v>145</v>
      </c>
      <c r="J512" s="202"/>
      <c r="K512" s="198"/>
      <c r="L512" s="202"/>
      <c r="M512" s="202"/>
      <c r="N512" s="202"/>
      <c r="O512" s="202"/>
      <c r="P512" s="202"/>
      <c r="Q512" s="202"/>
      <c r="R512" s="202"/>
      <c r="S512" s="202"/>
    </row>
    <row r="513" spans="5:19" x14ac:dyDescent="0.25">
      <c r="F513" t="s">
        <v>939</v>
      </c>
      <c r="G513" t="s">
        <v>74</v>
      </c>
      <c r="H513" t="s">
        <v>145</v>
      </c>
      <c r="J513" s="202"/>
      <c r="K513" s="198"/>
      <c r="L513" s="202"/>
      <c r="M513" s="202"/>
      <c r="N513" s="202"/>
      <c r="O513" s="202"/>
      <c r="P513" s="202"/>
      <c r="Q513" s="202"/>
      <c r="R513" s="202"/>
      <c r="S513" s="202"/>
    </row>
    <row r="514" spans="5:19" x14ac:dyDescent="0.25">
      <c r="F514" s="17" t="s">
        <v>940</v>
      </c>
      <c r="G514" s="17" t="s">
        <v>74</v>
      </c>
      <c r="H514" s="17" t="s">
        <v>145</v>
      </c>
      <c r="I514" s="122"/>
      <c r="J514" s="203"/>
      <c r="K514" s="200"/>
      <c r="L514" s="203"/>
      <c r="M514" s="203"/>
      <c r="N514" s="203"/>
      <c r="O514" s="203"/>
      <c r="P514" s="203"/>
      <c r="Q514" s="203"/>
      <c r="R514" s="203"/>
      <c r="S514" s="203"/>
    </row>
    <row r="515" spans="5:19" x14ac:dyDescent="0.25">
      <c r="J515" s="198"/>
      <c r="K515" s="198"/>
      <c r="L515" s="198"/>
      <c r="M515" s="198"/>
      <c r="N515" s="198"/>
      <c r="O515" s="198"/>
      <c r="P515" s="198"/>
      <c r="Q515" s="198"/>
      <c r="R515" s="198"/>
      <c r="S515" s="198"/>
    </row>
    <row r="516" spans="5:19" x14ac:dyDescent="0.25">
      <c r="E516" s="121" t="s">
        <v>202</v>
      </c>
      <c r="J516" s="198"/>
      <c r="K516" s="198"/>
      <c r="L516" s="198"/>
      <c r="M516" s="198"/>
      <c r="N516" s="198"/>
      <c r="O516" s="198"/>
      <c r="P516" s="198"/>
      <c r="Q516" s="198"/>
      <c r="R516" s="198"/>
      <c r="S516" s="198"/>
    </row>
    <row r="517" spans="5:19" x14ac:dyDescent="0.25">
      <c r="F517" s="80" t="s">
        <v>925</v>
      </c>
      <c r="G517" s="80" t="s">
        <v>169</v>
      </c>
      <c r="H517" s="80" t="s">
        <v>145</v>
      </c>
      <c r="I517" s="94"/>
      <c r="J517" s="201"/>
      <c r="K517" s="196"/>
      <c r="L517" s="201"/>
      <c r="M517" s="201"/>
      <c r="N517" s="201"/>
      <c r="O517" s="201"/>
      <c r="P517" s="201"/>
      <c r="Q517" s="201"/>
      <c r="R517" s="201"/>
      <c r="S517" s="201"/>
    </row>
    <row r="518" spans="5:19" x14ac:dyDescent="0.25">
      <c r="F518" t="s">
        <v>926</v>
      </c>
      <c r="G518" t="s">
        <v>169</v>
      </c>
      <c r="H518" t="s">
        <v>145</v>
      </c>
      <c r="J518" s="202"/>
      <c r="K518" s="198"/>
      <c r="L518" s="202"/>
      <c r="M518" s="202"/>
      <c r="N518" s="202"/>
      <c r="O518" s="202"/>
      <c r="P518" s="202"/>
      <c r="Q518" s="202"/>
      <c r="R518" s="202"/>
      <c r="S518" s="202"/>
    </row>
    <row r="519" spans="5:19" x14ac:dyDescent="0.25">
      <c r="F519" t="s">
        <v>927</v>
      </c>
      <c r="G519" t="s">
        <v>169</v>
      </c>
      <c r="H519" t="s">
        <v>145</v>
      </c>
      <c r="J519" s="202"/>
      <c r="K519" s="198"/>
      <c r="L519" s="202"/>
      <c r="M519" s="202"/>
      <c r="N519" s="202"/>
      <c r="O519" s="202"/>
      <c r="P519" s="202"/>
      <c r="Q519" s="202"/>
      <c r="R519" s="202"/>
      <c r="S519" s="202"/>
    </row>
    <row r="520" spans="5:19" x14ac:dyDescent="0.25">
      <c r="F520" t="s">
        <v>928</v>
      </c>
      <c r="G520" t="s">
        <v>169</v>
      </c>
      <c r="H520" t="s">
        <v>145</v>
      </c>
      <c r="J520" s="202"/>
      <c r="K520" s="198"/>
      <c r="L520" s="202"/>
      <c r="M520" s="202"/>
      <c r="N520" s="202"/>
      <c r="O520" s="202"/>
      <c r="P520" s="202"/>
      <c r="Q520" s="202"/>
      <c r="R520" s="202"/>
      <c r="S520" s="202"/>
    </row>
    <row r="521" spans="5:19" x14ac:dyDescent="0.25">
      <c r="F521" t="s">
        <v>929</v>
      </c>
      <c r="G521" t="s">
        <v>169</v>
      </c>
      <c r="H521" t="s">
        <v>145</v>
      </c>
      <c r="J521" s="197">
        <f t="shared" ref="J521:J523" si="96">CHOOSE(year_selection, L521,M521,N521,O521,P521,Q521,R521,S521)</f>
        <v>237355</v>
      </c>
      <c r="K521" s="198"/>
      <c r="L521" s="281"/>
      <c r="M521" s="281">
        <v>226712</v>
      </c>
      <c r="N521" s="281">
        <v>229477</v>
      </c>
      <c r="O521" s="281">
        <v>237355</v>
      </c>
      <c r="P521" s="281">
        <f t="shared" ref="P521:S523" si="97">$O521</f>
        <v>237355</v>
      </c>
      <c r="Q521" s="281">
        <f t="shared" si="97"/>
        <v>237355</v>
      </c>
      <c r="R521" s="281">
        <f t="shared" si="97"/>
        <v>237355</v>
      </c>
      <c r="S521" s="281">
        <f t="shared" si="97"/>
        <v>237355</v>
      </c>
    </row>
    <row r="522" spans="5:19" x14ac:dyDescent="0.25">
      <c r="F522" t="s">
        <v>930</v>
      </c>
      <c r="G522" t="s">
        <v>169</v>
      </c>
      <c r="H522" t="s">
        <v>145</v>
      </c>
      <c r="J522" s="197">
        <f t="shared" si="96"/>
        <v>7741</v>
      </c>
      <c r="K522" s="198"/>
      <c r="L522" s="281"/>
      <c r="M522" s="281">
        <v>7381</v>
      </c>
      <c r="N522" s="281">
        <v>7741</v>
      </c>
      <c r="O522" s="281">
        <v>7741</v>
      </c>
      <c r="P522" s="281">
        <f t="shared" si="97"/>
        <v>7741</v>
      </c>
      <c r="Q522" s="281">
        <f t="shared" si="97"/>
        <v>7741</v>
      </c>
      <c r="R522" s="281">
        <f t="shared" si="97"/>
        <v>7741</v>
      </c>
      <c r="S522" s="281">
        <f t="shared" si="97"/>
        <v>7741</v>
      </c>
    </row>
    <row r="523" spans="5:19" x14ac:dyDescent="0.25">
      <c r="F523" t="s">
        <v>931</v>
      </c>
      <c r="G523" t="s">
        <v>169</v>
      </c>
      <c r="H523" t="s">
        <v>145</v>
      </c>
      <c r="J523" s="197">
        <f t="shared" si="96"/>
        <v>239536</v>
      </c>
      <c r="K523" s="198"/>
      <c r="L523" s="281"/>
      <c r="M523" s="281">
        <v>236160</v>
      </c>
      <c r="N523" s="281">
        <v>233736</v>
      </c>
      <c r="O523" s="281">
        <v>239536</v>
      </c>
      <c r="P523" s="281">
        <f t="shared" si="97"/>
        <v>239536</v>
      </c>
      <c r="Q523" s="281">
        <f t="shared" si="97"/>
        <v>239536</v>
      </c>
      <c r="R523" s="281">
        <f t="shared" si="97"/>
        <v>239536</v>
      </c>
      <c r="S523" s="281">
        <f t="shared" si="97"/>
        <v>239536</v>
      </c>
    </row>
    <row r="524" spans="5:19" x14ac:dyDescent="0.25">
      <c r="F524" t="s">
        <v>932</v>
      </c>
      <c r="G524" t="s">
        <v>169</v>
      </c>
      <c r="H524" t="s">
        <v>145</v>
      </c>
      <c r="J524" s="202"/>
      <c r="K524" s="198"/>
      <c r="L524" s="202"/>
      <c r="M524" s="202"/>
      <c r="N524" s="202"/>
      <c r="O524" s="202"/>
      <c r="P524" s="202"/>
      <c r="Q524" s="202"/>
      <c r="R524" s="202"/>
      <c r="S524" s="202"/>
    </row>
    <row r="525" spans="5:19" x14ac:dyDescent="0.25">
      <c r="F525" t="s">
        <v>933</v>
      </c>
      <c r="G525" t="s">
        <v>169</v>
      </c>
      <c r="H525" t="s">
        <v>145</v>
      </c>
      <c r="J525" s="202"/>
      <c r="K525" s="198"/>
      <c r="L525" s="202"/>
      <c r="M525" s="202"/>
      <c r="N525" s="202"/>
      <c r="O525" s="202"/>
      <c r="P525" s="202"/>
      <c r="Q525" s="202"/>
      <c r="R525" s="202"/>
      <c r="S525" s="202"/>
    </row>
    <row r="526" spans="5:19" x14ac:dyDescent="0.25">
      <c r="F526" t="s">
        <v>934</v>
      </c>
      <c r="G526" t="s">
        <v>169</v>
      </c>
      <c r="H526" t="s">
        <v>145</v>
      </c>
      <c r="J526" s="202"/>
      <c r="K526" s="198"/>
      <c r="L526" s="202"/>
      <c r="M526" s="202"/>
      <c r="N526" s="202"/>
      <c r="O526" s="202"/>
      <c r="P526" s="202"/>
      <c r="Q526" s="202"/>
      <c r="R526" s="202"/>
      <c r="S526" s="202"/>
    </row>
    <row r="527" spans="5:19" x14ac:dyDescent="0.25">
      <c r="F527" t="s">
        <v>935</v>
      </c>
      <c r="G527" t="s">
        <v>169</v>
      </c>
      <c r="H527" t="s">
        <v>145</v>
      </c>
      <c r="J527" s="202"/>
      <c r="K527" s="198"/>
      <c r="L527" s="202"/>
      <c r="M527" s="202"/>
      <c r="N527" s="202"/>
      <c r="O527" s="202"/>
      <c r="P527" s="202"/>
      <c r="Q527" s="202"/>
      <c r="R527" s="202"/>
      <c r="S527" s="202"/>
    </row>
    <row r="528" spans="5:19" x14ac:dyDescent="0.25">
      <c r="F528" t="s">
        <v>936</v>
      </c>
      <c r="G528" t="s">
        <v>169</v>
      </c>
      <c r="H528" t="s">
        <v>145</v>
      </c>
      <c r="J528" s="202"/>
      <c r="K528" s="198"/>
      <c r="L528" s="202"/>
      <c r="M528" s="202"/>
      <c r="N528" s="202"/>
      <c r="O528" s="202"/>
      <c r="P528" s="202"/>
      <c r="Q528" s="202"/>
      <c r="R528" s="202"/>
      <c r="S528" s="202"/>
    </row>
    <row r="529" spans="5:19" x14ac:dyDescent="0.25">
      <c r="F529" t="s">
        <v>937</v>
      </c>
      <c r="G529" t="s">
        <v>169</v>
      </c>
      <c r="H529" t="s">
        <v>145</v>
      </c>
      <c r="J529" s="202"/>
      <c r="K529" s="198"/>
      <c r="L529" s="202"/>
      <c r="M529" s="202"/>
      <c r="N529" s="202"/>
      <c r="O529" s="202"/>
      <c r="P529" s="202"/>
      <c r="Q529" s="202"/>
      <c r="R529" s="202"/>
      <c r="S529" s="202"/>
    </row>
    <row r="530" spans="5:19" x14ac:dyDescent="0.25">
      <c r="F530" t="s">
        <v>938</v>
      </c>
      <c r="G530" t="s">
        <v>169</v>
      </c>
      <c r="H530" t="s">
        <v>145</v>
      </c>
      <c r="J530" s="202"/>
      <c r="K530" s="198"/>
      <c r="L530" s="202"/>
      <c r="M530" s="202"/>
      <c r="N530" s="202"/>
      <c r="O530" s="202"/>
      <c r="P530" s="202"/>
      <c r="Q530" s="202"/>
      <c r="R530" s="202"/>
      <c r="S530" s="202"/>
    </row>
    <row r="531" spans="5:19" x14ac:dyDescent="0.25">
      <c r="F531" t="s">
        <v>939</v>
      </c>
      <c r="G531" t="s">
        <v>169</v>
      </c>
      <c r="H531" t="s">
        <v>145</v>
      </c>
      <c r="J531" s="202"/>
      <c r="K531" s="198"/>
      <c r="L531" s="202"/>
      <c r="M531" s="202"/>
      <c r="N531" s="202"/>
      <c r="O531" s="202"/>
      <c r="P531" s="202"/>
      <c r="Q531" s="202"/>
      <c r="R531" s="202"/>
      <c r="S531" s="202"/>
    </row>
    <row r="532" spans="5:19" x14ac:dyDescent="0.25">
      <c r="F532" s="17" t="s">
        <v>940</v>
      </c>
      <c r="G532" s="17" t="s">
        <v>169</v>
      </c>
      <c r="H532" s="17" t="s">
        <v>145</v>
      </c>
      <c r="I532" s="122"/>
      <c r="J532" s="203"/>
      <c r="K532" s="200"/>
      <c r="L532" s="203"/>
      <c r="M532" s="203"/>
      <c r="N532" s="203"/>
      <c r="O532" s="203"/>
      <c r="P532" s="203"/>
      <c r="Q532" s="203"/>
      <c r="R532" s="203"/>
      <c r="S532" s="203"/>
    </row>
    <row r="533" spans="5:19" x14ac:dyDescent="0.25">
      <c r="J533" s="198"/>
      <c r="K533" s="198"/>
      <c r="L533" s="198"/>
      <c r="M533" s="198"/>
      <c r="N533" s="198"/>
      <c r="O533" s="198"/>
      <c r="P533" s="198"/>
      <c r="Q533" s="198"/>
      <c r="R533" s="198"/>
      <c r="S533" s="198"/>
    </row>
    <row r="534" spans="5:19" x14ac:dyDescent="0.25">
      <c r="E534" s="121" t="s">
        <v>203</v>
      </c>
      <c r="J534" s="198"/>
      <c r="K534" s="198"/>
      <c r="L534" s="198"/>
      <c r="M534" s="198"/>
      <c r="N534" s="198"/>
      <c r="O534" s="198"/>
      <c r="P534" s="198"/>
      <c r="Q534" s="198"/>
      <c r="R534" s="198"/>
      <c r="S534" s="198"/>
    </row>
    <row r="535" spans="5:19" x14ac:dyDescent="0.25">
      <c r="F535" s="80" t="s">
        <v>925</v>
      </c>
      <c r="G535" s="80" t="s">
        <v>169</v>
      </c>
      <c r="H535" s="80" t="s">
        <v>145</v>
      </c>
      <c r="I535" s="94"/>
      <c r="J535" s="201"/>
      <c r="K535" s="196"/>
      <c r="L535" s="201"/>
      <c r="M535" s="201"/>
      <c r="N535" s="201"/>
      <c r="O535" s="201"/>
      <c r="P535" s="201"/>
      <c r="Q535" s="201"/>
      <c r="R535" s="201"/>
      <c r="S535" s="201"/>
    </row>
    <row r="536" spans="5:19" x14ac:dyDescent="0.25">
      <c r="F536" t="s">
        <v>926</v>
      </c>
      <c r="G536" t="s">
        <v>169</v>
      </c>
      <c r="H536" t="s">
        <v>145</v>
      </c>
      <c r="J536" s="202"/>
      <c r="K536" s="198"/>
      <c r="L536" s="202"/>
      <c r="M536" s="202"/>
      <c r="N536" s="202"/>
      <c r="O536" s="202"/>
      <c r="P536" s="202"/>
      <c r="Q536" s="202"/>
      <c r="R536" s="202"/>
      <c r="S536" s="202"/>
    </row>
    <row r="537" spans="5:19" x14ac:dyDescent="0.25">
      <c r="F537" t="s">
        <v>927</v>
      </c>
      <c r="G537" t="s">
        <v>169</v>
      </c>
      <c r="H537" t="s">
        <v>145</v>
      </c>
      <c r="J537" s="202"/>
      <c r="K537" s="198"/>
      <c r="L537" s="202"/>
      <c r="M537" s="202"/>
      <c r="N537" s="202"/>
      <c r="O537" s="202"/>
      <c r="P537" s="202"/>
      <c r="Q537" s="202"/>
      <c r="R537" s="202"/>
      <c r="S537" s="202"/>
    </row>
    <row r="538" spans="5:19" x14ac:dyDescent="0.25">
      <c r="F538" t="s">
        <v>928</v>
      </c>
      <c r="G538" t="s">
        <v>169</v>
      </c>
      <c r="H538" t="s">
        <v>145</v>
      </c>
      <c r="J538" s="202"/>
      <c r="K538" s="198"/>
      <c r="L538" s="202"/>
      <c r="M538" s="202"/>
      <c r="N538" s="202"/>
      <c r="O538" s="202"/>
      <c r="P538" s="202"/>
      <c r="Q538" s="202"/>
      <c r="R538" s="202"/>
      <c r="S538" s="202"/>
    </row>
    <row r="539" spans="5:19" x14ac:dyDescent="0.25">
      <c r="F539" t="s">
        <v>929</v>
      </c>
      <c r="G539" t="s">
        <v>169</v>
      </c>
      <c r="H539" t="s">
        <v>145</v>
      </c>
      <c r="J539" s="197">
        <f t="shared" ref="J539:J541" si="98">CHOOSE(year_selection, L539,M539,N539,O539,P539,Q539,R539,S539)</f>
        <v>1336</v>
      </c>
      <c r="K539" s="198"/>
      <c r="L539" s="281"/>
      <c r="M539" s="281">
        <v>3671</v>
      </c>
      <c r="N539" s="281">
        <v>1446</v>
      </c>
      <c r="O539" s="281">
        <v>1336</v>
      </c>
      <c r="P539" s="281">
        <f t="shared" ref="P539:S541" si="99">$O539</f>
        <v>1336</v>
      </c>
      <c r="Q539" s="281">
        <f t="shared" si="99"/>
        <v>1336</v>
      </c>
      <c r="R539" s="281">
        <f t="shared" si="99"/>
        <v>1336</v>
      </c>
      <c r="S539" s="281">
        <f t="shared" si="99"/>
        <v>1336</v>
      </c>
    </row>
    <row r="540" spans="5:19" x14ac:dyDescent="0.25">
      <c r="F540" t="s">
        <v>930</v>
      </c>
      <c r="G540" t="s">
        <v>169</v>
      </c>
      <c r="H540" t="s">
        <v>145</v>
      </c>
      <c r="J540" s="197">
        <f t="shared" si="98"/>
        <v>144</v>
      </c>
      <c r="K540" s="198"/>
      <c r="L540" s="281"/>
      <c r="M540" s="281">
        <v>85</v>
      </c>
      <c r="N540" s="281">
        <v>224</v>
      </c>
      <c r="O540" s="281">
        <v>144</v>
      </c>
      <c r="P540" s="281">
        <f t="shared" si="99"/>
        <v>144</v>
      </c>
      <c r="Q540" s="281">
        <f t="shared" si="99"/>
        <v>144</v>
      </c>
      <c r="R540" s="281">
        <f t="shared" si="99"/>
        <v>144</v>
      </c>
      <c r="S540" s="281">
        <f t="shared" si="99"/>
        <v>144</v>
      </c>
    </row>
    <row r="541" spans="5:19" x14ac:dyDescent="0.25">
      <c r="F541" t="s">
        <v>931</v>
      </c>
      <c r="G541" t="s">
        <v>169</v>
      </c>
      <c r="H541" t="s">
        <v>145</v>
      </c>
      <c r="J541" s="197">
        <f t="shared" si="98"/>
        <v>1688</v>
      </c>
      <c r="K541" s="198"/>
      <c r="L541" s="281"/>
      <c r="M541" s="281">
        <v>3060</v>
      </c>
      <c r="N541" s="281">
        <v>1482</v>
      </c>
      <c r="O541" s="281">
        <v>1688</v>
      </c>
      <c r="P541" s="281">
        <f t="shared" si="99"/>
        <v>1688</v>
      </c>
      <c r="Q541" s="281">
        <f t="shared" si="99"/>
        <v>1688</v>
      </c>
      <c r="R541" s="281">
        <f t="shared" si="99"/>
        <v>1688</v>
      </c>
      <c r="S541" s="281">
        <f t="shared" si="99"/>
        <v>1688</v>
      </c>
    </row>
    <row r="542" spans="5:19" x14ac:dyDescent="0.25">
      <c r="F542" t="s">
        <v>932</v>
      </c>
      <c r="G542" t="s">
        <v>169</v>
      </c>
      <c r="H542" t="s">
        <v>145</v>
      </c>
      <c r="J542" s="202"/>
      <c r="K542" s="198"/>
      <c r="L542" s="202"/>
      <c r="M542" s="202"/>
      <c r="N542" s="202"/>
      <c r="O542" s="202"/>
      <c r="P542" s="202"/>
      <c r="Q542" s="202"/>
      <c r="R542" s="202"/>
      <c r="S542" s="202"/>
    </row>
    <row r="543" spans="5:19" x14ac:dyDescent="0.25">
      <c r="F543" t="s">
        <v>933</v>
      </c>
      <c r="G543" t="s">
        <v>169</v>
      </c>
      <c r="H543" t="s">
        <v>145</v>
      </c>
      <c r="J543" s="202"/>
      <c r="K543" s="198"/>
      <c r="L543" s="202"/>
      <c r="M543" s="202"/>
      <c r="N543" s="202"/>
      <c r="O543" s="202"/>
      <c r="P543" s="202"/>
      <c r="Q543" s="202"/>
      <c r="R543" s="202"/>
      <c r="S543" s="202"/>
    </row>
    <row r="544" spans="5:19" x14ac:dyDescent="0.25">
      <c r="F544" t="s">
        <v>934</v>
      </c>
      <c r="G544" t="s">
        <v>169</v>
      </c>
      <c r="H544" t="s">
        <v>145</v>
      </c>
      <c r="J544" s="202"/>
      <c r="K544" s="198"/>
      <c r="L544" s="202"/>
      <c r="M544" s="202"/>
      <c r="N544" s="202"/>
      <c r="O544" s="202"/>
      <c r="P544" s="202"/>
      <c r="Q544" s="202"/>
      <c r="R544" s="202"/>
      <c r="S544" s="202"/>
    </row>
    <row r="545" spans="5:19" x14ac:dyDescent="0.25">
      <c r="F545" t="s">
        <v>935</v>
      </c>
      <c r="G545" t="s">
        <v>169</v>
      </c>
      <c r="H545" t="s">
        <v>145</v>
      </c>
      <c r="J545" s="202"/>
      <c r="K545" s="198"/>
      <c r="L545" s="202"/>
      <c r="M545" s="202"/>
      <c r="N545" s="202"/>
      <c r="O545" s="202"/>
      <c r="P545" s="202"/>
      <c r="Q545" s="202"/>
      <c r="R545" s="202"/>
      <c r="S545" s="202"/>
    </row>
    <row r="546" spans="5:19" x14ac:dyDescent="0.25">
      <c r="F546" t="s">
        <v>936</v>
      </c>
      <c r="G546" t="s">
        <v>169</v>
      </c>
      <c r="H546" t="s">
        <v>145</v>
      </c>
      <c r="J546" s="202"/>
      <c r="K546" s="198"/>
      <c r="L546" s="202"/>
      <c r="M546" s="202"/>
      <c r="N546" s="202"/>
      <c r="O546" s="202"/>
      <c r="P546" s="202"/>
      <c r="Q546" s="202"/>
      <c r="R546" s="202"/>
      <c r="S546" s="202"/>
    </row>
    <row r="547" spans="5:19" x14ac:dyDescent="0.25">
      <c r="F547" t="s">
        <v>937</v>
      </c>
      <c r="G547" t="s">
        <v>169</v>
      </c>
      <c r="H547" t="s">
        <v>145</v>
      </c>
      <c r="J547" s="202"/>
      <c r="K547" s="198"/>
      <c r="L547" s="202"/>
      <c r="M547" s="202"/>
      <c r="N547" s="202"/>
      <c r="O547" s="202"/>
      <c r="P547" s="202"/>
      <c r="Q547" s="202"/>
      <c r="R547" s="202"/>
      <c r="S547" s="202"/>
    </row>
    <row r="548" spans="5:19" x14ac:dyDescent="0.25">
      <c r="F548" t="s">
        <v>938</v>
      </c>
      <c r="G548" t="s">
        <v>169</v>
      </c>
      <c r="H548" t="s">
        <v>145</v>
      </c>
      <c r="J548" s="202"/>
      <c r="K548" s="198"/>
      <c r="L548" s="202"/>
      <c r="M548" s="202"/>
      <c r="N548" s="202"/>
      <c r="O548" s="202"/>
      <c r="P548" s="202"/>
      <c r="Q548" s="202"/>
      <c r="R548" s="202"/>
      <c r="S548" s="202"/>
    </row>
    <row r="549" spans="5:19" x14ac:dyDescent="0.25">
      <c r="F549" t="s">
        <v>939</v>
      </c>
      <c r="G549" t="s">
        <v>169</v>
      </c>
      <c r="H549" t="s">
        <v>145</v>
      </c>
      <c r="J549" s="202"/>
      <c r="K549" s="198"/>
      <c r="L549" s="202"/>
      <c r="M549" s="202"/>
      <c r="N549" s="202"/>
      <c r="O549" s="202"/>
      <c r="P549" s="202"/>
      <c r="Q549" s="202"/>
      <c r="R549" s="202"/>
      <c r="S549" s="202"/>
    </row>
    <row r="550" spans="5:19" x14ac:dyDescent="0.25">
      <c r="F550" s="17" t="s">
        <v>940</v>
      </c>
      <c r="G550" s="17" t="s">
        <v>169</v>
      </c>
      <c r="H550" s="17" t="s">
        <v>145</v>
      </c>
      <c r="I550" s="122"/>
      <c r="J550" s="203"/>
      <c r="K550" s="200"/>
      <c r="L550" s="203"/>
      <c r="M550" s="203"/>
      <c r="N550" s="203"/>
      <c r="O550" s="203"/>
      <c r="P550" s="203"/>
      <c r="Q550" s="203"/>
      <c r="R550" s="203"/>
      <c r="S550" s="203"/>
    </row>
    <row r="551" spans="5:19" x14ac:dyDescent="0.25">
      <c r="J551" s="198"/>
      <c r="K551" s="198"/>
      <c r="L551" s="198"/>
      <c r="M551" s="198"/>
      <c r="N551" s="198"/>
      <c r="O551" s="198"/>
      <c r="P551" s="198"/>
      <c r="Q551" s="198"/>
      <c r="R551" s="198"/>
      <c r="S551" s="198"/>
    </row>
    <row r="552" spans="5:19" x14ac:dyDescent="0.25">
      <c r="E552" s="121" t="s">
        <v>204</v>
      </c>
      <c r="J552" s="198"/>
      <c r="K552" s="198"/>
      <c r="L552" s="198"/>
      <c r="M552" s="198"/>
      <c r="N552" s="198"/>
      <c r="O552" s="198"/>
      <c r="P552" s="198"/>
      <c r="Q552" s="198"/>
      <c r="R552" s="198"/>
      <c r="S552" s="198"/>
    </row>
    <row r="553" spans="5:19" x14ac:dyDescent="0.25">
      <c r="F553" s="80" t="s">
        <v>925</v>
      </c>
      <c r="G553" s="80" t="s">
        <v>170</v>
      </c>
      <c r="H553" s="80" t="s">
        <v>145</v>
      </c>
      <c r="I553" s="94"/>
      <c r="J553" s="201"/>
      <c r="K553" s="196"/>
      <c r="L553" s="201"/>
      <c r="M553" s="201"/>
      <c r="N553" s="201"/>
      <c r="O553" s="201"/>
      <c r="P553" s="201"/>
      <c r="Q553" s="201"/>
      <c r="R553" s="201"/>
      <c r="S553" s="201"/>
    </row>
    <row r="554" spans="5:19" x14ac:dyDescent="0.25">
      <c r="F554" t="s">
        <v>926</v>
      </c>
      <c r="G554" t="s">
        <v>170</v>
      </c>
      <c r="H554" t="s">
        <v>145</v>
      </c>
      <c r="J554" s="202"/>
      <c r="K554" s="198"/>
      <c r="L554" s="202"/>
      <c r="M554" s="202"/>
      <c r="N554" s="202"/>
      <c r="O554" s="202"/>
      <c r="P554" s="202"/>
      <c r="Q554" s="202"/>
      <c r="R554" s="202"/>
      <c r="S554" s="202"/>
    </row>
    <row r="555" spans="5:19" x14ac:dyDescent="0.25">
      <c r="F555" t="s">
        <v>927</v>
      </c>
      <c r="G555" t="s">
        <v>170</v>
      </c>
      <c r="H555" t="s">
        <v>145</v>
      </c>
      <c r="J555" s="202"/>
      <c r="K555" s="198"/>
      <c r="L555" s="202"/>
      <c r="M555" s="202"/>
      <c r="N555" s="202"/>
      <c r="O555" s="202"/>
      <c r="P555" s="202"/>
      <c r="Q555" s="202"/>
      <c r="R555" s="202"/>
      <c r="S555" s="202"/>
    </row>
    <row r="556" spans="5:19" x14ac:dyDescent="0.25">
      <c r="F556" t="s">
        <v>928</v>
      </c>
      <c r="G556" t="s">
        <v>170</v>
      </c>
      <c r="H556" t="s">
        <v>145</v>
      </c>
      <c r="J556" s="202"/>
      <c r="K556" s="198"/>
      <c r="L556" s="202"/>
      <c r="M556" s="202"/>
      <c r="N556" s="202"/>
      <c r="O556" s="202"/>
      <c r="P556" s="202"/>
      <c r="Q556" s="202"/>
      <c r="R556" s="202"/>
      <c r="S556" s="202"/>
    </row>
    <row r="557" spans="5:19" x14ac:dyDescent="0.25">
      <c r="F557" t="s">
        <v>929</v>
      </c>
      <c r="G557" t="s">
        <v>170</v>
      </c>
      <c r="H557" t="s">
        <v>145</v>
      </c>
      <c r="J557" s="197">
        <f t="shared" ref="J557:J559" si="100">CHOOSE(year_selection, L557,M557,N557,O557,P557,Q557,R557,S557)</f>
        <v>32197.821</v>
      </c>
      <c r="K557" s="198"/>
      <c r="L557" s="281"/>
      <c r="M557" s="281">
        <v>37024.178</v>
      </c>
      <c r="N557" s="281">
        <v>34603.232000000004</v>
      </c>
      <c r="O557" s="281">
        <v>32197.821</v>
      </c>
      <c r="P557" s="281">
        <f t="shared" ref="P557:S559" si="101">$O557</f>
        <v>32197.821</v>
      </c>
      <c r="Q557" s="281">
        <f t="shared" si="101"/>
        <v>32197.821</v>
      </c>
      <c r="R557" s="281">
        <f t="shared" si="101"/>
        <v>32197.821</v>
      </c>
      <c r="S557" s="281">
        <f t="shared" si="101"/>
        <v>32197.821</v>
      </c>
    </row>
    <row r="558" spans="5:19" x14ac:dyDescent="0.25">
      <c r="F558" t="s">
        <v>930</v>
      </c>
      <c r="G558" t="s">
        <v>170</v>
      </c>
      <c r="H558" t="s">
        <v>145</v>
      </c>
      <c r="J558" s="197">
        <f t="shared" si="100"/>
        <v>1792.9359999999999</v>
      </c>
      <c r="K558" s="198"/>
      <c r="L558" s="281"/>
      <c r="M558" s="281">
        <v>1557.982</v>
      </c>
      <c r="N558" s="281">
        <v>1854.87</v>
      </c>
      <c r="O558" s="281">
        <v>1792.9359999999999</v>
      </c>
      <c r="P558" s="281">
        <f t="shared" si="101"/>
        <v>1792.9359999999999</v>
      </c>
      <c r="Q558" s="281">
        <f t="shared" si="101"/>
        <v>1792.9359999999999</v>
      </c>
      <c r="R558" s="281">
        <f t="shared" si="101"/>
        <v>1792.9359999999999</v>
      </c>
      <c r="S558" s="281">
        <f t="shared" si="101"/>
        <v>1792.9359999999999</v>
      </c>
    </row>
    <row r="559" spans="5:19" x14ac:dyDescent="0.25">
      <c r="F559" t="s">
        <v>931</v>
      </c>
      <c r="G559" t="s">
        <v>170</v>
      </c>
      <c r="H559" t="s">
        <v>145</v>
      </c>
      <c r="J559" s="197">
        <f t="shared" si="100"/>
        <v>34030.400000000001</v>
      </c>
      <c r="K559" s="198"/>
      <c r="L559" s="281"/>
      <c r="M559" s="281">
        <v>43871.084999999999</v>
      </c>
      <c r="N559" s="281">
        <v>34825.851999999999</v>
      </c>
      <c r="O559" s="281">
        <v>34030.400000000001</v>
      </c>
      <c r="P559" s="281">
        <f t="shared" si="101"/>
        <v>34030.400000000001</v>
      </c>
      <c r="Q559" s="281">
        <f t="shared" si="101"/>
        <v>34030.400000000001</v>
      </c>
      <c r="R559" s="281">
        <f t="shared" si="101"/>
        <v>34030.400000000001</v>
      </c>
      <c r="S559" s="281">
        <f t="shared" si="101"/>
        <v>34030.400000000001</v>
      </c>
    </row>
    <row r="560" spans="5:19" x14ac:dyDescent="0.25">
      <c r="F560" t="s">
        <v>932</v>
      </c>
      <c r="G560" t="s">
        <v>170</v>
      </c>
      <c r="H560" t="s">
        <v>145</v>
      </c>
      <c r="J560" s="202"/>
      <c r="K560" s="198"/>
      <c r="L560" s="202"/>
      <c r="M560" s="202"/>
      <c r="N560" s="202"/>
      <c r="O560" s="202"/>
      <c r="P560" s="202"/>
      <c r="Q560" s="202"/>
      <c r="R560" s="202"/>
      <c r="S560" s="202"/>
    </row>
    <row r="561" spans="3:21" x14ac:dyDescent="0.25">
      <c r="F561" t="s">
        <v>933</v>
      </c>
      <c r="G561" t="s">
        <v>170</v>
      </c>
      <c r="H561" t="s">
        <v>145</v>
      </c>
      <c r="J561" s="202"/>
      <c r="K561" s="198"/>
      <c r="L561" s="202"/>
      <c r="M561" s="202"/>
      <c r="N561" s="202"/>
      <c r="O561" s="202"/>
      <c r="P561" s="202"/>
      <c r="Q561" s="202"/>
      <c r="R561" s="202"/>
      <c r="S561" s="202"/>
    </row>
    <row r="562" spans="3:21" x14ac:dyDescent="0.25">
      <c r="F562" t="s">
        <v>934</v>
      </c>
      <c r="G562" t="s">
        <v>170</v>
      </c>
      <c r="H562" t="s">
        <v>145</v>
      </c>
      <c r="J562" s="202"/>
      <c r="K562" s="198"/>
      <c r="L562" s="202"/>
      <c r="M562" s="202"/>
      <c r="N562" s="202"/>
      <c r="O562" s="202"/>
      <c r="P562" s="202"/>
      <c r="Q562" s="202"/>
      <c r="R562" s="202"/>
      <c r="S562" s="202"/>
    </row>
    <row r="563" spans="3:21" x14ac:dyDescent="0.25">
      <c r="F563" t="s">
        <v>935</v>
      </c>
      <c r="G563" t="s">
        <v>170</v>
      </c>
      <c r="H563" t="s">
        <v>145</v>
      </c>
      <c r="J563" s="202"/>
      <c r="K563" s="198"/>
      <c r="L563" s="202"/>
      <c r="M563" s="202"/>
      <c r="N563" s="202"/>
      <c r="O563" s="202"/>
      <c r="P563" s="202"/>
      <c r="Q563" s="202"/>
      <c r="R563" s="202"/>
      <c r="S563" s="202"/>
    </row>
    <row r="564" spans="3:21" x14ac:dyDescent="0.25">
      <c r="F564" t="s">
        <v>936</v>
      </c>
      <c r="G564" t="s">
        <v>170</v>
      </c>
      <c r="H564" t="s">
        <v>145</v>
      </c>
      <c r="J564" s="202"/>
      <c r="K564" s="198"/>
      <c r="L564" s="202"/>
      <c r="M564" s="202"/>
      <c r="N564" s="202"/>
      <c r="O564" s="202"/>
      <c r="P564" s="202"/>
      <c r="Q564" s="202"/>
      <c r="R564" s="202"/>
      <c r="S564" s="202"/>
    </row>
    <row r="565" spans="3:21" x14ac:dyDescent="0.25">
      <c r="F565" t="s">
        <v>937</v>
      </c>
      <c r="G565" t="s">
        <v>170</v>
      </c>
      <c r="H565" t="s">
        <v>145</v>
      </c>
      <c r="J565" s="202"/>
      <c r="K565" s="198"/>
      <c r="L565" s="202"/>
      <c r="M565" s="202"/>
      <c r="N565" s="202"/>
      <c r="O565" s="202"/>
      <c r="P565" s="202"/>
      <c r="Q565" s="202"/>
      <c r="R565" s="202"/>
      <c r="S565" s="202"/>
    </row>
    <row r="566" spans="3:21" x14ac:dyDescent="0.25">
      <c r="F566" t="s">
        <v>938</v>
      </c>
      <c r="G566" t="s">
        <v>170</v>
      </c>
      <c r="H566" t="s">
        <v>145</v>
      </c>
      <c r="J566" s="202"/>
      <c r="K566" s="198"/>
      <c r="L566" s="202"/>
      <c r="M566" s="202"/>
      <c r="N566" s="202"/>
      <c r="O566" s="202"/>
      <c r="P566" s="202"/>
      <c r="Q566" s="202"/>
      <c r="R566" s="202"/>
      <c r="S566" s="202"/>
    </row>
    <row r="567" spans="3:21" x14ac:dyDescent="0.25">
      <c r="F567" t="s">
        <v>939</v>
      </c>
      <c r="G567" t="s">
        <v>170</v>
      </c>
      <c r="H567" t="s">
        <v>145</v>
      </c>
      <c r="J567" s="202"/>
      <c r="K567" s="198"/>
      <c r="L567" s="202"/>
      <c r="M567" s="202"/>
      <c r="N567" s="202"/>
      <c r="O567" s="202"/>
      <c r="P567" s="202"/>
      <c r="Q567" s="202"/>
      <c r="R567" s="202"/>
      <c r="S567" s="202"/>
    </row>
    <row r="568" spans="3:21" x14ac:dyDescent="0.25">
      <c r="F568" s="17" t="s">
        <v>940</v>
      </c>
      <c r="G568" s="17" t="s">
        <v>170</v>
      </c>
      <c r="H568" s="17" t="s">
        <v>145</v>
      </c>
      <c r="I568" s="122"/>
      <c r="J568" s="203"/>
      <c r="K568" s="200"/>
      <c r="L568" s="203"/>
      <c r="M568" s="203"/>
      <c r="N568" s="203"/>
      <c r="O568" s="203"/>
      <c r="P568" s="203"/>
      <c r="Q568" s="203"/>
      <c r="R568" s="203"/>
      <c r="S568" s="203"/>
    </row>
    <row r="569" spans="3:21" x14ac:dyDescent="0.25">
      <c r="J569" s="198"/>
      <c r="K569" s="198"/>
      <c r="L569" s="198"/>
      <c r="M569" s="198"/>
      <c r="N569" s="198"/>
      <c r="O569" s="198"/>
      <c r="P569" s="198"/>
      <c r="Q569" s="198"/>
      <c r="R569" s="198"/>
      <c r="S569" s="198"/>
    </row>
    <row r="570" spans="3:21" x14ac:dyDescent="0.25">
      <c r="C570" s="5" t="str">
        <f ca="1">INDEX('Version control'!$H$36:$H$62,MATCH($A$1,'Version control'!$F$36:$F$62,0),1)&amp;"-G: All-the-way volumes - Residual Band 4"</f>
        <v>Input 501-G: All-the-way volumes - Residual Band 4</v>
      </c>
      <c r="D570" s="5"/>
      <c r="E570" s="5"/>
      <c r="F570" s="5"/>
      <c r="G570" s="5"/>
      <c r="H570" s="5"/>
      <c r="I570" s="143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</row>
    <row r="571" spans="3:21" x14ac:dyDescent="0.25">
      <c r="C571" s="52"/>
    </row>
    <row r="572" spans="3:21" x14ac:dyDescent="0.25">
      <c r="E572" s="121" t="s">
        <v>199</v>
      </c>
      <c r="I572" s="59" t="s">
        <v>359</v>
      </c>
      <c r="U572" t="s">
        <v>691</v>
      </c>
    </row>
    <row r="573" spans="3:21" x14ac:dyDescent="0.25">
      <c r="F573" s="80" t="s">
        <v>925</v>
      </c>
      <c r="G573" s="80" t="s">
        <v>120</v>
      </c>
      <c r="H573" s="80" t="s">
        <v>145</v>
      </c>
      <c r="I573" s="94"/>
      <c r="J573" s="201"/>
      <c r="K573" s="196"/>
      <c r="L573" s="201"/>
      <c r="M573" s="201"/>
      <c r="N573" s="201"/>
      <c r="O573" s="201"/>
      <c r="P573" s="201"/>
      <c r="Q573" s="201"/>
      <c r="R573" s="201"/>
      <c r="S573" s="201"/>
    </row>
    <row r="574" spans="3:21" x14ac:dyDescent="0.25">
      <c r="F574" t="s">
        <v>926</v>
      </c>
      <c r="G574" t="s">
        <v>120</v>
      </c>
      <c r="H574" t="s">
        <v>145</v>
      </c>
      <c r="J574" s="202"/>
      <c r="K574" s="198"/>
      <c r="L574" s="202"/>
      <c r="M574" s="202"/>
      <c r="N574" s="202"/>
      <c r="O574" s="202"/>
      <c r="P574" s="202"/>
      <c r="Q574" s="202"/>
      <c r="R574" s="202"/>
      <c r="S574" s="202"/>
    </row>
    <row r="575" spans="3:21" x14ac:dyDescent="0.25">
      <c r="F575" t="s">
        <v>927</v>
      </c>
      <c r="G575" t="s">
        <v>120</v>
      </c>
      <c r="H575" t="s">
        <v>145</v>
      </c>
      <c r="J575" s="197">
        <f t="shared" ref="J575" si="102">CHOOSE(year_selection, L575,M575,N575,O575,P575,Q575,R575,S575)</f>
        <v>113078.7546939583</v>
      </c>
      <c r="K575" s="198"/>
      <c r="L575" s="281"/>
      <c r="M575" s="281">
        <v>102169.0552470587</v>
      </c>
      <c r="N575" s="281">
        <v>112105.66937038545</v>
      </c>
      <c r="O575" s="281">
        <v>113078.7546939583</v>
      </c>
      <c r="P575" s="281">
        <f t="shared" ref="P575:S579" si="103">$O575</f>
        <v>113078.7546939583</v>
      </c>
      <c r="Q575" s="281">
        <f t="shared" si="103"/>
        <v>113078.7546939583</v>
      </c>
      <c r="R575" s="281">
        <f t="shared" si="103"/>
        <v>113078.7546939583</v>
      </c>
      <c r="S575" s="281">
        <f t="shared" si="103"/>
        <v>113078.7546939583</v>
      </c>
    </row>
    <row r="576" spans="3:21" x14ac:dyDescent="0.25">
      <c r="F576" t="s">
        <v>928</v>
      </c>
      <c r="G576" t="s">
        <v>120</v>
      </c>
      <c r="H576" t="s">
        <v>145</v>
      </c>
      <c r="J576" s="202"/>
      <c r="K576" s="198"/>
      <c r="L576" s="202"/>
      <c r="M576" s="202"/>
      <c r="N576" s="202"/>
      <c r="O576" s="202"/>
      <c r="P576" s="202"/>
      <c r="Q576" s="202"/>
      <c r="R576" s="202"/>
      <c r="S576" s="202"/>
    </row>
    <row r="577" spans="5:19" x14ac:dyDescent="0.25">
      <c r="F577" t="s">
        <v>929</v>
      </c>
      <c r="G577" t="s">
        <v>120</v>
      </c>
      <c r="H577" t="s">
        <v>145</v>
      </c>
      <c r="J577" s="197">
        <f t="shared" ref="J577:J579" si="104">CHOOSE(year_selection, L577,M577,N577,O577,P577,Q577,R577,S577)</f>
        <v>90934.026821706211</v>
      </c>
      <c r="K577" s="198"/>
      <c r="L577" s="281"/>
      <c r="M577" s="281">
        <v>94187.772366585545</v>
      </c>
      <c r="N577" s="281">
        <v>97962.834956326973</v>
      </c>
      <c r="O577" s="281">
        <v>90934.026821706211</v>
      </c>
      <c r="P577" s="281">
        <f t="shared" si="103"/>
        <v>90934.026821706211</v>
      </c>
      <c r="Q577" s="281">
        <f t="shared" si="103"/>
        <v>90934.026821706211</v>
      </c>
      <c r="R577" s="281">
        <f t="shared" si="103"/>
        <v>90934.026821706211</v>
      </c>
      <c r="S577" s="281">
        <f t="shared" si="103"/>
        <v>90934.026821706211</v>
      </c>
    </row>
    <row r="578" spans="5:19" x14ac:dyDescent="0.25">
      <c r="F578" t="s">
        <v>930</v>
      </c>
      <c r="G578" t="s">
        <v>120</v>
      </c>
      <c r="H578" t="s">
        <v>145</v>
      </c>
      <c r="J578" s="197">
        <f t="shared" si="104"/>
        <v>21698.50373939249</v>
      </c>
      <c r="K578" s="198"/>
      <c r="L578" s="281"/>
      <c r="M578" s="281">
        <v>18428.730232417009</v>
      </c>
      <c r="N578" s="281">
        <v>19903.040577660275</v>
      </c>
      <c r="O578" s="281">
        <v>21698.50373939249</v>
      </c>
      <c r="P578" s="281">
        <f t="shared" si="103"/>
        <v>21698.50373939249</v>
      </c>
      <c r="Q578" s="281">
        <f t="shared" si="103"/>
        <v>21698.50373939249</v>
      </c>
      <c r="R578" s="281">
        <f t="shared" si="103"/>
        <v>21698.50373939249</v>
      </c>
      <c r="S578" s="281">
        <f t="shared" si="103"/>
        <v>21698.50373939249</v>
      </c>
    </row>
    <row r="579" spans="5:19" x14ac:dyDescent="0.25">
      <c r="F579" t="s">
        <v>931</v>
      </c>
      <c r="G579" t="s">
        <v>120</v>
      </c>
      <c r="H579" t="s">
        <v>145</v>
      </c>
      <c r="J579" s="197">
        <f t="shared" si="104"/>
        <v>164544.48604752985</v>
      </c>
      <c r="K579" s="198"/>
      <c r="L579" s="281"/>
      <c r="M579" s="281">
        <v>167602.70125070951</v>
      </c>
      <c r="N579" s="281">
        <v>180027.26962917042</v>
      </c>
      <c r="O579" s="281">
        <v>164544.48604752985</v>
      </c>
      <c r="P579" s="281">
        <f t="shared" si="103"/>
        <v>164544.48604752985</v>
      </c>
      <c r="Q579" s="281">
        <f t="shared" si="103"/>
        <v>164544.48604752985</v>
      </c>
      <c r="R579" s="281">
        <f t="shared" si="103"/>
        <v>164544.48604752985</v>
      </c>
      <c r="S579" s="281">
        <f t="shared" si="103"/>
        <v>164544.48604752985</v>
      </c>
    </row>
    <row r="580" spans="5:19" x14ac:dyDescent="0.25">
      <c r="F580" t="s">
        <v>932</v>
      </c>
      <c r="G580" t="s">
        <v>120</v>
      </c>
      <c r="H580" t="s">
        <v>145</v>
      </c>
      <c r="J580" s="202"/>
      <c r="K580" s="198"/>
      <c r="L580" s="202"/>
      <c r="M580" s="202"/>
      <c r="N580" s="202"/>
      <c r="O580" s="202"/>
      <c r="P580" s="202"/>
      <c r="Q580" s="202"/>
      <c r="R580" s="202"/>
      <c r="S580" s="202"/>
    </row>
    <row r="581" spans="5:19" x14ac:dyDescent="0.25">
      <c r="F581" t="s">
        <v>933</v>
      </c>
      <c r="G581" t="s">
        <v>120</v>
      </c>
      <c r="H581" t="s">
        <v>145</v>
      </c>
      <c r="J581" s="202"/>
      <c r="K581" s="198"/>
      <c r="L581" s="202"/>
      <c r="M581" s="202"/>
      <c r="N581" s="202"/>
      <c r="O581" s="202"/>
      <c r="P581" s="202"/>
      <c r="Q581" s="202"/>
      <c r="R581" s="202"/>
      <c r="S581" s="202"/>
    </row>
    <row r="582" spans="5:19" x14ac:dyDescent="0.25">
      <c r="F582" t="s">
        <v>934</v>
      </c>
      <c r="G582" t="s">
        <v>120</v>
      </c>
      <c r="H582" t="s">
        <v>145</v>
      </c>
      <c r="J582" s="202"/>
      <c r="K582" s="198"/>
      <c r="L582" s="202"/>
      <c r="M582" s="202"/>
      <c r="N582" s="202"/>
      <c r="O582" s="202"/>
      <c r="P582" s="202"/>
      <c r="Q582" s="202"/>
      <c r="R582" s="202"/>
      <c r="S582" s="202"/>
    </row>
    <row r="583" spans="5:19" x14ac:dyDescent="0.25">
      <c r="F583" t="s">
        <v>935</v>
      </c>
      <c r="G583" t="s">
        <v>120</v>
      </c>
      <c r="H583" t="s">
        <v>145</v>
      </c>
      <c r="J583" s="202"/>
      <c r="K583" s="198"/>
      <c r="L583" s="202"/>
      <c r="M583" s="202"/>
      <c r="N583" s="202"/>
      <c r="O583" s="202"/>
      <c r="P583" s="202"/>
      <c r="Q583" s="202"/>
      <c r="R583" s="202"/>
      <c r="S583" s="202"/>
    </row>
    <row r="584" spans="5:19" x14ac:dyDescent="0.25">
      <c r="F584" t="s">
        <v>936</v>
      </c>
      <c r="G584" t="s">
        <v>120</v>
      </c>
      <c r="H584" t="s">
        <v>145</v>
      </c>
      <c r="J584" s="202"/>
      <c r="K584" s="198"/>
      <c r="L584" s="202"/>
      <c r="M584" s="202"/>
      <c r="N584" s="202"/>
      <c r="O584" s="202"/>
      <c r="P584" s="202"/>
      <c r="Q584" s="202"/>
      <c r="R584" s="202"/>
      <c r="S584" s="202"/>
    </row>
    <row r="585" spans="5:19" x14ac:dyDescent="0.25">
      <c r="F585" t="s">
        <v>937</v>
      </c>
      <c r="G585" t="s">
        <v>120</v>
      </c>
      <c r="H585" t="s">
        <v>145</v>
      </c>
      <c r="J585" s="202"/>
      <c r="K585" s="198"/>
      <c r="L585" s="202"/>
      <c r="M585" s="202"/>
      <c r="N585" s="202"/>
      <c r="O585" s="202"/>
      <c r="P585" s="202"/>
      <c r="Q585" s="202"/>
      <c r="R585" s="202"/>
      <c r="S585" s="202"/>
    </row>
    <row r="586" spans="5:19" x14ac:dyDescent="0.25">
      <c r="F586" t="s">
        <v>938</v>
      </c>
      <c r="G586" t="s">
        <v>120</v>
      </c>
      <c r="H586" t="s">
        <v>145</v>
      </c>
      <c r="J586" s="202"/>
      <c r="K586" s="198"/>
      <c r="L586" s="202"/>
      <c r="M586" s="202"/>
      <c r="N586" s="202"/>
      <c r="O586" s="202"/>
      <c r="P586" s="202"/>
      <c r="Q586" s="202"/>
      <c r="R586" s="202"/>
      <c r="S586" s="202"/>
    </row>
    <row r="587" spans="5:19" x14ac:dyDescent="0.25">
      <c r="F587" t="s">
        <v>939</v>
      </c>
      <c r="G587" t="s">
        <v>120</v>
      </c>
      <c r="H587" t="s">
        <v>145</v>
      </c>
      <c r="J587" s="202"/>
      <c r="K587" s="198"/>
      <c r="L587" s="202"/>
      <c r="M587" s="202"/>
      <c r="N587" s="202"/>
      <c r="O587" s="202"/>
      <c r="P587" s="202"/>
      <c r="Q587" s="202"/>
      <c r="R587" s="202"/>
      <c r="S587" s="202"/>
    </row>
    <row r="588" spans="5:19" x14ac:dyDescent="0.25">
      <c r="F588" s="17" t="s">
        <v>940</v>
      </c>
      <c r="G588" s="17" t="s">
        <v>120</v>
      </c>
      <c r="H588" s="17" t="s">
        <v>145</v>
      </c>
      <c r="I588" s="122"/>
      <c r="J588" s="203"/>
      <c r="K588" s="200"/>
      <c r="L588" s="203"/>
      <c r="M588" s="203"/>
      <c r="N588" s="203"/>
      <c r="O588" s="203"/>
      <c r="P588" s="203"/>
      <c r="Q588" s="203"/>
      <c r="R588" s="203"/>
      <c r="S588" s="203"/>
    </row>
    <row r="589" spans="5:19" x14ac:dyDescent="0.25">
      <c r="J589" s="198"/>
      <c r="K589" s="198"/>
      <c r="L589" s="198"/>
      <c r="M589" s="198"/>
      <c r="N589" s="198"/>
      <c r="O589" s="198"/>
      <c r="P589" s="198"/>
      <c r="Q589" s="198"/>
      <c r="R589" s="198"/>
      <c r="S589" s="198"/>
    </row>
    <row r="590" spans="5:19" x14ac:dyDescent="0.25">
      <c r="E590" s="121" t="s">
        <v>200</v>
      </c>
      <c r="J590" s="198"/>
      <c r="K590" s="198"/>
      <c r="L590" s="198"/>
      <c r="M590" s="198"/>
      <c r="N590" s="198"/>
      <c r="O590" s="198"/>
      <c r="P590" s="198"/>
      <c r="Q590" s="198"/>
      <c r="R590" s="198"/>
      <c r="S590" s="198"/>
    </row>
    <row r="591" spans="5:19" x14ac:dyDescent="0.25">
      <c r="F591" s="80" t="s">
        <v>925</v>
      </c>
      <c r="G591" s="80" t="s">
        <v>120</v>
      </c>
      <c r="H591" s="80" t="s">
        <v>145</v>
      </c>
      <c r="I591" s="94"/>
      <c r="J591" s="201"/>
      <c r="K591" s="196"/>
      <c r="L591" s="201"/>
      <c r="M591" s="201"/>
      <c r="N591" s="201"/>
      <c r="O591" s="201"/>
      <c r="P591" s="201"/>
      <c r="Q591" s="201"/>
      <c r="R591" s="201"/>
      <c r="S591" s="201"/>
    </row>
    <row r="592" spans="5:19" x14ac:dyDescent="0.25">
      <c r="F592" t="s">
        <v>926</v>
      </c>
      <c r="G592" t="s">
        <v>120</v>
      </c>
      <c r="H592" t="s">
        <v>145</v>
      </c>
      <c r="J592" s="202"/>
      <c r="K592" s="198"/>
      <c r="L592" s="202"/>
      <c r="M592" s="202"/>
      <c r="N592" s="202"/>
      <c r="O592" s="202"/>
      <c r="P592" s="202"/>
      <c r="Q592" s="202"/>
      <c r="R592" s="202"/>
      <c r="S592" s="202"/>
    </row>
    <row r="593" spans="5:19" x14ac:dyDescent="0.25">
      <c r="F593" t="s">
        <v>927</v>
      </c>
      <c r="G593" t="s">
        <v>120</v>
      </c>
      <c r="H593" t="s">
        <v>145</v>
      </c>
      <c r="J593" s="197">
        <f t="shared" ref="J593" si="105">CHOOSE(year_selection, L593,M593,N593,O593,P593,Q593,R593,S593)</f>
        <v>581474.16602032015</v>
      </c>
      <c r="K593" s="198"/>
      <c r="L593" s="281"/>
      <c r="M593" s="281">
        <v>552923.67001936189</v>
      </c>
      <c r="N593" s="281">
        <v>606699.14181314863</v>
      </c>
      <c r="O593" s="281">
        <v>581474.16602032015</v>
      </c>
      <c r="P593" s="281">
        <f t="shared" ref="P593:S597" si="106">$O593</f>
        <v>581474.16602032015</v>
      </c>
      <c r="Q593" s="281">
        <f t="shared" si="106"/>
        <v>581474.16602032015</v>
      </c>
      <c r="R593" s="281">
        <f t="shared" si="106"/>
        <v>581474.16602032015</v>
      </c>
      <c r="S593" s="281">
        <f t="shared" si="106"/>
        <v>581474.16602032015</v>
      </c>
    </row>
    <row r="594" spans="5:19" x14ac:dyDescent="0.25">
      <c r="F594" t="s">
        <v>928</v>
      </c>
      <c r="G594" t="s">
        <v>120</v>
      </c>
      <c r="H594" t="s">
        <v>145</v>
      </c>
      <c r="J594" s="202"/>
      <c r="K594" s="198"/>
      <c r="L594" s="202"/>
      <c r="M594" s="202"/>
      <c r="N594" s="202"/>
      <c r="O594" s="202"/>
      <c r="P594" s="202"/>
      <c r="Q594" s="202"/>
      <c r="R594" s="202"/>
      <c r="S594" s="202"/>
    </row>
    <row r="595" spans="5:19" x14ac:dyDescent="0.25">
      <c r="F595" t="s">
        <v>929</v>
      </c>
      <c r="G595" t="s">
        <v>120</v>
      </c>
      <c r="H595" t="s">
        <v>145</v>
      </c>
      <c r="J595" s="197">
        <f t="shared" ref="J595:J597" si="107">CHOOSE(year_selection, L595,M595,N595,O595,P595,Q595,R595,S595)</f>
        <v>436270.95540928131</v>
      </c>
      <c r="K595" s="198"/>
      <c r="L595" s="281"/>
      <c r="M595" s="281">
        <v>451746.67864811653</v>
      </c>
      <c r="N595" s="281">
        <v>469863.81013593602</v>
      </c>
      <c r="O595" s="281">
        <v>436270.95540928131</v>
      </c>
      <c r="P595" s="281">
        <f t="shared" si="106"/>
        <v>436270.95540928131</v>
      </c>
      <c r="Q595" s="281">
        <f t="shared" si="106"/>
        <v>436270.95540928131</v>
      </c>
      <c r="R595" s="281">
        <f t="shared" si="106"/>
        <v>436270.95540928131</v>
      </c>
      <c r="S595" s="281">
        <f t="shared" si="106"/>
        <v>436270.95540928131</v>
      </c>
    </row>
    <row r="596" spans="5:19" x14ac:dyDescent="0.25">
      <c r="F596" t="s">
        <v>930</v>
      </c>
      <c r="G596" t="s">
        <v>120</v>
      </c>
      <c r="H596" t="s">
        <v>145</v>
      </c>
      <c r="J596" s="197">
        <f t="shared" si="107"/>
        <v>101130.80229284996</v>
      </c>
      <c r="K596" s="198"/>
      <c r="L596" s="281"/>
      <c r="M596" s="281">
        <v>86739.821965492985</v>
      </c>
      <c r="N596" s="281">
        <v>93700.245193013587</v>
      </c>
      <c r="O596" s="281">
        <v>101130.80229284996</v>
      </c>
      <c r="P596" s="281">
        <f t="shared" si="106"/>
        <v>101130.80229284996</v>
      </c>
      <c r="Q596" s="281">
        <f t="shared" si="106"/>
        <v>101130.80229284996</v>
      </c>
      <c r="R596" s="281">
        <f t="shared" si="106"/>
        <v>101130.80229284996</v>
      </c>
      <c r="S596" s="281">
        <f t="shared" si="106"/>
        <v>101130.80229284996</v>
      </c>
    </row>
    <row r="597" spans="5:19" x14ac:dyDescent="0.25">
      <c r="F597" t="s">
        <v>931</v>
      </c>
      <c r="G597" t="s">
        <v>120</v>
      </c>
      <c r="H597" t="s">
        <v>145</v>
      </c>
      <c r="J597" s="197">
        <f t="shared" si="107"/>
        <v>763154.91451813979</v>
      </c>
      <c r="K597" s="198"/>
      <c r="L597" s="281"/>
      <c r="M597" s="281">
        <v>778987.94958232099</v>
      </c>
      <c r="N597" s="281">
        <v>836780.49778709514</v>
      </c>
      <c r="O597" s="281">
        <v>763154.91451813979</v>
      </c>
      <c r="P597" s="281">
        <f t="shared" si="106"/>
        <v>763154.91451813979</v>
      </c>
      <c r="Q597" s="281">
        <f t="shared" si="106"/>
        <v>763154.91451813979</v>
      </c>
      <c r="R597" s="281">
        <f t="shared" si="106"/>
        <v>763154.91451813979</v>
      </c>
      <c r="S597" s="281">
        <f t="shared" si="106"/>
        <v>763154.91451813979</v>
      </c>
    </row>
    <row r="598" spans="5:19" x14ac:dyDescent="0.25">
      <c r="F598" t="s">
        <v>932</v>
      </c>
      <c r="G598" t="s">
        <v>120</v>
      </c>
      <c r="H598" t="s">
        <v>145</v>
      </c>
      <c r="J598" s="202"/>
      <c r="K598" s="198"/>
      <c r="L598" s="202"/>
      <c r="M598" s="202"/>
      <c r="N598" s="202"/>
      <c r="O598" s="202"/>
      <c r="P598" s="202"/>
      <c r="Q598" s="202"/>
      <c r="R598" s="202"/>
      <c r="S598" s="202"/>
    </row>
    <row r="599" spans="5:19" x14ac:dyDescent="0.25">
      <c r="F599" t="s">
        <v>933</v>
      </c>
      <c r="G599" t="s">
        <v>120</v>
      </c>
      <c r="H599" t="s">
        <v>145</v>
      </c>
      <c r="J599" s="202"/>
      <c r="K599" s="198"/>
      <c r="L599" s="202"/>
      <c r="M599" s="202"/>
      <c r="N599" s="202"/>
      <c r="O599" s="202"/>
      <c r="P599" s="202"/>
      <c r="Q599" s="202"/>
      <c r="R599" s="202"/>
      <c r="S599" s="202"/>
    </row>
    <row r="600" spans="5:19" x14ac:dyDescent="0.25">
      <c r="F600" t="s">
        <v>934</v>
      </c>
      <c r="G600" t="s">
        <v>120</v>
      </c>
      <c r="H600" t="s">
        <v>145</v>
      </c>
      <c r="J600" s="202"/>
      <c r="K600" s="198"/>
      <c r="L600" s="202"/>
      <c r="M600" s="202"/>
      <c r="N600" s="202"/>
      <c r="O600" s="202"/>
      <c r="P600" s="202"/>
      <c r="Q600" s="202"/>
      <c r="R600" s="202"/>
      <c r="S600" s="202"/>
    </row>
    <row r="601" spans="5:19" x14ac:dyDescent="0.25">
      <c r="F601" t="s">
        <v>935</v>
      </c>
      <c r="G601" t="s">
        <v>120</v>
      </c>
      <c r="H601" t="s">
        <v>145</v>
      </c>
      <c r="J601" s="202"/>
      <c r="K601" s="198"/>
      <c r="L601" s="202"/>
      <c r="M601" s="202"/>
      <c r="N601" s="202"/>
      <c r="O601" s="202"/>
      <c r="P601" s="202"/>
      <c r="Q601" s="202"/>
      <c r="R601" s="202"/>
      <c r="S601" s="202"/>
    </row>
    <row r="602" spans="5:19" x14ac:dyDescent="0.25">
      <c r="F602" t="s">
        <v>936</v>
      </c>
      <c r="G602" t="s">
        <v>120</v>
      </c>
      <c r="H602" t="s">
        <v>145</v>
      </c>
      <c r="J602" s="202"/>
      <c r="K602" s="198"/>
      <c r="L602" s="202"/>
      <c r="M602" s="202"/>
      <c r="N602" s="202"/>
      <c r="O602" s="202"/>
      <c r="P602" s="202"/>
      <c r="Q602" s="202"/>
      <c r="R602" s="202"/>
      <c r="S602" s="202"/>
    </row>
    <row r="603" spans="5:19" x14ac:dyDescent="0.25">
      <c r="F603" t="s">
        <v>937</v>
      </c>
      <c r="G603" t="s">
        <v>120</v>
      </c>
      <c r="H603" t="s">
        <v>145</v>
      </c>
      <c r="J603" s="202"/>
      <c r="K603" s="198"/>
      <c r="L603" s="202"/>
      <c r="M603" s="202"/>
      <c r="N603" s="202"/>
      <c r="O603" s="202"/>
      <c r="P603" s="202"/>
      <c r="Q603" s="202"/>
      <c r="R603" s="202"/>
      <c r="S603" s="202"/>
    </row>
    <row r="604" spans="5:19" x14ac:dyDescent="0.25">
      <c r="F604" t="s">
        <v>938</v>
      </c>
      <c r="G604" t="s">
        <v>120</v>
      </c>
      <c r="H604" t="s">
        <v>145</v>
      </c>
      <c r="J604" s="202"/>
      <c r="K604" s="198"/>
      <c r="L604" s="202"/>
      <c r="M604" s="202"/>
      <c r="N604" s="202"/>
      <c r="O604" s="202"/>
      <c r="P604" s="202"/>
      <c r="Q604" s="202"/>
      <c r="R604" s="202"/>
      <c r="S604" s="202"/>
    </row>
    <row r="605" spans="5:19" x14ac:dyDescent="0.25">
      <c r="F605" t="s">
        <v>939</v>
      </c>
      <c r="G605" t="s">
        <v>120</v>
      </c>
      <c r="H605" t="s">
        <v>145</v>
      </c>
      <c r="J605" s="202"/>
      <c r="K605" s="198"/>
      <c r="L605" s="202"/>
      <c r="M605" s="202"/>
      <c r="N605" s="202"/>
      <c r="O605" s="202"/>
      <c r="P605" s="202"/>
      <c r="Q605" s="202"/>
      <c r="R605" s="202"/>
      <c r="S605" s="202"/>
    </row>
    <row r="606" spans="5:19" x14ac:dyDescent="0.25">
      <c r="F606" s="17" t="s">
        <v>940</v>
      </c>
      <c r="G606" s="17" t="s">
        <v>120</v>
      </c>
      <c r="H606" s="17" t="s">
        <v>145</v>
      </c>
      <c r="I606" s="122"/>
      <c r="J606" s="203"/>
      <c r="K606" s="200"/>
      <c r="L606" s="203"/>
      <c r="M606" s="203"/>
      <c r="N606" s="203"/>
      <c r="O606" s="203"/>
      <c r="P606" s="203"/>
      <c r="Q606" s="203"/>
      <c r="R606" s="203"/>
      <c r="S606" s="203"/>
    </row>
    <row r="607" spans="5:19" x14ac:dyDescent="0.25">
      <c r="J607" s="198"/>
      <c r="K607" s="198"/>
      <c r="L607" s="198"/>
      <c r="M607" s="198"/>
      <c r="N607" s="198"/>
      <c r="O607" s="198"/>
      <c r="P607" s="198"/>
      <c r="Q607" s="198"/>
      <c r="R607" s="198"/>
      <c r="S607" s="198"/>
    </row>
    <row r="608" spans="5:19" x14ac:dyDescent="0.25">
      <c r="E608" s="121" t="s">
        <v>201</v>
      </c>
      <c r="J608" s="198"/>
      <c r="K608" s="198"/>
      <c r="L608" s="198"/>
      <c r="M608" s="198"/>
      <c r="N608" s="198"/>
      <c r="O608" s="198"/>
      <c r="P608" s="198"/>
      <c r="Q608" s="198"/>
      <c r="R608" s="198"/>
      <c r="S608" s="198"/>
    </row>
    <row r="609" spans="6:19" x14ac:dyDescent="0.25">
      <c r="F609" s="80" t="s">
        <v>925</v>
      </c>
      <c r="G609" s="80" t="s">
        <v>120</v>
      </c>
      <c r="H609" s="80" t="s">
        <v>145</v>
      </c>
      <c r="I609" s="94"/>
      <c r="J609" s="201"/>
      <c r="K609" s="196"/>
      <c r="L609" s="201"/>
      <c r="M609" s="201"/>
      <c r="N609" s="201"/>
      <c r="O609" s="201"/>
      <c r="P609" s="201"/>
      <c r="Q609" s="201"/>
      <c r="R609" s="201"/>
      <c r="S609" s="201"/>
    </row>
    <row r="610" spans="6:19" x14ac:dyDescent="0.25">
      <c r="F610" t="s">
        <v>926</v>
      </c>
      <c r="G610" t="s">
        <v>120</v>
      </c>
      <c r="H610" t="s">
        <v>145</v>
      </c>
      <c r="J610" s="202"/>
      <c r="K610" s="198"/>
      <c r="L610" s="202"/>
      <c r="M610" s="202"/>
      <c r="N610" s="202"/>
      <c r="O610" s="202"/>
      <c r="P610" s="202"/>
      <c r="Q610" s="202"/>
      <c r="R610" s="202"/>
      <c r="S610" s="202"/>
    </row>
    <row r="611" spans="6:19" x14ac:dyDescent="0.25">
      <c r="F611" t="s">
        <v>927</v>
      </c>
      <c r="G611" t="s">
        <v>120</v>
      </c>
      <c r="H611" t="s">
        <v>145</v>
      </c>
      <c r="J611" s="197">
        <f t="shared" ref="J611" si="108">CHOOSE(year_selection, L611,M611,N611,O611,P611,Q611,R611,S611)</f>
        <v>467695.8007981386</v>
      </c>
      <c r="K611" s="198"/>
      <c r="L611" s="281"/>
      <c r="M611" s="281">
        <v>533494.71040759457</v>
      </c>
      <c r="N611" s="281">
        <v>585380.58780302864</v>
      </c>
      <c r="O611" s="281">
        <v>467695.8007981386</v>
      </c>
      <c r="P611" s="281">
        <f t="shared" ref="P611:S615" si="109">$O611</f>
        <v>467695.8007981386</v>
      </c>
      <c r="Q611" s="281">
        <f t="shared" si="109"/>
        <v>467695.8007981386</v>
      </c>
      <c r="R611" s="281">
        <f t="shared" si="109"/>
        <v>467695.8007981386</v>
      </c>
      <c r="S611" s="281">
        <f t="shared" si="109"/>
        <v>467695.8007981386</v>
      </c>
    </row>
    <row r="612" spans="6:19" x14ac:dyDescent="0.25">
      <c r="F612" t="s">
        <v>928</v>
      </c>
      <c r="G612" t="s">
        <v>120</v>
      </c>
      <c r="H612" t="s">
        <v>145</v>
      </c>
      <c r="J612" s="202"/>
      <c r="K612" s="198"/>
      <c r="L612" s="202"/>
      <c r="M612" s="202"/>
      <c r="N612" s="202"/>
      <c r="O612" s="202"/>
      <c r="P612" s="202"/>
      <c r="Q612" s="202"/>
      <c r="R612" s="202"/>
      <c r="S612" s="202"/>
    </row>
    <row r="613" spans="6:19" x14ac:dyDescent="0.25">
      <c r="F613" t="s">
        <v>929</v>
      </c>
      <c r="G613" t="s">
        <v>120</v>
      </c>
      <c r="H613" t="s">
        <v>145</v>
      </c>
      <c r="J613" s="197">
        <f t="shared" ref="J613:J615" si="110">CHOOSE(year_selection, L613,M613,N613,O613,P613,Q613,R613,S613)</f>
        <v>386979.96519764536</v>
      </c>
      <c r="K613" s="198"/>
      <c r="L613" s="281"/>
      <c r="M613" s="281">
        <v>394341.63323715306</v>
      </c>
      <c r="N613" s="281">
        <v>410187.73029016837</v>
      </c>
      <c r="O613" s="281">
        <v>386979.96519764536</v>
      </c>
      <c r="P613" s="281">
        <f t="shared" si="109"/>
        <v>386979.96519764536</v>
      </c>
      <c r="Q613" s="281">
        <f t="shared" si="109"/>
        <v>386979.96519764536</v>
      </c>
      <c r="R613" s="281">
        <f t="shared" si="109"/>
        <v>386979.96519764536</v>
      </c>
      <c r="S613" s="281">
        <f t="shared" si="109"/>
        <v>386979.96519764536</v>
      </c>
    </row>
    <row r="614" spans="6:19" x14ac:dyDescent="0.25">
      <c r="F614" t="s">
        <v>930</v>
      </c>
      <c r="G614" t="s">
        <v>120</v>
      </c>
      <c r="H614" t="s">
        <v>145</v>
      </c>
      <c r="J614" s="197">
        <f t="shared" si="110"/>
        <v>104011.06196775756</v>
      </c>
      <c r="K614" s="198"/>
      <c r="L614" s="281"/>
      <c r="M614" s="281">
        <v>86618.777035798019</v>
      </c>
      <c r="N614" s="281">
        <v>93579.452205284426</v>
      </c>
      <c r="O614" s="281">
        <v>104011.06196775756</v>
      </c>
      <c r="P614" s="281">
        <f t="shared" si="109"/>
        <v>104011.06196775756</v>
      </c>
      <c r="Q614" s="281">
        <f t="shared" si="109"/>
        <v>104011.06196775756</v>
      </c>
      <c r="R614" s="281">
        <f t="shared" si="109"/>
        <v>104011.06196775756</v>
      </c>
      <c r="S614" s="281">
        <f t="shared" si="109"/>
        <v>104011.06196775756</v>
      </c>
    </row>
    <row r="615" spans="6:19" x14ac:dyDescent="0.25">
      <c r="F615" t="s">
        <v>931</v>
      </c>
      <c r="G615" t="s">
        <v>120</v>
      </c>
      <c r="H615" t="s">
        <v>145</v>
      </c>
      <c r="J615" s="197">
        <f t="shared" si="110"/>
        <v>839757.90730594413</v>
      </c>
      <c r="K615" s="198"/>
      <c r="L615" s="281"/>
      <c r="M615" s="281">
        <v>836860.64984693169</v>
      </c>
      <c r="N615" s="281">
        <v>898866.51947425213</v>
      </c>
      <c r="O615" s="281">
        <v>839757.90730594413</v>
      </c>
      <c r="P615" s="281">
        <f t="shared" si="109"/>
        <v>839757.90730594413</v>
      </c>
      <c r="Q615" s="281">
        <f t="shared" si="109"/>
        <v>839757.90730594413</v>
      </c>
      <c r="R615" s="281">
        <f t="shared" si="109"/>
        <v>839757.90730594413</v>
      </c>
      <c r="S615" s="281">
        <f t="shared" si="109"/>
        <v>839757.90730594413</v>
      </c>
    </row>
    <row r="616" spans="6:19" x14ac:dyDescent="0.25">
      <c r="F616" t="s">
        <v>932</v>
      </c>
      <c r="G616" t="s">
        <v>120</v>
      </c>
      <c r="H616" t="s">
        <v>145</v>
      </c>
      <c r="J616" s="202"/>
      <c r="K616" s="198"/>
      <c r="L616" s="202"/>
      <c r="M616" s="202"/>
      <c r="N616" s="202"/>
      <c r="O616" s="202"/>
      <c r="P616" s="202"/>
      <c r="Q616" s="202"/>
      <c r="R616" s="202"/>
      <c r="S616" s="202"/>
    </row>
    <row r="617" spans="6:19" x14ac:dyDescent="0.25">
      <c r="F617" t="s">
        <v>933</v>
      </c>
      <c r="G617" t="s">
        <v>120</v>
      </c>
      <c r="H617" t="s">
        <v>145</v>
      </c>
      <c r="J617" s="202"/>
      <c r="K617" s="198"/>
      <c r="L617" s="202"/>
      <c r="M617" s="202"/>
      <c r="N617" s="202"/>
      <c r="O617" s="202"/>
      <c r="P617" s="202"/>
      <c r="Q617" s="202"/>
      <c r="R617" s="202"/>
      <c r="S617" s="202"/>
    </row>
    <row r="618" spans="6:19" x14ac:dyDescent="0.25">
      <c r="F618" t="s">
        <v>934</v>
      </c>
      <c r="G618" t="s">
        <v>120</v>
      </c>
      <c r="H618" t="s">
        <v>145</v>
      </c>
      <c r="J618" s="202"/>
      <c r="K618" s="198"/>
      <c r="L618" s="202"/>
      <c r="M618" s="202"/>
      <c r="N618" s="202"/>
      <c r="O618" s="202"/>
      <c r="P618" s="202"/>
      <c r="Q618" s="202"/>
      <c r="R618" s="202"/>
      <c r="S618" s="202"/>
    </row>
    <row r="619" spans="6:19" x14ac:dyDescent="0.25">
      <c r="F619" t="s">
        <v>935</v>
      </c>
      <c r="G619" t="s">
        <v>120</v>
      </c>
      <c r="H619" t="s">
        <v>145</v>
      </c>
      <c r="J619" s="202"/>
      <c r="K619" s="198"/>
      <c r="L619" s="202"/>
      <c r="M619" s="202"/>
      <c r="N619" s="202"/>
      <c r="O619" s="202"/>
      <c r="P619" s="202"/>
      <c r="Q619" s="202"/>
      <c r="R619" s="202"/>
      <c r="S619" s="202"/>
    </row>
    <row r="620" spans="6:19" x14ac:dyDescent="0.25">
      <c r="F620" t="s">
        <v>936</v>
      </c>
      <c r="G620" t="s">
        <v>120</v>
      </c>
      <c r="H620" t="s">
        <v>145</v>
      </c>
      <c r="J620" s="202"/>
      <c r="K620" s="198"/>
      <c r="L620" s="202"/>
      <c r="M620" s="202"/>
      <c r="N620" s="202"/>
      <c r="O620" s="202"/>
      <c r="P620" s="202"/>
      <c r="Q620" s="202"/>
      <c r="R620" s="202"/>
      <c r="S620" s="202"/>
    </row>
    <row r="621" spans="6:19" x14ac:dyDescent="0.25">
      <c r="F621" t="s">
        <v>937</v>
      </c>
      <c r="G621" t="s">
        <v>120</v>
      </c>
      <c r="H621" t="s">
        <v>145</v>
      </c>
      <c r="J621" s="202"/>
      <c r="K621" s="198"/>
      <c r="L621" s="202"/>
      <c r="M621" s="202"/>
      <c r="N621" s="202"/>
      <c r="O621" s="202"/>
      <c r="P621" s="202"/>
      <c r="Q621" s="202"/>
      <c r="R621" s="202"/>
      <c r="S621" s="202"/>
    </row>
    <row r="622" spans="6:19" x14ac:dyDescent="0.25">
      <c r="F622" t="s">
        <v>938</v>
      </c>
      <c r="G622" t="s">
        <v>120</v>
      </c>
      <c r="H622" t="s">
        <v>145</v>
      </c>
      <c r="J622" s="202"/>
      <c r="K622" s="198"/>
      <c r="L622" s="202"/>
      <c r="M622" s="202"/>
      <c r="N622" s="202"/>
      <c r="O622" s="202"/>
      <c r="P622" s="202"/>
      <c r="Q622" s="202"/>
      <c r="R622" s="202"/>
      <c r="S622" s="202"/>
    </row>
    <row r="623" spans="6:19" x14ac:dyDescent="0.25">
      <c r="F623" t="s">
        <v>939</v>
      </c>
      <c r="G623" t="s">
        <v>120</v>
      </c>
      <c r="H623" t="s">
        <v>145</v>
      </c>
      <c r="J623" s="202"/>
      <c r="K623" s="198"/>
      <c r="L623" s="202"/>
      <c r="M623" s="202"/>
      <c r="N623" s="202"/>
      <c r="O623" s="202"/>
      <c r="P623" s="202"/>
      <c r="Q623" s="202"/>
      <c r="R623" s="202"/>
      <c r="S623" s="202"/>
    </row>
    <row r="624" spans="6:19" x14ac:dyDescent="0.25">
      <c r="F624" s="17" t="s">
        <v>940</v>
      </c>
      <c r="G624" s="17" t="s">
        <v>120</v>
      </c>
      <c r="H624" s="17" t="s">
        <v>145</v>
      </c>
      <c r="I624" s="122"/>
      <c r="J624" s="203"/>
      <c r="K624" s="200"/>
      <c r="L624" s="203"/>
      <c r="M624" s="203"/>
      <c r="N624" s="203"/>
      <c r="O624" s="203"/>
      <c r="P624" s="203"/>
      <c r="Q624" s="203"/>
      <c r="R624" s="203"/>
      <c r="S624" s="203"/>
    </row>
    <row r="625" spans="5:19" x14ac:dyDescent="0.25">
      <c r="J625" s="198"/>
      <c r="K625" s="198"/>
      <c r="L625" s="198"/>
      <c r="M625" s="198"/>
      <c r="N625" s="198"/>
      <c r="O625" s="198"/>
      <c r="P625" s="198"/>
      <c r="Q625" s="198"/>
      <c r="R625" s="198"/>
      <c r="S625" s="198"/>
    </row>
    <row r="626" spans="5:19" x14ac:dyDescent="0.25">
      <c r="E626" s="121" t="s">
        <v>74</v>
      </c>
      <c r="J626" s="198"/>
      <c r="K626" s="198"/>
      <c r="L626" s="198"/>
      <c r="M626" s="198"/>
      <c r="N626" s="198"/>
      <c r="O626" s="198"/>
      <c r="P626" s="198"/>
      <c r="Q626" s="198"/>
      <c r="R626" s="198"/>
      <c r="S626" s="198"/>
    </row>
    <row r="627" spans="5:19" x14ac:dyDescent="0.25">
      <c r="F627" s="80" t="s">
        <v>925</v>
      </c>
      <c r="G627" s="80" t="s">
        <v>74</v>
      </c>
      <c r="H627" s="80" t="s">
        <v>145</v>
      </c>
      <c r="I627" s="94"/>
      <c r="J627" s="201"/>
      <c r="K627" s="196"/>
      <c r="L627" s="201"/>
      <c r="M627" s="201"/>
      <c r="N627" s="201"/>
      <c r="O627" s="201"/>
      <c r="P627" s="201"/>
      <c r="Q627" s="201"/>
      <c r="R627" s="201"/>
      <c r="S627" s="201"/>
    </row>
    <row r="628" spans="5:19" x14ac:dyDescent="0.25">
      <c r="F628" t="s">
        <v>926</v>
      </c>
      <c r="G628" t="s">
        <v>74</v>
      </c>
      <c r="H628" t="s">
        <v>145</v>
      </c>
      <c r="J628" s="202"/>
      <c r="K628" s="198"/>
      <c r="L628" s="202"/>
      <c r="M628" s="202"/>
      <c r="N628" s="202"/>
      <c r="O628" s="202"/>
      <c r="P628" s="202"/>
      <c r="Q628" s="202"/>
      <c r="R628" s="202"/>
      <c r="S628" s="202"/>
    </row>
    <row r="629" spans="5:19" x14ac:dyDescent="0.25">
      <c r="F629" t="s">
        <v>927</v>
      </c>
      <c r="G629" t="s">
        <v>74</v>
      </c>
      <c r="H629" t="s">
        <v>145</v>
      </c>
      <c r="J629" s="197">
        <f t="shared" ref="J629" si="111">CHOOSE(year_selection, L629,M629,N629,O629,P629,Q629,R629,S629)</f>
        <v>21705</v>
      </c>
      <c r="K629" s="198"/>
      <c r="L629" s="281"/>
      <c r="M629" s="281">
        <v>21615</v>
      </c>
      <c r="N629" s="281">
        <v>21899</v>
      </c>
      <c r="O629" s="281">
        <v>21705</v>
      </c>
      <c r="P629" s="281">
        <f t="shared" ref="P629:S633" si="112">$O629</f>
        <v>21705</v>
      </c>
      <c r="Q629" s="281">
        <f t="shared" si="112"/>
        <v>21705</v>
      </c>
      <c r="R629" s="281">
        <f t="shared" si="112"/>
        <v>21705</v>
      </c>
      <c r="S629" s="281">
        <f t="shared" si="112"/>
        <v>21705</v>
      </c>
    </row>
    <row r="630" spans="5:19" x14ac:dyDescent="0.25">
      <c r="F630" t="s">
        <v>928</v>
      </c>
      <c r="G630" t="s">
        <v>74</v>
      </c>
      <c r="H630" t="s">
        <v>145</v>
      </c>
      <c r="J630" s="202"/>
      <c r="K630" s="198"/>
      <c r="L630" s="202"/>
      <c r="M630" s="202"/>
      <c r="N630" s="202"/>
      <c r="O630" s="202"/>
      <c r="P630" s="202"/>
      <c r="Q630" s="202"/>
      <c r="R630" s="202"/>
      <c r="S630" s="202"/>
    </row>
    <row r="631" spans="5:19" x14ac:dyDescent="0.25">
      <c r="F631" t="s">
        <v>929</v>
      </c>
      <c r="G631" t="s">
        <v>74</v>
      </c>
      <c r="H631" t="s">
        <v>145</v>
      </c>
      <c r="J631" s="197">
        <f t="shared" ref="J631:J633" si="113">CHOOSE(year_selection, L631,M631,N631,O631,P631,Q631,R631,S631)</f>
        <v>1557</v>
      </c>
      <c r="K631" s="198"/>
      <c r="L631" s="281"/>
      <c r="M631" s="281">
        <v>1493</v>
      </c>
      <c r="N631" s="281">
        <v>1545</v>
      </c>
      <c r="O631" s="281">
        <v>1557</v>
      </c>
      <c r="P631" s="281">
        <f t="shared" si="112"/>
        <v>1557</v>
      </c>
      <c r="Q631" s="281">
        <f t="shared" si="112"/>
        <v>1557</v>
      </c>
      <c r="R631" s="281">
        <f t="shared" si="112"/>
        <v>1557</v>
      </c>
      <c r="S631" s="281">
        <f t="shared" si="112"/>
        <v>1557</v>
      </c>
    </row>
    <row r="632" spans="5:19" x14ac:dyDescent="0.25">
      <c r="F632" t="s">
        <v>930</v>
      </c>
      <c r="G632" t="s">
        <v>74</v>
      </c>
      <c r="H632" t="s">
        <v>145</v>
      </c>
      <c r="J632" s="197">
        <f t="shared" si="113"/>
        <v>202</v>
      </c>
      <c r="K632" s="198"/>
      <c r="L632" s="281"/>
      <c r="M632" s="281">
        <v>172</v>
      </c>
      <c r="N632" s="281">
        <v>187</v>
      </c>
      <c r="O632" s="281">
        <v>202</v>
      </c>
      <c r="P632" s="281">
        <f t="shared" si="112"/>
        <v>202</v>
      </c>
      <c r="Q632" s="281">
        <f t="shared" si="112"/>
        <v>202</v>
      </c>
      <c r="R632" s="281">
        <f t="shared" si="112"/>
        <v>202</v>
      </c>
      <c r="S632" s="281">
        <f t="shared" si="112"/>
        <v>202</v>
      </c>
    </row>
    <row r="633" spans="5:19" x14ac:dyDescent="0.25">
      <c r="F633" t="s">
        <v>931</v>
      </c>
      <c r="G633" t="s">
        <v>74</v>
      </c>
      <c r="H633" t="s">
        <v>145</v>
      </c>
      <c r="J633" s="197">
        <f t="shared" si="113"/>
        <v>210</v>
      </c>
      <c r="K633" s="198"/>
      <c r="L633" s="281"/>
      <c r="M633" s="281">
        <v>203</v>
      </c>
      <c r="N633" s="281">
        <v>206</v>
      </c>
      <c r="O633" s="281">
        <v>210</v>
      </c>
      <c r="P633" s="281">
        <f t="shared" si="112"/>
        <v>210</v>
      </c>
      <c r="Q633" s="281">
        <f t="shared" si="112"/>
        <v>210</v>
      </c>
      <c r="R633" s="281">
        <f t="shared" si="112"/>
        <v>210</v>
      </c>
      <c r="S633" s="281">
        <f t="shared" si="112"/>
        <v>210</v>
      </c>
    </row>
    <row r="634" spans="5:19" x14ac:dyDescent="0.25">
      <c r="F634" t="s">
        <v>932</v>
      </c>
      <c r="G634" t="s">
        <v>74</v>
      </c>
      <c r="H634" t="s">
        <v>145</v>
      </c>
      <c r="J634" s="202"/>
      <c r="K634" s="198"/>
      <c r="L634" s="202"/>
      <c r="M634" s="202"/>
      <c r="N634" s="202"/>
      <c r="O634" s="202"/>
      <c r="P634" s="202"/>
      <c r="Q634" s="202"/>
      <c r="R634" s="202"/>
      <c r="S634" s="202"/>
    </row>
    <row r="635" spans="5:19" x14ac:dyDescent="0.25">
      <c r="F635" t="s">
        <v>933</v>
      </c>
      <c r="G635" t="s">
        <v>74</v>
      </c>
      <c r="H635" t="s">
        <v>145</v>
      </c>
      <c r="J635" s="202"/>
      <c r="K635" s="198"/>
      <c r="L635" s="202"/>
      <c r="M635" s="202"/>
      <c r="N635" s="202"/>
      <c r="O635" s="202"/>
      <c r="P635" s="202"/>
      <c r="Q635" s="202"/>
      <c r="R635" s="202"/>
      <c r="S635" s="202"/>
    </row>
    <row r="636" spans="5:19" x14ac:dyDescent="0.25">
      <c r="F636" t="s">
        <v>934</v>
      </c>
      <c r="G636" t="s">
        <v>74</v>
      </c>
      <c r="H636" t="s">
        <v>145</v>
      </c>
      <c r="J636" s="202"/>
      <c r="K636" s="198"/>
      <c r="L636" s="202"/>
      <c r="M636" s="202"/>
      <c r="N636" s="202"/>
      <c r="O636" s="202"/>
      <c r="P636" s="202"/>
      <c r="Q636" s="202"/>
      <c r="R636" s="202"/>
      <c r="S636" s="202"/>
    </row>
    <row r="637" spans="5:19" x14ac:dyDescent="0.25">
      <c r="F637" t="s">
        <v>935</v>
      </c>
      <c r="G637" t="s">
        <v>74</v>
      </c>
      <c r="H637" t="s">
        <v>145</v>
      </c>
      <c r="J637" s="202"/>
      <c r="K637" s="198"/>
      <c r="L637" s="202"/>
      <c r="M637" s="202"/>
      <c r="N637" s="202"/>
      <c r="O637" s="202"/>
      <c r="P637" s="202"/>
      <c r="Q637" s="202"/>
      <c r="R637" s="202"/>
      <c r="S637" s="202"/>
    </row>
    <row r="638" spans="5:19" x14ac:dyDescent="0.25">
      <c r="F638" t="s">
        <v>936</v>
      </c>
      <c r="G638" t="s">
        <v>74</v>
      </c>
      <c r="H638" t="s">
        <v>145</v>
      </c>
      <c r="J638" s="202"/>
      <c r="K638" s="198"/>
      <c r="L638" s="202"/>
      <c r="M638" s="202"/>
      <c r="N638" s="202"/>
      <c r="O638" s="202"/>
      <c r="P638" s="202"/>
      <c r="Q638" s="202"/>
      <c r="R638" s="202"/>
      <c r="S638" s="202"/>
    </row>
    <row r="639" spans="5:19" x14ac:dyDescent="0.25">
      <c r="F639" t="s">
        <v>937</v>
      </c>
      <c r="G639" t="s">
        <v>74</v>
      </c>
      <c r="H639" t="s">
        <v>145</v>
      </c>
      <c r="J639" s="202"/>
      <c r="K639" s="198"/>
      <c r="L639" s="202"/>
      <c r="M639" s="202"/>
      <c r="N639" s="202"/>
      <c r="O639" s="202"/>
      <c r="P639" s="202"/>
      <c r="Q639" s="202"/>
      <c r="R639" s="202"/>
      <c r="S639" s="202"/>
    </row>
    <row r="640" spans="5:19" x14ac:dyDescent="0.25">
      <c r="F640" t="s">
        <v>938</v>
      </c>
      <c r="G640" t="s">
        <v>74</v>
      </c>
      <c r="H640" t="s">
        <v>145</v>
      </c>
      <c r="J640" s="202"/>
      <c r="K640" s="198"/>
      <c r="L640" s="202"/>
      <c r="M640" s="202"/>
      <c r="N640" s="202"/>
      <c r="O640" s="202"/>
      <c r="P640" s="202"/>
      <c r="Q640" s="202"/>
      <c r="R640" s="202"/>
      <c r="S640" s="202"/>
    </row>
    <row r="641" spans="5:19" x14ac:dyDescent="0.25">
      <c r="F641" t="s">
        <v>939</v>
      </c>
      <c r="G641" t="s">
        <v>74</v>
      </c>
      <c r="H641" t="s">
        <v>145</v>
      </c>
      <c r="J641" s="202"/>
      <c r="K641" s="198"/>
      <c r="L641" s="202"/>
      <c r="M641" s="202"/>
      <c r="N641" s="202"/>
      <c r="O641" s="202"/>
      <c r="P641" s="202"/>
      <c r="Q641" s="202"/>
      <c r="R641" s="202"/>
      <c r="S641" s="202"/>
    </row>
    <row r="642" spans="5:19" x14ac:dyDescent="0.25">
      <c r="F642" s="17" t="s">
        <v>940</v>
      </c>
      <c r="G642" s="17" t="s">
        <v>74</v>
      </c>
      <c r="H642" s="17" t="s">
        <v>145</v>
      </c>
      <c r="I642" s="122"/>
      <c r="J642" s="203"/>
      <c r="K642" s="200"/>
      <c r="L642" s="203"/>
      <c r="M642" s="203"/>
      <c r="N642" s="203"/>
      <c r="O642" s="203"/>
      <c r="P642" s="203"/>
      <c r="Q642" s="203"/>
      <c r="R642" s="203"/>
      <c r="S642" s="203"/>
    </row>
    <row r="643" spans="5:19" x14ac:dyDescent="0.25">
      <c r="J643" s="198"/>
      <c r="K643" s="198"/>
      <c r="L643" s="198"/>
      <c r="M643" s="198"/>
      <c r="N643" s="198"/>
      <c r="O643" s="198"/>
      <c r="P643" s="198"/>
      <c r="Q643" s="198"/>
      <c r="R643" s="198"/>
      <c r="S643" s="198"/>
    </row>
    <row r="644" spans="5:19" x14ac:dyDescent="0.25">
      <c r="E644" s="121" t="s">
        <v>202</v>
      </c>
      <c r="J644" s="198"/>
      <c r="K644" s="198"/>
      <c r="L644" s="198"/>
      <c r="M644" s="198"/>
      <c r="N644" s="198"/>
      <c r="O644" s="198"/>
      <c r="P644" s="198"/>
      <c r="Q644" s="198"/>
      <c r="R644" s="198"/>
      <c r="S644" s="198"/>
    </row>
    <row r="645" spans="5:19" x14ac:dyDescent="0.25">
      <c r="F645" s="80" t="s">
        <v>925</v>
      </c>
      <c r="G645" s="80" t="s">
        <v>169</v>
      </c>
      <c r="H645" s="80" t="s">
        <v>145</v>
      </c>
      <c r="I645" s="94"/>
      <c r="J645" s="201"/>
      <c r="K645" s="196"/>
      <c r="L645" s="201"/>
      <c r="M645" s="201"/>
      <c r="N645" s="201"/>
      <c r="O645" s="201"/>
      <c r="P645" s="201"/>
      <c r="Q645" s="201"/>
      <c r="R645" s="201"/>
      <c r="S645" s="201"/>
    </row>
    <row r="646" spans="5:19" x14ac:dyDescent="0.25">
      <c r="F646" t="s">
        <v>926</v>
      </c>
      <c r="G646" t="s">
        <v>169</v>
      </c>
      <c r="H646" t="s">
        <v>145</v>
      </c>
      <c r="J646" s="202"/>
      <c r="K646" s="198"/>
      <c r="L646" s="202"/>
      <c r="M646" s="202"/>
      <c r="N646" s="202"/>
      <c r="O646" s="202"/>
      <c r="P646" s="202"/>
      <c r="Q646" s="202"/>
      <c r="R646" s="202"/>
      <c r="S646" s="202"/>
    </row>
    <row r="647" spans="5:19" x14ac:dyDescent="0.25">
      <c r="F647" t="s">
        <v>927</v>
      </c>
      <c r="G647" t="s">
        <v>169</v>
      </c>
      <c r="H647" t="s">
        <v>145</v>
      </c>
      <c r="J647" s="202"/>
      <c r="K647" s="198"/>
      <c r="L647" s="202"/>
      <c r="M647" s="202"/>
      <c r="N647" s="202"/>
      <c r="O647" s="202"/>
      <c r="P647" s="202"/>
      <c r="Q647" s="202"/>
      <c r="R647" s="202"/>
      <c r="S647" s="202"/>
    </row>
    <row r="648" spans="5:19" x14ac:dyDescent="0.25">
      <c r="F648" t="s">
        <v>928</v>
      </c>
      <c r="G648" t="s">
        <v>169</v>
      </c>
      <c r="H648" t="s">
        <v>145</v>
      </c>
      <c r="J648" s="202"/>
      <c r="K648" s="198"/>
      <c r="L648" s="202"/>
      <c r="M648" s="202"/>
      <c r="N648" s="202"/>
      <c r="O648" s="202"/>
      <c r="P648" s="202"/>
      <c r="Q648" s="202"/>
      <c r="R648" s="202"/>
      <c r="S648" s="202"/>
    </row>
    <row r="649" spans="5:19" x14ac:dyDescent="0.25">
      <c r="F649" t="s">
        <v>929</v>
      </c>
      <c r="G649" t="s">
        <v>169</v>
      </c>
      <c r="H649" t="s">
        <v>145</v>
      </c>
      <c r="J649" s="197">
        <f t="shared" ref="J649:J651" si="114">CHOOSE(year_selection, L649,M649,N649,O649,P649,Q649,R649,S649)</f>
        <v>608702</v>
      </c>
      <c r="K649" s="198"/>
      <c r="L649" s="281"/>
      <c r="M649" s="281">
        <v>588475</v>
      </c>
      <c r="N649" s="281">
        <v>599687</v>
      </c>
      <c r="O649" s="281">
        <v>608702</v>
      </c>
      <c r="P649" s="281">
        <f t="shared" ref="P649:S651" si="115">$O649</f>
        <v>608702</v>
      </c>
      <c r="Q649" s="281">
        <f t="shared" si="115"/>
        <v>608702</v>
      </c>
      <c r="R649" s="281">
        <f t="shared" si="115"/>
        <v>608702</v>
      </c>
      <c r="S649" s="281">
        <f t="shared" si="115"/>
        <v>608702</v>
      </c>
    </row>
    <row r="650" spans="5:19" x14ac:dyDescent="0.25">
      <c r="F650" t="s">
        <v>930</v>
      </c>
      <c r="G650" t="s">
        <v>169</v>
      </c>
      <c r="H650" t="s">
        <v>145</v>
      </c>
      <c r="J650" s="197">
        <f t="shared" si="114"/>
        <v>97640</v>
      </c>
      <c r="K650" s="198"/>
      <c r="L650" s="281"/>
      <c r="M650" s="281">
        <v>87067</v>
      </c>
      <c r="N650" s="281">
        <v>94615</v>
      </c>
      <c r="O650" s="281">
        <v>97640</v>
      </c>
      <c r="P650" s="281">
        <f t="shared" si="115"/>
        <v>97640</v>
      </c>
      <c r="Q650" s="281">
        <f t="shared" si="115"/>
        <v>97640</v>
      </c>
      <c r="R650" s="281">
        <f t="shared" si="115"/>
        <v>97640</v>
      </c>
      <c r="S650" s="281">
        <f t="shared" si="115"/>
        <v>97640</v>
      </c>
    </row>
    <row r="651" spans="5:19" x14ac:dyDescent="0.25">
      <c r="F651" t="s">
        <v>931</v>
      </c>
      <c r="G651" t="s">
        <v>169</v>
      </c>
      <c r="H651" t="s">
        <v>145</v>
      </c>
      <c r="J651" s="197">
        <f t="shared" si="114"/>
        <v>722539</v>
      </c>
      <c r="K651" s="198"/>
      <c r="L651" s="281"/>
      <c r="M651" s="281">
        <v>705220</v>
      </c>
      <c r="N651" s="281">
        <v>717657</v>
      </c>
      <c r="O651" s="281">
        <v>722539</v>
      </c>
      <c r="P651" s="281">
        <f t="shared" si="115"/>
        <v>722539</v>
      </c>
      <c r="Q651" s="281">
        <f t="shared" si="115"/>
        <v>722539</v>
      </c>
      <c r="R651" s="281">
        <f t="shared" si="115"/>
        <v>722539</v>
      </c>
      <c r="S651" s="281">
        <f t="shared" si="115"/>
        <v>722539</v>
      </c>
    </row>
    <row r="652" spans="5:19" x14ac:dyDescent="0.25">
      <c r="F652" t="s">
        <v>932</v>
      </c>
      <c r="G652" t="s">
        <v>169</v>
      </c>
      <c r="H652" t="s">
        <v>145</v>
      </c>
      <c r="J652" s="202"/>
      <c r="K652" s="198"/>
      <c r="L652" s="202"/>
      <c r="M652" s="202"/>
      <c r="N652" s="202"/>
      <c r="O652" s="202"/>
      <c r="P652" s="202"/>
      <c r="Q652" s="202"/>
      <c r="R652" s="202"/>
      <c r="S652" s="202"/>
    </row>
    <row r="653" spans="5:19" x14ac:dyDescent="0.25">
      <c r="F653" t="s">
        <v>933</v>
      </c>
      <c r="G653" t="s">
        <v>169</v>
      </c>
      <c r="H653" t="s">
        <v>145</v>
      </c>
      <c r="J653" s="202"/>
      <c r="K653" s="198"/>
      <c r="L653" s="202"/>
      <c r="M653" s="202"/>
      <c r="N653" s="202"/>
      <c r="O653" s="202"/>
      <c r="P653" s="202"/>
      <c r="Q653" s="202"/>
      <c r="R653" s="202"/>
      <c r="S653" s="202"/>
    </row>
    <row r="654" spans="5:19" x14ac:dyDescent="0.25">
      <c r="F654" t="s">
        <v>934</v>
      </c>
      <c r="G654" t="s">
        <v>169</v>
      </c>
      <c r="H654" t="s">
        <v>145</v>
      </c>
      <c r="J654" s="202"/>
      <c r="K654" s="198"/>
      <c r="L654" s="202"/>
      <c r="M654" s="202"/>
      <c r="N654" s="202"/>
      <c r="O654" s="202"/>
      <c r="P654" s="202"/>
      <c r="Q654" s="202"/>
      <c r="R654" s="202"/>
      <c r="S654" s="202"/>
    </row>
    <row r="655" spans="5:19" x14ac:dyDescent="0.25">
      <c r="F655" t="s">
        <v>935</v>
      </c>
      <c r="G655" t="s">
        <v>169</v>
      </c>
      <c r="H655" t="s">
        <v>145</v>
      </c>
      <c r="J655" s="202"/>
      <c r="K655" s="198"/>
      <c r="L655" s="202"/>
      <c r="M655" s="202"/>
      <c r="N655" s="202"/>
      <c r="O655" s="202"/>
      <c r="P655" s="202"/>
      <c r="Q655" s="202"/>
      <c r="R655" s="202"/>
      <c r="S655" s="202"/>
    </row>
    <row r="656" spans="5:19" x14ac:dyDescent="0.25">
      <c r="F656" t="s">
        <v>936</v>
      </c>
      <c r="G656" t="s">
        <v>169</v>
      </c>
      <c r="H656" t="s">
        <v>145</v>
      </c>
      <c r="J656" s="202"/>
      <c r="K656" s="198"/>
      <c r="L656" s="202"/>
      <c r="M656" s="202"/>
      <c r="N656" s="202"/>
      <c r="O656" s="202"/>
      <c r="P656" s="202"/>
      <c r="Q656" s="202"/>
      <c r="R656" s="202"/>
      <c r="S656" s="202"/>
    </row>
    <row r="657" spans="5:19" x14ac:dyDescent="0.25">
      <c r="F657" t="s">
        <v>937</v>
      </c>
      <c r="G657" t="s">
        <v>169</v>
      </c>
      <c r="H657" t="s">
        <v>145</v>
      </c>
      <c r="J657" s="202"/>
      <c r="K657" s="198"/>
      <c r="L657" s="202"/>
      <c r="M657" s="202"/>
      <c r="N657" s="202"/>
      <c r="O657" s="202"/>
      <c r="P657" s="202"/>
      <c r="Q657" s="202"/>
      <c r="R657" s="202"/>
      <c r="S657" s="202"/>
    </row>
    <row r="658" spans="5:19" x14ac:dyDescent="0.25">
      <c r="F658" t="s">
        <v>938</v>
      </c>
      <c r="G658" t="s">
        <v>169</v>
      </c>
      <c r="H658" t="s">
        <v>145</v>
      </c>
      <c r="J658" s="202"/>
      <c r="K658" s="198"/>
      <c r="L658" s="202"/>
      <c r="M658" s="202"/>
      <c r="N658" s="202"/>
      <c r="O658" s="202"/>
      <c r="P658" s="202"/>
      <c r="Q658" s="202"/>
      <c r="R658" s="202"/>
      <c r="S658" s="202"/>
    </row>
    <row r="659" spans="5:19" x14ac:dyDescent="0.25">
      <c r="F659" t="s">
        <v>939</v>
      </c>
      <c r="G659" t="s">
        <v>169</v>
      </c>
      <c r="H659" t="s">
        <v>145</v>
      </c>
      <c r="J659" s="202"/>
      <c r="K659" s="198"/>
      <c r="L659" s="202"/>
      <c r="M659" s="202"/>
      <c r="N659" s="202"/>
      <c r="O659" s="202"/>
      <c r="P659" s="202"/>
      <c r="Q659" s="202"/>
      <c r="R659" s="202"/>
      <c r="S659" s="202"/>
    </row>
    <row r="660" spans="5:19" x14ac:dyDescent="0.25">
      <c r="F660" s="17" t="s">
        <v>940</v>
      </c>
      <c r="G660" s="17" t="s">
        <v>169</v>
      </c>
      <c r="H660" s="17" t="s">
        <v>145</v>
      </c>
      <c r="I660" s="122"/>
      <c r="J660" s="203"/>
      <c r="K660" s="200"/>
      <c r="L660" s="203"/>
      <c r="M660" s="203"/>
      <c r="N660" s="203"/>
      <c r="O660" s="203"/>
      <c r="P660" s="203"/>
      <c r="Q660" s="203"/>
      <c r="R660" s="203"/>
      <c r="S660" s="203"/>
    </row>
    <row r="661" spans="5:19" x14ac:dyDescent="0.25">
      <c r="J661" s="198"/>
      <c r="K661" s="198"/>
      <c r="L661" s="198"/>
      <c r="M661" s="198"/>
      <c r="N661" s="198"/>
      <c r="O661" s="198"/>
      <c r="P661" s="198"/>
      <c r="Q661" s="198"/>
      <c r="R661" s="198"/>
      <c r="S661" s="198"/>
    </row>
    <row r="662" spans="5:19" x14ac:dyDescent="0.25">
      <c r="E662" s="121" t="s">
        <v>203</v>
      </c>
      <c r="J662" s="198"/>
      <c r="K662" s="198"/>
      <c r="L662" s="198"/>
      <c r="M662" s="198"/>
      <c r="N662" s="198"/>
      <c r="O662" s="198"/>
      <c r="P662" s="198"/>
      <c r="Q662" s="198"/>
      <c r="R662" s="198"/>
      <c r="S662" s="198"/>
    </row>
    <row r="663" spans="5:19" x14ac:dyDescent="0.25">
      <c r="F663" s="80" t="s">
        <v>925</v>
      </c>
      <c r="G663" s="80" t="s">
        <v>169</v>
      </c>
      <c r="H663" s="80" t="s">
        <v>145</v>
      </c>
      <c r="I663" s="94"/>
      <c r="J663" s="201"/>
      <c r="K663" s="196"/>
      <c r="L663" s="201"/>
      <c r="M663" s="201"/>
      <c r="N663" s="201"/>
      <c r="O663" s="201"/>
      <c r="P663" s="201"/>
      <c r="Q663" s="201"/>
      <c r="R663" s="201"/>
      <c r="S663" s="201"/>
    </row>
    <row r="664" spans="5:19" x14ac:dyDescent="0.25">
      <c r="F664" t="s">
        <v>926</v>
      </c>
      <c r="G664" t="s">
        <v>169</v>
      </c>
      <c r="H664" t="s">
        <v>145</v>
      </c>
      <c r="J664" s="202"/>
      <c r="K664" s="198"/>
      <c r="L664" s="202"/>
      <c r="M664" s="202"/>
      <c r="N664" s="202"/>
      <c r="O664" s="202"/>
      <c r="P664" s="202"/>
      <c r="Q664" s="202"/>
      <c r="R664" s="202"/>
      <c r="S664" s="202"/>
    </row>
    <row r="665" spans="5:19" x14ac:dyDescent="0.25">
      <c r="F665" t="s">
        <v>927</v>
      </c>
      <c r="G665" t="s">
        <v>169</v>
      </c>
      <c r="H665" t="s">
        <v>145</v>
      </c>
      <c r="J665" s="202"/>
      <c r="K665" s="198"/>
      <c r="L665" s="202"/>
      <c r="M665" s="202"/>
      <c r="N665" s="202"/>
      <c r="O665" s="202"/>
      <c r="P665" s="202"/>
      <c r="Q665" s="202"/>
      <c r="R665" s="202"/>
      <c r="S665" s="202"/>
    </row>
    <row r="666" spans="5:19" x14ac:dyDescent="0.25">
      <c r="F666" t="s">
        <v>928</v>
      </c>
      <c r="G666" t="s">
        <v>169</v>
      </c>
      <c r="H666" t="s">
        <v>145</v>
      </c>
      <c r="J666" s="202"/>
      <c r="K666" s="198"/>
      <c r="L666" s="202"/>
      <c r="M666" s="202"/>
      <c r="N666" s="202"/>
      <c r="O666" s="202"/>
      <c r="P666" s="202"/>
      <c r="Q666" s="202"/>
      <c r="R666" s="202"/>
      <c r="S666" s="202"/>
    </row>
    <row r="667" spans="5:19" x14ac:dyDescent="0.25">
      <c r="F667" t="s">
        <v>929</v>
      </c>
      <c r="G667" t="s">
        <v>169</v>
      </c>
      <c r="H667" t="s">
        <v>145</v>
      </c>
      <c r="J667" s="197">
        <f t="shared" ref="J667:J669" si="116">CHOOSE(year_selection, L667,M667,N667,O667,P667,Q667,R667,S667)</f>
        <v>1593</v>
      </c>
      <c r="K667" s="198"/>
      <c r="L667" s="281"/>
      <c r="M667" s="281">
        <v>9528</v>
      </c>
      <c r="N667" s="281">
        <v>1330</v>
      </c>
      <c r="O667" s="281">
        <v>1593</v>
      </c>
      <c r="P667" s="281">
        <f t="shared" ref="P667:S669" si="117">$O667</f>
        <v>1593</v>
      </c>
      <c r="Q667" s="281">
        <f t="shared" si="117"/>
        <v>1593</v>
      </c>
      <c r="R667" s="281">
        <f t="shared" si="117"/>
        <v>1593</v>
      </c>
      <c r="S667" s="281">
        <f t="shared" si="117"/>
        <v>1593</v>
      </c>
    </row>
    <row r="668" spans="5:19" x14ac:dyDescent="0.25">
      <c r="F668" t="s">
        <v>930</v>
      </c>
      <c r="G668" t="s">
        <v>169</v>
      </c>
      <c r="H668" t="s">
        <v>145</v>
      </c>
      <c r="J668" s="197">
        <f t="shared" si="116"/>
        <v>319</v>
      </c>
      <c r="K668" s="198"/>
      <c r="L668" s="281"/>
      <c r="M668" s="281">
        <v>1000</v>
      </c>
      <c r="N668" s="281">
        <v>327</v>
      </c>
      <c r="O668" s="281">
        <v>319</v>
      </c>
      <c r="P668" s="281">
        <f t="shared" si="117"/>
        <v>319</v>
      </c>
      <c r="Q668" s="281">
        <f t="shared" si="117"/>
        <v>319</v>
      </c>
      <c r="R668" s="281">
        <f t="shared" si="117"/>
        <v>319</v>
      </c>
      <c r="S668" s="281">
        <f t="shared" si="117"/>
        <v>319</v>
      </c>
    </row>
    <row r="669" spans="5:19" x14ac:dyDescent="0.25">
      <c r="F669" t="s">
        <v>931</v>
      </c>
      <c r="G669" t="s">
        <v>169</v>
      </c>
      <c r="H669" t="s">
        <v>145</v>
      </c>
      <c r="J669" s="197">
        <f t="shared" si="116"/>
        <v>3914</v>
      </c>
      <c r="K669" s="198"/>
      <c r="L669" s="281"/>
      <c r="M669" s="281">
        <v>9138</v>
      </c>
      <c r="N669" s="281">
        <v>2890</v>
      </c>
      <c r="O669" s="281">
        <v>3914</v>
      </c>
      <c r="P669" s="281">
        <f t="shared" si="117"/>
        <v>3914</v>
      </c>
      <c r="Q669" s="281">
        <f t="shared" si="117"/>
        <v>3914</v>
      </c>
      <c r="R669" s="281">
        <f t="shared" si="117"/>
        <v>3914</v>
      </c>
      <c r="S669" s="281">
        <f t="shared" si="117"/>
        <v>3914</v>
      </c>
    </row>
    <row r="670" spans="5:19" x14ac:dyDescent="0.25">
      <c r="F670" t="s">
        <v>932</v>
      </c>
      <c r="G670" t="s">
        <v>169</v>
      </c>
      <c r="H670" t="s">
        <v>145</v>
      </c>
      <c r="J670" s="202"/>
      <c r="K670" s="198"/>
      <c r="L670" s="202"/>
      <c r="M670" s="202"/>
      <c r="N670" s="202"/>
      <c r="O670" s="202"/>
      <c r="P670" s="202"/>
      <c r="Q670" s="202"/>
      <c r="R670" s="202"/>
      <c r="S670" s="202"/>
    </row>
    <row r="671" spans="5:19" x14ac:dyDescent="0.25">
      <c r="F671" t="s">
        <v>933</v>
      </c>
      <c r="G671" t="s">
        <v>169</v>
      </c>
      <c r="H671" t="s">
        <v>145</v>
      </c>
      <c r="J671" s="202"/>
      <c r="K671" s="198"/>
      <c r="L671" s="202"/>
      <c r="M671" s="202"/>
      <c r="N671" s="202"/>
      <c r="O671" s="202"/>
      <c r="P671" s="202"/>
      <c r="Q671" s="202"/>
      <c r="R671" s="202"/>
      <c r="S671" s="202"/>
    </row>
    <row r="672" spans="5:19" x14ac:dyDescent="0.25">
      <c r="F672" t="s">
        <v>934</v>
      </c>
      <c r="G672" t="s">
        <v>169</v>
      </c>
      <c r="H672" t="s">
        <v>145</v>
      </c>
      <c r="J672" s="202"/>
      <c r="K672" s="198"/>
      <c r="L672" s="202"/>
      <c r="M672" s="202"/>
      <c r="N672" s="202"/>
      <c r="O672" s="202"/>
      <c r="P672" s="202"/>
      <c r="Q672" s="202"/>
      <c r="R672" s="202"/>
      <c r="S672" s="202"/>
    </row>
    <row r="673" spans="5:19" x14ac:dyDescent="0.25">
      <c r="F673" t="s">
        <v>935</v>
      </c>
      <c r="G673" t="s">
        <v>169</v>
      </c>
      <c r="H673" t="s">
        <v>145</v>
      </c>
      <c r="J673" s="202"/>
      <c r="K673" s="198"/>
      <c r="L673" s="202"/>
      <c r="M673" s="202"/>
      <c r="N673" s="202"/>
      <c r="O673" s="202"/>
      <c r="P673" s="202"/>
      <c r="Q673" s="202"/>
      <c r="R673" s="202"/>
      <c r="S673" s="202"/>
    </row>
    <row r="674" spans="5:19" x14ac:dyDescent="0.25">
      <c r="F674" t="s">
        <v>936</v>
      </c>
      <c r="G674" t="s">
        <v>169</v>
      </c>
      <c r="H674" t="s">
        <v>145</v>
      </c>
      <c r="J674" s="202"/>
      <c r="K674" s="198"/>
      <c r="L674" s="202"/>
      <c r="M674" s="202"/>
      <c r="N674" s="202"/>
      <c r="O674" s="202"/>
      <c r="P674" s="202"/>
      <c r="Q674" s="202"/>
      <c r="R674" s="202"/>
      <c r="S674" s="202"/>
    </row>
    <row r="675" spans="5:19" x14ac:dyDescent="0.25">
      <c r="F675" t="s">
        <v>937</v>
      </c>
      <c r="G675" t="s">
        <v>169</v>
      </c>
      <c r="H675" t="s">
        <v>145</v>
      </c>
      <c r="J675" s="202"/>
      <c r="K675" s="198"/>
      <c r="L675" s="202"/>
      <c r="M675" s="202"/>
      <c r="N675" s="202"/>
      <c r="O675" s="202"/>
      <c r="P675" s="202"/>
      <c r="Q675" s="202"/>
      <c r="R675" s="202"/>
      <c r="S675" s="202"/>
    </row>
    <row r="676" spans="5:19" x14ac:dyDescent="0.25">
      <c r="F676" t="s">
        <v>938</v>
      </c>
      <c r="G676" t="s">
        <v>169</v>
      </c>
      <c r="H676" t="s">
        <v>145</v>
      </c>
      <c r="J676" s="202"/>
      <c r="K676" s="198"/>
      <c r="L676" s="202"/>
      <c r="M676" s="202"/>
      <c r="N676" s="202"/>
      <c r="O676" s="202"/>
      <c r="P676" s="202"/>
      <c r="Q676" s="202"/>
      <c r="R676" s="202"/>
      <c r="S676" s="202"/>
    </row>
    <row r="677" spans="5:19" x14ac:dyDescent="0.25">
      <c r="F677" t="s">
        <v>939</v>
      </c>
      <c r="G677" t="s">
        <v>169</v>
      </c>
      <c r="H677" t="s">
        <v>145</v>
      </c>
      <c r="J677" s="202"/>
      <c r="K677" s="198"/>
      <c r="L677" s="202"/>
      <c r="M677" s="202"/>
      <c r="N677" s="202"/>
      <c r="O677" s="202"/>
      <c r="P677" s="202"/>
      <c r="Q677" s="202"/>
      <c r="R677" s="202"/>
      <c r="S677" s="202"/>
    </row>
    <row r="678" spans="5:19" x14ac:dyDescent="0.25">
      <c r="F678" s="17" t="s">
        <v>940</v>
      </c>
      <c r="G678" s="17" t="s">
        <v>169</v>
      </c>
      <c r="H678" s="17" t="s">
        <v>145</v>
      </c>
      <c r="I678" s="122"/>
      <c r="J678" s="203"/>
      <c r="K678" s="200"/>
      <c r="L678" s="203"/>
      <c r="M678" s="203"/>
      <c r="N678" s="203"/>
      <c r="O678" s="203"/>
      <c r="P678" s="203"/>
      <c r="Q678" s="203"/>
      <c r="R678" s="203"/>
      <c r="S678" s="203"/>
    </row>
    <row r="679" spans="5:19" x14ac:dyDescent="0.25">
      <c r="J679" s="198"/>
      <c r="K679" s="198"/>
      <c r="L679" s="198"/>
      <c r="M679" s="198"/>
      <c r="N679" s="198"/>
      <c r="O679" s="198"/>
      <c r="P679" s="198"/>
      <c r="Q679" s="198"/>
      <c r="R679" s="198"/>
      <c r="S679" s="198"/>
    </row>
    <row r="680" spans="5:19" x14ac:dyDescent="0.25">
      <c r="E680" s="121" t="s">
        <v>204</v>
      </c>
      <c r="J680" s="198"/>
      <c r="K680" s="198"/>
      <c r="L680" s="198"/>
      <c r="M680" s="198"/>
      <c r="N680" s="198"/>
      <c r="O680" s="198"/>
      <c r="P680" s="198"/>
      <c r="Q680" s="198"/>
      <c r="R680" s="198"/>
      <c r="S680" s="198"/>
    </row>
    <row r="681" spans="5:19" x14ac:dyDescent="0.25">
      <c r="F681" s="80" t="s">
        <v>925</v>
      </c>
      <c r="G681" s="80" t="s">
        <v>170</v>
      </c>
      <c r="H681" s="80" t="s">
        <v>145</v>
      </c>
      <c r="I681" s="94"/>
      <c r="J681" s="201"/>
      <c r="K681" s="196"/>
      <c r="L681" s="201"/>
      <c r="M681" s="201"/>
      <c r="N681" s="201"/>
      <c r="O681" s="201"/>
      <c r="P681" s="201"/>
      <c r="Q681" s="201"/>
      <c r="R681" s="201"/>
      <c r="S681" s="201"/>
    </row>
    <row r="682" spans="5:19" x14ac:dyDescent="0.25">
      <c r="F682" t="s">
        <v>926</v>
      </c>
      <c r="G682" t="s">
        <v>170</v>
      </c>
      <c r="H682" t="s">
        <v>145</v>
      </c>
      <c r="J682" s="202"/>
      <c r="K682" s="198"/>
      <c r="L682" s="202"/>
      <c r="M682" s="202"/>
      <c r="N682" s="202"/>
      <c r="O682" s="202"/>
      <c r="P682" s="202"/>
      <c r="Q682" s="202"/>
      <c r="R682" s="202"/>
      <c r="S682" s="202"/>
    </row>
    <row r="683" spans="5:19" x14ac:dyDescent="0.25">
      <c r="F683" t="s">
        <v>927</v>
      </c>
      <c r="G683" t="s">
        <v>170</v>
      </c>
      <c r="H683" t="s">
        <v>145</v>
      </c>
      <c r="J683" s="202"/>
      <c r="K683" s="198"/>
      <c r="L683" s="202"/>
      <c r="M683" s="202"/>
      <c r="N683" s="202"/>
      <c r="O683" s="202"/>
      <c r="P683" s="202"/>
      <c r="Q683" s="202"/>
      <c r="R683" s="202"/>
      <c r="S683" s="202"/>
    </row>
    <row r="684" spans="5:19" x14ac:dyDescent="0.25">
      <c r="F684" t="s">
        <v>928</v>
      </c>
      <c r="G684" t="s">
        <v>170</v>
      </c>
      <c r="H684" t="s">
        <v>145</v>
      </c>
      <c r="J684" s="202"/>
      <c r="K684" s="198"/>
      <c r="L684" s="202"/>
      <c r="M684" s="202"/>
      <c r="N684" s="202"/>
      <c r="O684" s="202"/>
      <c r="P684" s="202"/>
      <c r="Q684" s="202"/>
      <c r="R684" s="202"/>
      <c r="S684" s="202"/>
    </row>
    <row r="685" spans="5:19" x14ac:dyDescent="0.25">
      <c r="F685" t="s">
        <v>929</v>
      </c>
      <c r="G685" t="s">
        <v>170</v>
      </c>
      <c r="H685" t="s">
        <v>145</v>
      </c>
      <c r="J685" s="197">
        <f t="shared" ref="J685:J687" si="118">CHOOSE(year_selection, L685,M685,N685,O685,P685,Q685,R685,S685)</f>
        <v>85548.118000000002</v>
      </c>
      <c r="K685" s="198"/>
      <c r="L685" s="281"/>
      <c r="M685" s="281">
        <v>96103.438999999998</v>
      </c>
      <c r="N685" s="281">
        <v>89693.016000000003</v>
      </c>
      <c r="O685" s="281">
        <v>85548.118000000002</v>
      </c>
      <c r="P685" s="281">
        <f t="shared" ref="P685:S687" si="119">$O685</f>
        <v>85548.118000000002</v>
      </c>
      <c r="Q685" s="281">
        <f t="shared" si="119"/>
        <v>85548.118000000002</v>
      </c>
      <c r="R685" s="281">
        <f t="shared" si="119"/>
        <v>85548.118000000002</v>
      </c>
      <c r="S685" s="281">
        <f t="shared" si="119"/>
        <v>85548.118000000002</v>
      </c>
    </row>
    <row r="686" spans="5:19" x14ac:dyDescent="0.25">
      <c r="F686" t="s">
        <v>930</v>
      </c>
      <c r="G686" t="s">
        <v>170</v>
      </c>
      <c r="H686" t="s">
        <v>145</v>
      </c>
      <c r="J686" s="197">
        <f t="shared" si="118"/>
        <v>17164.226999999999</v>
      </c>
      <c r="K686" s="198"/>
      <c r="L686" s="281"/>
      <c r="M686" s="281">
        <v>18378.108</v>
      </c>
      <c r="N686" s="281">
        <v>18473.891</v>
      </c>
      <c r="O686" s="281">
        <v>17164.226999999999</v>
      </c>
      <c r="P686" s="281">
        <f t="shared" si="119"/>
        <v>17164.226999999999</v>
      </c>
      <c r="Q686" s="281">
        <f t="shared" si="119"/>
        <v>17164.226999999999</v>
      </c>
      <c r="R686" s="281">
        <f t="shared" si="119"/>
        <v>17164.226999999999</v>
      </c>
      <c r="S686" s="281">
        <f t="shared" si="119"/>
        <v>17164.226999999999</v>
      </c>
    </row>
    <row r="687" spans="5:19" x14ac:dyDescent="0.25">
      <c r="F687" t="s">
        <v>931</v>
      </c>
      <c r="G687" t="s">
        <v>170</v>
      </c>
      <c r="H687" t="s">
        <v>145</v>
      </c>
      <c r="J687" s="197">
        <f t="shared" si="118"/>
        <v>139514.554</v>
      </c>
      <c r="K687" s="198"/>
      <c r="L687" s="281"/>
      <c r="M687" s="281">
        <v>131007.651</v>
      </c>
      <c r="N687" s="281">
        <v>134634.66800000001</v>
      </c>
      <c r="O687" s="281">
        <v>139514.554</v>
      </c>
      <c r="P687" s="281">
        <f t="shared" si="119"/>
        <v>139514.554</v>
      </c>
      <c r="Q687" s="281">
        <f t="shared" si="119"/>
        <v>139514.554</v>
      </c>
      <c r="R687" s="281">
        <f t="shared" si="119"/>
        <v>139514.554</v>
      </c>
      <c r="S687" s="281">
        <f t="shared" si="119"/>
        <v>139514.554</v>
      </c>
    </row>
    <row r="688" spans="5:19" x14ac:dyDescent="0.25">
      <c r="F688" t="s">
        <v>932</v>
      </c>
      <c r="G688" t="s">
        <v>170</v>
      </c>
      <c r="H688" t="s">
        <v>145</v>
      </c>
      <c r="J688" s="202"/>
      <c r="K688" s="198"/>
      <c r="L688" s="202"/>
      <c r="M688" s="202"/>
      <c r="N688" s="202"/>
      <c r="O688" s="202"/>
      <c r="P688" s="202"/>
      <c r="Q688" s="202"/>
      <c r="R688" s="202"/>
      <c r="S688" s="202"/>
    </row>
    <row r="689" spans="3:21" x14ac:dyDescent="0.25">
      <c r="F689" t="s">
        <v>933</v>
      </c>
      <c r="G689" t="s">
        <v>170</v>
      </c>
      <c r="H689" t="s">
        <v>145</v>
      </c>
      <c r="J689" s="202"/>
      <c r="K689" s="198"/>
      <c r="L689" s="202"/>
      <c r="M689" s="202"/>
      <c r="N689" s="202"/>
      <c r="O689" s="202"/>
      <c r="P689" s="202"/>
      <c r="Q689" s="202"/>
      <c r="R689" s="202"/>
      <c r="S689" s="202"/>
    </row>
    <row r="690" spans="3:21" x14ac:dyDescent="0.25">
      <c r="F690" t="s">
        <v>934</v>
      </c>
      <c r="G690" t="s">
        <v>170</v>
      </c>
      <c r="H690" t="s">
        <v>145</v>
      </c>
      <c r="J690" s="202"/>
      <c r="K690" s="198"/>
      <c r="L690" s="202"/>
      <c r="M690" s="202"/>
      <c r="N690" s="202"/>
      <c r="O690" s="202"/>
      <c r="P690" s="202"/>
      <c r="Q690" s="202"/>
      <c r="R690" s="202"/>
      <c r="S690" s="202"/>
    </row>
    <row r="691" spans="3:21" x14ac:dyDescent="0.25">
      <c r="F691" t="s">
        <v>935</v>
      </c>
      <c r="G691" t="s">
        <v>170</v>
      </c>
      <c r="H691" t="s">
        <v>145</v>
      </c>
      <c r="J691" s="202"/>
      <c r="K691" s="198"/>
      <c r="L691" s="202"/>
      <c r="M691" s="202"/>
      <c r="N691" s="202"/>
      <c r="O691" s="202"/>
      <c r="P691" s="202"/>
      <c r="Q691" s="202"/>
      <c r="R691" s="202"/>
      <c r="S691" s="202"/>
    </row>
    <row r="692" spans="3:21" x14ac:dyDescent="0.25">
      <c r="F692" t="s">
        <v>936</v>
      </c>
      <c r="G692" t="s">
        <v>170</v>
      </c>
      <c r="H692" t="s">
        <v>145</v>
      </c>
      <c r="J692" s="202"/>
      <c r="K692" s="198"/>
      <c r="L692" s="202"/>
      <c r="M692" s="202"/>
      <c r="N692" s="202"/>
      <c r="O692" s="202"/>
      <c r="P692" s="202"/>
      <c r="Q692" s="202"/>
      <c r="R692" s="202"/>
      <c r="S692" s="202"/>
    </row>
    <row r="693" spans="3:21" x14ac:dyDescent="0.25">
      <c r="F693" t="s">
        <v>937</v>
      </c>
      <c r="G693" t="s">
        <v>170</v>
      </c>
      <c r="H693" t="s">
        <v>145</v>
      </c>
      <c r="J693" s="202"/>
      <c r="K693" s="198"/>
      <c r="L693" s="202"/>
      <c r="M693" s="202"/>
      <c r="N693" s="202"/>
      <c r="O693" s="202"/>
      <c r="P693" s="202"/>
      <c r="Q693" s="202"/>
      <c r="R693" s="202"/>
      <c r="S693" s="202"/>
    </row>
    <row r="694" spans="3:21" x14ac:dyDescent="0.25">
      <c r="F694" t="s">
        <v>938</v>
      </c>
      <c r="G694" t="s">
        <v>170</v>
      </c>
      <c r="H694" t="s">
        <v>145</v>
      </c>
      <c r="J694" s="202"/>
      <c r="K694" s="198"/>
      <c r="L694" s="202"/>
      <c r="M694" s="202"/>
      <c r="N694" s="202"/>
      <c r="O694" s="202"/>
      <c r="P694" s="202"/>
      <c r="Q694" s="202"/>
      <c r="R694" s="202"/>
      <c r="S694" s="202"/>
    </row>
    <row r="695" spans="3:21" x14ac:dyDescent="0.25">
      <c r="F695" t="s">
        <v>939</v>
      </c>
      <c r="G695" t="s">
        <v>170</v>
      </c>
      <c r="H695" t="s">
        <v>145</v>
      </c>
      <c r="J695" s="202"/>
      <c r="K695" s="198"/>
      <c r="L695" s="202"/>
      <c r="M695" s="202"/>
      <c r="N695" s="202"/>
      <c r="O695" s="202"/>
      <c r="P695" s="202"/>
      <c r="Q695" s="202"/>
      <c r="R695" s="202"/>
      <c r="S695" s="202"/>
    </row>
    <row r="696" spans="3:21" x14ac:dyDescent="0.25">
      <c r="F696" s="17" t="s">
        <v>940</v>
      </c>
      <c r="G696" s="17" t="s">
        <v>170</v>
      </c>
      <c r="H696" s="17" t="s">
        <v>145</v>
      </c>
      <c r="I696" s="122"/>
      <c r="J696" s="203"/>
      <c r="K696" s="200"/>
      <c r="L696" s="203"/>
      <c r="M696" s="203"/>
      <c r="N696" s="203"/>
      <c r="O696" s="203"/>
      <c r="P696" s="203"/>
      <c r="Q696" s="203"/>
      <c r="R696" s="203"/>
      <c r="S696" s="203"/>
    </row>
    <row r="697" spans="3:21" x14ac:dyDescent="0.25">
      <c r="J697" s="198"/>
      <c r="K697" s="198"/>
      <c r="L697" s="198"/>
      <c r="M697" s="198"/>
      <c r="N697" s="198"/>
      <c r="O697" s="198"/>
      <c r="P697" s="198"/>
      <c r="Q697" s="198"/>
      <c r="R697" s="198"/>
      <c r="S697" s="198"/>
    </row>
    <row r="698" spans="3:21" x14ac:dyDescent="0.25">
      <c r="C698" s="5" t="str">
        <f ca="1">INDEX('Version control'!$H$36:$H$62,MATCH($A$1,'Version control'!$F$36:$F$62,0),1)&amp;"-H: LDNO LV volumes - No residual"</f>
        <v>Input 501-H: LDNO LV volumes - No residual</v>
      </c>
      <c r="D698" s="5"/>
      <c r="E698" s="5"/>
      <c r="F698" s="5"/>
      <c r="G698" s="5"/>
      <c r="H698" s="5"/>
      <c r="I698" s="143"/>
      <c r="J698" s="204"/>
      <c r="K698" s="204"/>
      <c r="L698" s="204"/>
      <c r="M698" s="204"/>
      <c r="N698" s="204"/>
      <c r="O698" s="204"/>
      <c r="P698" s="204"/>
      <c r="Q698" s="204"/>
      <c r="R698" s="204"/>
      <c r="S698" s="204"/>
      <c r="T698" s="5"/>
      <c r="U698" s="5"/>
    </row>
    <row r="699" spans="3:21" x14ac:dyDescent="0.25">
      <c r="D699" s="52"/>
    </row>
    <row r="700" spans="3:21" x14ac:dyDescent="0.25">
      <c r="E700" s="121" t="s">
        <v>199</v>
      </c>
      <c r="I700" s="59" t="s">
        <v>359</v>
      </c>
      <c r="J700" s="198"/>
      <c r="K700" s="198"/>
      <c r="L700" s="198"/>
      <c r="M700" s="198"/>
      <c r="N700" s="198"/>
      <c r="O700" s="198"/>
      <c r="P700" s="198"/>
      <c r="Q700" s="198"/>
      <c r="R700" s="198"/>
      <c r="S700" s="198"/>
      <c r="U700" t="s">
        <v>691</v>
      </c>
    </row>
    <row r="701" spans="3:21" x14ac:dyDescent="0.25">
      <c r="F701" s="80" t="s">
        <v>925</v>
      </c>
      <c r="G701" s="80" t="s">
        <v>120</v>
      </c>
      <c r="H701" s="80" t="s">
        <v>479</v>
      </c>
      <c r="I701" s="94"/>
      <c r="J701" s="201"/>
      <c r="K701" s="196"/>
      <c r="L701" s="201"/>
      <c r="M701" s="201"/>
      <c r="N701" s="201"/>
      <c r="O701" s="201"/>
      <c r="P701" s="201"/>
      <c r="Q701" s="201"/>
      <c r="R701" s="201"/>
      <c r="S701" s="201"/>
    </row>
    <row r="702" spans="3:21" x14ac:dyDescent="0.25">
      <c r="F702" t="s">
        <v>926</v>
      </c>
      <c r="G702" t="s">
        <v>120</v>
      </c>
      <c r="H702" t="s">
        <v>479</v>
      </c>
      <c r="J702" s="197">
        <f t="shared" ref="J702:J705" si="120">CHOOSE(year_selection, L702,M702,N702,O702,P702,Q702,R702,S702)</f>
        <v>1.76</v>
      </c>
      <c r="K702" s="198"/>
      <c r="L702" s="281"/>
      <c r="M702" s="281">
        <v>1.3219661897769324</v>
      </c>
      <c r="N702" s="281">
        <v>1.586359427732319</v>
      </c>
      <c r="O702" s="281">
        <v>1.76</v>
      </c>
      <c r="P702" s="281">
        <f t="shared" ref="P702:S705" si="121">$O702</f>
        <v>1.76</v>
      </c>
      <c r="Q702" s="281">
        <f t="shared" si="121"/>
        <v>1.76</v>
      </c>
      <c r="R702" s="281">
        <f t="shared" si="121"/>
        <v>1.76</v>
      </c>
      <c r="S702" s="281">
        <f t="shared" si="121"/>
        <v>1.76</v>
      </c>
    </row>
    <row r="703" spans="3:21" x14ac:dyDescent="0.25">
      <c r="F703" t="s">
        <v>927</v>
      </c>
      <c r="G703" t="s">
        <v>120</v>
      </c>
      <c r="H703" t="s">
        <v>479</v>
      </c>
      <c r="J703" s="197">
        <f t="shared" si="120"/>
        <v>0</v>
      </c>
      <c r="K703" s="198"/>
      <c r="L703" s="281"/>
      <c r="M703" s="281">
        <v>0</v>
      </c>
      <c r="N703" s="281">
        <v>6.5376520914447539E-2</v>
      </c>
      <c r="O703" s="281">
        <v>0</v>
      </c>
      <c r="P703" s="281">
        <f t="shared" si="121"/>
        <v>0</v>
      </c>
      <c r="Q703" s="281">
        <f t="shared" si="121"/>
        <v>0</v>
      </c>
      <c r="R703" s="281">
        <f t="shared" si="121"/>
        <v>0</v>
      </c>
      <c r="S703" s="281">
        <f t="shared" si="121"/>
        <v>0</v>
      </c>
    </row>
    <row r="704" spans="3:21" x14ac:dyDescent="0.25">
      <c r="F704" t="s">
        <v>928</v>
      </c>
      <c r="G704" t="s">
        <v>120</v>
      </c>
      <c r="H704" t="s">
        <v>479</v>
      </c>
      <c r="J704" s="197">
        <f t="shared" si="120"/>
        <v>0</v>
      </c>
      <c r="K704" s="198"/>
      <c r="L704" s="281"/>
      <c r="M704" s="281">
        <v>0</v>
      </c>
      <c r="N704" s="281">
        <v>0</v>
      </c>
      <c r="O704" s="281">
        <v>0</v>
      </c>
      <c r="P704" s="281">
        <f t="shared" si="121"/>
        <v>0</v>
      </c>
      <c r="Q704" s="281">
        <f t="shared" si="121"/>
        <v>0</v>
      </c>
      <c r="R704" s="281">
        <f t="shared" si="121"/>
        <v>0</v>
      </c>
      <c r="S704" s="281">
        <f t="shared" si="121"/>
        <v>0</v>
      </c>
    </row>
    <row r="705" spans="5:19" x14ac:dyDescent="0.25">
      <c r="F705" t="s">
        <v>929</v>
      </c>
      <c r="G705" t="s">
        <v>120</v>
      </c>
      <c r="H705" t="s">
        <v>479</v>
      </c>
      <c r="J705" s="197">
        <f t="shared" si="120"/>
        <v>0</v>
      </c>
      <c r="K705" s="198"/>
      <c r="L705" s="281"/>
      <c r="M705" s="281">
        <v>0</v>
      </c>
      <c r="N705" s="281">
        <v>0</v>
      </c>
      <c r="O705" s="281">
        <v>0</v>
      </c>
      <c r="P705" s="281">
        <f t="shared" si="121"/>
        <v>0</v>
      </c>
      <c r="Q705" s="281">
        <f t="shared" si="121"/>
        <v>0</v>
      </c>
      <c r="R705" s="281">
        <f t="shared" si="121"/>
        <v>0</v>
      </c>
      <c r="S705" s="281">
        <f t="shared" si="121"/>
        <v>0</v>
      </c>
    </row>
    <row r="706" spans="5:19" x14ac:dyDescent="0.25">
      <c r="F706" t="s">
        <v>930</v>
      </c>
      <c r="G706" t="s">
        <v>120</v>
      </c>
      <c r="H706" t="s">
        <v>479</v>
      </c>
      <c r="J706" s="202"/>
      <c r="K706" s="198"/>
      <c r="L706" s="202"/>
      <c r="M706" s="202"/>
      <c r="N706" s="202"/>
      <c r="O706" s="202"/>
      <c r="P706" s="202"/>
      <c r="Q706" s="202"/>
      <c r="R706" s="202"/>
      <c r="S706" s="202"/>
    </row>
    <row r="707" spans="5:19" x14ac:dyDescent="0.25">
      <c r="F707" t="s">
        <v>931</v>
      </c>
      <c r="G707" t="s">
        <v>120</v>
      </c>
      <c r="H707" t="s">
        <v>479</v>
      </c>
      <c r="J707" s="202"/>
      <c r="K707" s="198"/>
      <c r="L707" s="202"/>
      <c r="M707" s="202"/>
      <c r="N707" s="202"/>
      <c r="O707" s="202"/>
      <c r="P707" s="202"/>
      <c r="Q707" s="202"/>
      <c r="R707" s="202"/>
      <c r="S707" s="202"/>
    </row>
    <row r="708" spans="5:19" x14ac:dyDescent="0.25">
      <c r="F708" t="s">
        <v>932</v>
      </c>
      <c r="G708" t="s">
        <v>120</v>
      </c>
      <c r="H708" t="s">
        <v>479</v>
      </c>
      <c r="J708" s="202"/>
      <c r="K708" s="198"/>
      <c r="L708" s="202"/>
      <c r="M708" s="202"/>
      <c r="N708" s="202"/>
      <c r="O708" s="202"/>
      <c r="P708" s="202"/>
      <c r="Q708" s="202"/>
      <c r="R708" s="202"/>
      <c r="S708" s="202"/>
    </row>
    <row r="709" spans="5:19" x14ac:dyDescent="0.25">
      <c r="F709" t="s">
        <v>933</v>
      </c>
      <c r="G709" t="s">
        <v>120</v>
      </c>
      <c r="H709" t="s">
        <v>479</v>
      </c>
      <c r="J709" s="197">
        <f t="shared" ref="J709:J711" si="122">CHOOSE(year_selection, L709,M709,N709,O709,P709,Q709,R709,S709)</f>
        <v>148.179</v>
      </c>
      <c r="K709" s="198"/>
      <c r="L709" s="281"/>
      <c r="M709" s="281">
        <v>0.81360475220383977</v>
      </c>
      <c r="N709" s="281">
        <v>10.323944686238384</v>
      </c>
      <c r="O709" s="281">
        <v>148.179</v>
      </c>
      <c r="P709" s="281">
        <f t="shared" ref="P709:S709" si="123">$O709</f>
        <v>148.179</v>
      </c>
      <c r="Q709" s="281">
        <f t="shared" si="123"/>
        <v>148.179</v>
      </c>
      <c r="R709" s="281">
        <f t="shared" si="123"/>
        <v>148.179</v>
      </c>
      <c r="S709" s="281">
        <f t="shared" si="123"/>
        <v>148.179</v>
      </c>
    </row>
    <row r="710" spans="5:19" x14ac:dyDescent="0.25">
      <c r="F710" t="s">
        <v>934</v>
      </c>
      <c r="G710" t="s">
        <v>120</v>
      </c>
      <c r="H710" t="s">
        <v>479</v>
      </c>
      <c r="J710" s="202"/>
      <c r="K710" s="198"/>
      <c r="L710" s="202"/>
      <c r="M710" s="202"/>
      <c r="N710" s="202"/>
      <c r="O710" s="202"/>
      <c r="P710" s="202"/>
      <c r="Q710" s="202"/>
      <c r="R710" s="202"/>
      <c r="S710" s="202"/>
    </row>
    <row r="711" spans="5:19" x14ac:dyDescent="0.25">
      <c r="F711" t="s">
        <v>935</v>
      </c>
      <c r="G711" t="s">
        <v>120</v>
      </c>
      <c r="H711" t="s">
        <v>479</v>
      </c>
      <c r="J711" s="197">
        <f t="shared" si="122"/>
        <v>0</v>
      </c>
      <c r="K711" s="198"/>
      <c r="L711" s="281"/>
      <c r="M711" s="281">
        <v>0</v>
      </c>
      <c r="N711" s="281">
        <v>0</v>
      </c>
      <c r="O711" s="281">
        <v>0</v>
      </c>
      <c r="P711" s="281">
        <f t="shared" ref="P711:S711" si="124">$O711</f>
        <v>0</v>
      </c>
      <c r="Q711" s="281">
        <f t="shared" si="124"/>
        <v>0</v>
      </c>
      <c r="R711" s="281">
        <f t="shared" si="124"/>
        <v>0</v>
      </c>
      <c r="S711" s="281">
        <f t="shared" si="124"/>
        <v>0</v>
      </c>
    </row>
    <row r="712" spans="5:19" x14ac:dyDescent="0.25">
      <c r="F712" t="s">
        <v>936</v>
      </c>
      <c r="G712" t="s">
        <v>120</v>
      </c>
      <c r="H712" t="s">
        <v>479</v>
      </c>
      <c r="J712" s="202"/>
      <c r="K712" s="198"/>
      <c r="L712" s="202"/>
      <c r="M712" s="202"/>
      <c r="N712" s="202"/>
      <c r="O712" s="202"/>
      <c r="P712" s="202"/>
      <c r="Q712" s="202"/>
      <c r="R712" s="202"/>
      <c r="S712" s="202"/>
    </row>
    <row r="713" spans="5:19" x14ac:dyDescent="0.25">
      <c r="F713" t="s">
        <v>937</v>
      </c>
      <c r="G713" t="s">
        <v>120</v>
      </c>
      <c r="H713" t="s">
        <v>479</v>
      </c>
      <c r="J713" s="202"/>
      <c r="K713" s="198"/>
      <c r="L713" s="202"/>
      <c r="M713" s="202"/>
      <c r="N713" s="202"/>
      <c r="O713" s="202"/>
      <c r="P713" s="202"/>
      <c r="Q713" s="202"/>
      <c r="R713" s="202"/>
      <c r="S713" s="202"/>
    </row>
    <row r="714" spans="5:19" x14ac:dyDescent="0.25">
      <c r="F714" t="s">
        <v>938</v>
      </c>
      <c r="G714" t="s">
        <v>120</v>
      </c>
      <c r="H714" t="s">
        <v>479</v>
      </c>
      <c r="J714" s="202"/>
      <c r="K714" s="198"/>
      <c r="L714" s="202"/>
      <c r="M714" s="202"/>
      <c r="N714" s="202"/>
      <c r="O714" s="202"/>
      <c r="P714" s="202"/>
      <c r="Q714" s="202"/>
      <c r="R714" s="202"/>
      <c r="S714" s="202"/>
    </row>
    <row r="715" spans="5:19" x14ac:dyDescent="0.25">
      <c r="F715" t="s">
        <v>939</v>
      </c>
      <c r="G715" t="s">
        <v>120</v>
      </c>
      <c r="H715" t="s">
        <v>479</v>
      </c>
      <c r="J715" s="202"/>
      <c r="K715" s="198"/>
      <c r="L715" s="202"/>
      <c r="M715" s="202"/>
      <c r="N715" s="202"/>
      <c r="O715" s="202"/>
      <c r="P715" s="202"/>
      <c r="Q715" s="202"/>
      <c r="R715" s="202"/>
      <c r="S715" s="202"/>
    </row>
    <row r="716" spans="5:19" x14ac:dyDescent="0.25">
      <c r="F716" s="17" t="s">
        <v>940</v>
      </c>
      <c r="G716" s="17" t="s">
        <v>120</v>
      </c>
      <c r="H716" s="17" t="s">
        <v>479</v>
      </c>
      <c r="I716" s="122"/>
      <c r="J716" s="203"/>
      <c r="K716" s="200"/>
      <c r="L716" s="203"/>
      <c r="M716" s="203"/>
      <c r="N716" s="203"/>
      <c r="O716" s="203"/>
      <c r="P716" s="203"/>
      <c r="Q716" s="203"/>
      <c r="R716" s="203"/>
      <c r="S716" s="203"/>
    </row>
    <row r="717" spans="5:19" x14ac:dyDescent="0.25">
      <c r="J717" s="198"/>
      <c r="K717" s="198"/>
      <c r="L717" s="198"/>
      <c r="M717" s="198"/>
      <c r="N717" s="198"/>
      <c r="O717" s="198"/>
      <c r="P717" s="198"/>
      <c r="Q717" s="198"/>
      <c r="R717" s="198"/>
      <c r="S717" s="198"/>
    </row>
    <row r="718" spans="5:19" x14ac:dyDescent="0.25">
      <c r="E718" s="121" t="s">
        <v>200</v>
      </c>
      <c r="J718" s="198"/>
      <c r="K718" s="198"/>
      <c r="L718" s="198"/>
      <c r="M718" s="198"/>
      <c r="N718" s="198"/>
      <c r="O718" s="198"/>
      <c r="P718" s="198"/>
      <c r="Q718" s="198"/>
      <c r="R718" s="198"/>
      <c r="S718" s="198"/>
    </row>
    <row r="719" spans="5:19" x14ac:dyDescent="0.25">
      <c r="F719" s="80" t="s">
        <v>925</v>
      </c>
      <c r="G719" s="80" t="s">
        <v>120</v>
      </c>
      <c r="H719" s="80" t="s">
        <v>479</v>
      </c>
      <c r="I719" s="94"/>
      <c r="J719" s="201"/>
      <c r="K719" s="196"/>
      <c r="L719" s="201"/>
      <c r="M719" s="201"/>
      <c r="N719" s="201"/>
      <c r="O719" s="201"/>
      <c r="P719" s="201"/>
      <c r="Q719" s="201"/>
      <c r="R719" s="201"/>
      <c r="S719" s="201"/>
    </row>
    <row r="720" spans="5:19" x14ac:dyDescent="0.25">
      <c r="F720" t="s">
        <v>926</v>
      </c>
      <c r="G720" t="s">
        <v>120</v>
      </c>
      <c r="H720" t="s">
        <v>479</v>
      </c>
      <c r="J720" s="197">
        <f t="shared" ref="J720:J723" si="125">CHOOSE(year_selection, L720,M720,N720,O720,P720,Q720,R720,S720)</f>
        <v>29.321000000000005</v>
      </c>
      <c r="K720" s="198"/>
      <c r="L720" s="281"/>
      <c r="M720" s="281">
        <v>23.665020700605009</v>
      </c>
      <c r="N720" s="281">
        <v>28.398024840726006</v>
      </c>
      <c r="O720" s="281">
        <v>29.321000000000005</v>
      </c>
      <c r="P720" s="281">
        <f t="shared" ref="P720:S723" si="126">$O720</f>
        <v>29.321000000000005</v>
      </c>
      <c r="Q720" s="281">
        <f t="shared" si="126"/>
        <v>29.321000000000005</v>
      </c>
      <c r="R720" s="281">
        <f t="shared" si="126"/>
        <v>29.321000000000005</v>
      </c>
      <c r="S720" s="281">
        <f t="shared" si="126"/>
        <v>29.321000000000005</v>
      </c>
    </row>
    <row r="721" spans="5:19" x14ac:dyDescent="0.25">
      <c r="F721" t="s">
        <v>927</v>
      </c>
      <c r="G721" t="s">
        <v>120</v>
      </c>
      <c r="H721" t="s">
        <v>479</v>
      </c>
      <c r="J721" s="197">
        <f t="shared" si="125"/>
        <v>0</v>
      </c>
      <c r="K721" s="198"/>
      <c r="L721" s="281"/>
      <c r="M721" s="281">
        <v>0</v>
      </c>
      <c r="N721" s="281">
        <v>0.35403684499723709</v>
      </c>
      <c r="O721" s="281">
        <v>0</v>
      </c>
      <c r="P721" s="281">
        <f t="shared" si="126"/>
        <v>0</v>
      </c>
      <c r="Q721" s="281">
        <f t="shared" si="126"/>
        <v>0</v>
      </c>
      <c r="R721" s="281">
        <f t="shared" si="126"/>
        <v>0</v>
      </c>
      <c r="S721" s="281">
        <f t="shared" si="126"/>
        <v>0</v>
      </c>
    </row>
    <row r="722" spans="5:19" x14ac:dyDescent="0.25">
      <c r="F722" t="s">
        <v>928</v>
      </c>
      <c r="G722" t="s">
        <v>120</v>
      </c>
      <c r="H722" t="s">
        <v>479</v>
      </c>
      <c r="J722" s="197">
        <f t="shared" si="125"/>
        <v>0</v>
      </c>
      <c r="K722" s="198"/>
      <c r="L722" s="281"/>
      <c r="M722" s="281">
        <v>0</v>
      </c>
      <c r="N722" s="281">
        <v>0</v>
      </c>
      <c r="O722" s="281">
        <v>0</v>
      </c>
      <c r="P722" s="281">
        <f t="shared" si="126"/>
        <v>0</v>
      </c>
      <c r="Q722" s="281">
        <f t="shared" si="126"/>
        <v>0</v>
      </c>
      <c r="R722" s="281">
        <f t="shared" si="126"/>
        <v>0</v>
      </c>
      <c r="S722" s="281">
        <f t="shared" si="126"/>
        <v>0</v>
      </c>
    </row>
    <row r="723" spans="5:19" x14ac:dyDescent="0.25">
      <c r="F723" t="s">
        <v>929</v>
      </c>
      <c r="G723" t="s">
        <v>120</v>
      </c>
      <c r="H723" t="s">
        <v>479</v>
      </c>
      <c r="J723" s="197">
        <f t="shared" si="125"/>
        <v>0</v>
      </c>
      <c r="K723" s="198"/>
      <c r="L723" s="281"/>
      <c r="M723" s="281">
        <v>0</v>
      </c>
      <c r="N723" s="281">
        <v>0</v>
      </c>
      <c r="O723" s="281">
        <v>0</v>
      </c>
      <c r="P723" s="281">
        <f t="shared" si="126"/>
        <v>0</v>
      </c>
      <c r="Q723" s="281">
        <f t="shared" si="126"/>
        <v>0</v>
      </c>
      <c r="R723" s="281">
        <f t="shared" si="126"/>
        <v>0</v>
      </c>
      <c r="S723" s="281">
        <f t="shared" si="126"/>
        <v>0</v>
      </c>
    </row>
    <row r="724" spans="5:19" x14ac:dyDescent="0.25">
      <c r="F724" t="s">
        <v>930</v>
      </c>
      <c r="G724" t="s">
        <v>120</v>
      </c>
      <c r="H724" t="s">
        <v>479</v>
      </c>
      <c r="J724" s="202"/>
      <c r="K724" s="198"/>
      <c r="L724" s="202"/>
      <c r="M724" s="202"/>
      <c r="N724" s="202"/>
      <c r="O724" s="202"/>
      <c r="P724" s="202"/>
      <c r="Q724" s="202"/>
      <c r="R724" s="202"/>
      <c r="S724" s="202"/>
    </row>
    <row r="725" spans="5:19" x14ac:dyDescent="0.25">
      <c r="F725" t="s">
        <v>931</v>
      </c>
      <c r="G725" t="s">
        <v>120</v>
      </c>
      <c r="H725" t="s">
        <v>479</v>
      </c>
      <c r="J725" s="202"/>
      <c r="K725" s="198"/>
      <c r="L725" s="202"/>
      <c r="M725" s="202"/>
      <c r="N725" s="202"/>
      <c r="O725" s="202"/>
      <c r="P725" s="202"/>
      <c r="Q725" s="202"/>
      <c r="R725" s="202"/>
      <c r="S725" s="202"/>
    </row>
    <row r="726" spans="5:19" x14ac:dyDescent="0.25">
      <c r="F726" t="s">
        <v>932</v>
      </c>
      <c r="G726" t="s">
        <v>120</v>
      </c>
      <c r="H726" t="s">
        <v>479</v>
      </c>
      <c r="J726" s="202"/>
      <c r="K726" s="198"/>
      <c r="L726" s="202"/>
      <c r="M726" s="202"/>
      <c r="N726" s="202"/>
      <c r="O726" s="202"/>
      <c r="P726" s="202"/>
      <c r="Q726" s="202"/>
      <c r="R726" s="202"/>
      <c r="S726" s="202"/>
    </row>
    <row r="727" spans="5:19" x14ac:dyDescent="0.25">
      <c r="F727" t="s">
        <v>933</v>
      </c>
      <c r="G727" t="s">
        <v>120</v>
      </c>
      <c r="H727" t="s">
        <v>479</v>
      </c>
      <c r="J727" s="197">
        <f t="shared" ref="J727" si="127">CHOOSE(year_selection, L727,M727,N727,O727,P727,Q727,R727,S727)</f>
        <v>594.94400000000007</v>
      </c>
      <c r="K727" s="198"/>
      <c r="L727" s="281"/>
      <c r="M727" s="281">
        <v>2.9531503395012355</v>
      </c>
      <c r="N727" s="281">
        <v>37.012231837762783</v>
      </c>
      <c r="O727" s="281">
        <v>594.94400000000007</v>
      </c>
      <c r="P727" s="281">
        <f t="shared" ref="P727:S727" si="128">$O727</f>
        <v>594.94400000000007</v>
      </c>
      <c r="Q727" s="281">
        <f t="shared" si="128"/>
        <v>594.94400000000007</v>
      </c>
      <c r="R727" s="281">
        <f t="shared" si="128"/>
        <v>594.94400000000007</v>
      </c>
      <c r="S727" s="281">
        <f t="shared" si="128"/>
        <v>594.94400000000007</v>
      </c>
    </row>
    <row r="728" spans="5:19" x14ac:dyDescent="0.25">
      <c r="F728" t="s">
        <v>934</v>
      </c>
      <c r="G728" t="s">
        <v>120</v>
      </c>
      <c r="H728" t="s">
        <v>479</v>
      </c>
      <c r="J728" s="202"/>
      <c r="K728" s="198"/>
      <c r="L728" s="202"/>
      <c r="M728" s="202"/>
      <c r="N728" s="202"/>
      <c r="O728" s="202"/>
      <c r="P728" s="202"/>
      <c r="Q728" s="202"/>
      <c r="R728" s="202"/>
      <c r="S728" s="202"/>
    </row>
    <row r="729" spans="5:19" x14ac:dyDescent="0.25">
      <c r="F729" t="s">
        <v>935</v>
      </c>
      <c r="G729" t="s">
        <v>120</v>
      </c>
      <c r="H729" t="s">
        <v>479</v>
      </c>
      <c r="J729" s="197">
        <f t="shared" ref="J729" si="129">CHOOSE(year_selection, L729,M729,N729,O729,P729,Q729,R729,S729)</f>
        <v>0</v>
      </c>
      <c r="K729" s="198"/>
      <c r="L729" s="281"/>
      <c r="M729" s="281">
        <v>0</v>
      </c>
      <c r="N729" s="281">
        <v>0</v>
      </c>
      <c r="O729" s="281">
        <v>0</v>
      </c>
      <c r="P729" s="281">
        <f t="shared" ref="P729:S729" si="130">$O729</f>
        <v>0</v>
      </c>
      <c r="Q729" s="281">
        <f t="shared" si="130"/>
        <v>0</v>
      </c>
      <c r="R729" s="281">
        <f t="shared" si="130"/>
        <v>0</v>
      </c>
      <c r="S729" s="281">
        <f t="shared" si="130"/>
        <v>0</v>
      </c>
    </row>
    <row r="730" spans="5:19" x14ac:dyDescent="0.25">
      <c r="F730" t="s">
        <v>936</v>
      </c>
      <c r="G730" t="s">
        <v>120</v>
      </c>
      <c r="H730" t="s">
        <v>479</v>
      </c>
      <c r="J730" s="202"/>
      <c r="K730" s="198"/>
      <c r="L730" s="202"/>
      <c r="M730" s="202"/>
      <c r="N730" s="202"/>
      <c r="O730" s="202"/>
      <c r="P730" s="202"/>
      <c r="Q730" s="202"/>
      <c r="R730" s="202"/>
      <c r="S730" s="202"/>
    </row>
    <row r="731" spans="5:19" x14ac:dyDescent="0.25">
      <c r="F731" t="s">
        <v>937</v>
      </c>
      <c r="G731" t="s">
        <v>120</v>
      </c>
      <c r="H731" t="s">
        <v>479</v>
      </c>
      <c r="J731" s="202"/>
      <c r="K731" s="198"/>
      <c r="L731" s="202"/>
      <c r="M731" s="202"/>
      <c r="N731" s="202"/>
      <c r="O731" s="202"/>
      <c r="P731" s="202"/>
      <c r="Q731" s="202"/>
      <c r="R731" s="202"/>
      <c r="S731" s="202"/>
    </row>
    <row r="732" spans="5:19" x14ac:dyDescent="0.25">
      <c r="F732" t="s">
        <v>938</v>
      </c>
      <c r="G732" t="s">
        <v>120</v>
      </c>
      <c r="H732" t="s">
        <v>479</v>
      </c>
      <c r="J732" s="202"/>
      <c r="K732" s="198"/>
      <c r="L732" s="202"/>
      <c r="M732" s="202"/>
      <c r="N732" s="202"/>
      <c r="O732" s="202"/>
      <c r="P732" s="202"/>
      <c r="Q732" s="202"/>
      <c r="R732" s="202"/>
      <c r="S732" s="202"/>
    </row>
    <row r="733" spans="5:19" x14ac:dyDescent="0.25">
      <c r="F733" t="s">
        <v>939</v>
      </c>
      <c r="G733" t="s">
        <v>120</v>
      </c>
      <c r="H733" t="s">
        <v>479</v>
      </c>
      <c r="J733" s="202"/>
      <c r="K733" s="198"/>
      <c r="L733" s="202"/>
      <c r="M733" s="202"/>
      <c r="N733" s="202"/>
      <c r="O733" s="202"/>
      <c r="P733" s="202"/>
      <c r="Q733" s="202"/>
      <c r="R733" s="202"/>
      <c r="S733" s="202"/>
    </row>
    <row r="734" spans="5:19" x14ac:dyDescent="0.25">
      <c r="F734" s="17" t="s">
        <v>940</v>
      </c>
      <c r="G734" s="17" t="s">
        <v>120</v>
      </c>
      <c r="H734" s="17" t="s">
        <v>479</v>
      </c>
      <c r="I734" s="122"/>
      <c r="J734" s="203"/>
      <c r="K734" s="200"/>
      <c r="L734" s="203"/>
      <c r="M734" s="203"/>
      <c r="N734" s="203"/>
      <c r="O734" s="203"/>
      <c r="P734" s="203"/>
      <c r="Q734" s="203"/>
      <c r="R734" s="203"/>
      <c r="S734" s="203"/>
    </row>
    <row r="735" spans="5:19" x14ac:dyDescent="0.25">
      <c r="J735" s="198"/>
      <c r="K735" s="198"/>
      <c r="L735" s="198"/>
      <c r="M735" s="198"/>
      <c r="N735" s="198"/>
      <c r="O735" s="198"/>
      <c r="P735" s="198"/>
      <c r="Q735" s="198"/>
      <c r="R735" s="198"/>
      <c r="S735" s="198"/>
    </row>
    <row r="736" spans="5:19" x14ac:dyDescent="0.25">
      <c r="E736" s="121" t="s">
        <v>201</v>
      </c>
      <c r="J736" s="198"/>
      <c r="K736" s="198"/>
      <c r="L736" s="198"/>
      <c r="M736" s="198"/>
      <c r="N736" s="198"/>
      <c r="O736" s="198"/>
      <c r="P736" s="198"/>
      <c r="Q736" s="198"/>
      <c r="R736" s="198"/>
      <c r="S736" s="198"/>
    </row>
    <row r="737" spans="6:19" x14ac:dyDescent="0.25">
      <c r="F737" s="80" t="s">
        <v>925</v>
      </c>
      <c r="G737" s="80" t="s">
        <v>120</v>
      </c>
      <c r="H737" s="80" t="s">
        <v>479</v>
      </c>
      <c r="I737" s="94"/>
      <c r="J737" s="201"/>
      <c r="K737" s="196"/>
      <c r="L737" s="201"/>
      <c r="M737" s="201"/>
      <c r="N737" s="201"/>
      <c r="O737" s="201"/>
      <c r="P737" s="201"/>
      <c r="Q737" s="201"/>
      <c r="R737" s="201"/>
      <c r="S737" s="201"/>
    </row>
    <row r="738" spans="6:19" x14ac:dyDescent="0.25">
      <c r="F738" t="s">
        <v>926</v>
      </c>
      <c r="G738" t="s">
        <v>120</v>
      </c>
      <c r="H738" t="s">
        <v>479</v>
      </c>
      <c r="J738" s="197">
        <f t="shared" ref="J738:J741" si="131">CHOOSE(year_selection, L738,M738,N738,O738,P738,Q738,R738,S738)</f>
        <v>158.858</v>
      </c>
      <c r="K738" s="198"/>
      <c r="L738" s="281"/>
      <c r="M738" s="281">
        <v>242.75801310961805</v>
      </c>
      <c r="N738" s="281">
        <v>291.30961573154167</v>
      </c>
      <c r="O738" s="281">
        <v>158.858</v>
      </c>
      <c r="P738" s="281">
        <f t="shared" ref="P738:S741" si="132">$O738</f>
        <v>158.858</v>
      </c>
      <c r="Q738" s="281">
        <f t="shared" si="132"/>
        <v>158.858</v>
      </c>
      <c r="R738" s="281">
        <f t="shared" si="132"/>
        <v>158.858</v>
      </c>
      <c r="S738" s="281">
        <f t="shared" si="132"/>
        <v>158.858</v>
      </c>
    </row>
    <row r="739" spans="6:19" x14ac:dyDescent="0.25">
      <c r="F739" t="s">
        <v>927</v>
      </c>
      <c r="G739" t="s">
        <v>120</v>
      </c>
      <c r="H739" t="s">
        <v>479</v>
      </c>
      <c r="J739" s="197">
        <f t="shared" si="131"/>
        <v>0</v>
      </c>
      <c r="K739" s="198"/>
      <c r="L739" s="281"/>
      <c r="M739" s="281">
        <v>0</v>
      </c>
      <c r="N739" s="281">
        <v>0.34225351450199204</v>
      </c>
      <c r="O739" s="281">
        <v>0</v>
      </c>
      <c r="P739" s="281">
        <f t="shared" si="132"/>
        <v>0</v>
      </c>
      <c r="Q739" s="281">
        <f t="shared" si="132"/>
        <v>0</v>
      </c>
      <c r="R739" s="281">
        <f t="shared" si="132"/>
        <v>0</v>
      </c>
      <c r="S739" s="281">
        <f t="shared" si="132"/>
        <v>0</v>
      </c>
    </row>
    <row r="740" spans="6:19" x14ac:dyDescent="0.25">
      <c r="F740" t="s">
        <v>928</v>
      </c>
      <c r="G740" t="s">
        <v>120</v>
      </c>
      <c r="H740" t="s">
        <v>479</v>
      </c>
      <c r="J740" s="197">
        <f t="shared" si="131"/>
        <v>0</v>
      </c>
      <c r="K740" s="198"/>
      <c r="L740" s="281"/>
      <c r="M740" s="281">
        <v>0</v>
      </c>
      <c r="N740" s="281">
        <v>0</v>
      </c>
      <c r="O740" s="281">
        <v>0</v>
      </c>
      <c r="P740" s="281">
        <f t="shared" si="132"/>
        <v>0</v>
      </c>
      <c r="Q740" s="281">
        <f t="shared" si="132"/>
        <v>0</v>
      </c>
      <c r="R740" s="281">
        <f t="shared" si="132"/>
        <v>0</v>
      </c>
      <c r="S740" s="281">
        <f t="shared" si="132"/>
        <v>0</v>
      </c>
    </row>
    <row r="741" spans="6:19" x14ac:dyDescent="0.25">
      <c r="F741" t="s">
        <v>929</v>
      </c>
      <c r="G741" t="s">
        <v>120</v>
      </c>
      <c r="H741" t="s">
        <v>479</v>
      </c>
      <c r="J741" s="197">
        <f t="shared" si="131"/>
        <v>0</v>
      </c>
      <c r="K741" s="198"/>
      <c r="L741" s="281"/>
      <c r="M741" s="281">
        <v>0</v>
      </c>
      <c r="N741" s="281">
        <v>0</v>
      </c>
      <c r="O741" s="281">
        <v>0</v>
      </c>
      <c r="P741" s="281">
        <f t="shared" si="132"/>
        <v>0</v>
      </c>
      <c r="Q741" s="281">
        <f t="shared" si="132"/>
        <v>0</v>
      </c>
      <c r="R741" s="281">
        <f t="shared" si="132"/>
        <v>0</v>
      </c>
      <c r="S741" s="281">
        <f t="shared" si="132"/>
        <v>0</v>
      </c>
    </row>
    <row r="742" spans="6:19" x14ac:dyDescent="0.25">
      <c r="F742" t="s">
        <v>930</v>
      </c>
      <c r="G742" t="s">
        <v>120</v>
      </c>
      <c r="H742" t="s">
        <v>479</v>
      </c>
      <c r="J742" s="202"/>
      <c r="K742" s="198"/>
      <c r="L742" s="202"/>
      <c r="M742" s="202"/>
      <c r="N742" s="202"/>
      <c r="O742" s="202"/>
      <c r="P742" s="202"/>
      <c r="Q742" s="202"/>
      <c r="R742" s="202"/>
      <c r="S742" s="202"/>
    </row>
    <row r="743" spans="6:19" x14ac:dyDescent="0.25">
      <c r="F743" t="s">
        <v>931</v>
      </c>
      <c r="G743" t="s">
        <v>120</v>
      </c>
      <c r="H743" t="s">
        <v>479</v>
      </c>
      <c r="J743" s="202"/>
      <c r="K743" s="198"/>
      <c r="L743" s="202"/>
      <c r="M743" s="202"/>
      <c r="N743" s="202"/>
      <c r="O743" s="202"/>
      <c r="P743" s="202"/>
      <c r="Q743" s="202"/>
      <c r="R743" s="202"/>
      <c r="S743" s="202"/>
    </row>
    <row r="744" spans="6:19" x14ac:dyDescent="0.25">
      <c r="F744" t="s">
        <v>932</v>
      </c>
      <c r="G744" t="s">
        <v>120</v>
      </c>
      <c r="H744" t="s">
        <v>479</v>
      </c>
      <c r="J744" s="202"/>
      <c r="K744" s="198"/>
      <c r="L744" s="202"/>
      <c r="M744" s="202"/>
      <c r="N744" s="202"/>
      <c r="O744" s="202"/>
      <c r="P744" s="202"/>
      <c r="Q744" s="202"/>
      <c r="R744" s="202"/>
      <c r="S744" s="202"/>
    </row>
    <row r="745" spans="6:19" x14ac:dyDescent="0.25">
      <c r="F745" t="s">
        <v>933</v>
      </c>
      <c r="G745" t="s">
        <v>120</v>
      </c>
      <c r="H745" t="s">
        <v>479</v>
      </c>
      <c r="J745" s="197">
        <f t="shared" ref="J745" si="133">CHOOSE(year_selection, L745,M745,N745,O745,P745,Q745,R745,S745)</f>
        <v>276.19200000000001</v>
      </c>
      <c r="K745" s="198"/>
      <c r="L745" s="281"/>
      <c r="M745" s="281">
        <v>2.7452449082949251</v>
      </c>
      <c r="N745" s="281">
        <v>34.090680618855977</v>
      </c>
      <c r="O745" s="281">
        <v>276.19200000000001</v>
      </c>
      <c r="P745" s="281">
        <f t="shared" ref="P745:S745" si="134">$O745</f>
        <v>276.19200000000001</v>
      </c>
      <c r="Q745" s="281">
        <f t="shared" si="134"/>
        <v>276.19200000000001</v>
      </c>
      <c r="R745" s="281">
        <f t="shared" si="134"/>
        <v>276.19200000000001</v>
      </c>
      <c r="S745" s="281">
        <f t="shared" si="134"/>
        <v>276.19200000000001</v>
      </c>
    </row>
    <row r="746" spans="6:19" x14ac:dyDescent="0.25">
      <c r="F746" t="s">
        <v>934</v>
      </c>
      <c r="G746" t="s">
        <v>120</v>
      </c>
      <c r="H746" t="s">
        <v>479</v>
      </c>
      <c r="J746" s="202"/>
      <c r="K746" s="198"/>
      <c r="L746" s="202"/>
      <c r="M746" s="202"/>
      <c r="N746" s="202"/>
      <c r="O746" s="202"/>
      <c r="P746" s="202"/>
      <c r="Q746" s="202"/>
      <c r="R746" s="202"/>
      <c r="S746" s="202"/>
    </row>
    <row r="747" spans="6:19" x14ac:dyDescent="0.25">
      <c r="F747" t="s">
        <v>935</v>
      </c>
      <c r="G747" t="s">
        <v>120</v>
      </c>
      <c r="H747" t="s">
        <v>479</v>
      </c>
      <c r="J747" s="197">
        <f t="shared" ref="J747" si="135">CHOOSE(year_selection, L747,M747,N747,O747,P747,Q747,R747,S747)</f>
        <v>0</v>
      </c>
      <c r="K747" s="198"/>
      <c r="L747" s="281"/>
      <c r="M747" s="281">
        <v>0</v>
      </c>
      <c r="N747" s="281">
        <v>0</v>
      </c>
      <c r="O747" s="281">
        <v>0</v>
      </c>
      <c r="P747" s="281">
        <f t="shared" ref="P747:S747" si="136">$O747</f>
        <v>0</v>
      </c>
      <c r="Q747" s="281">
        <f t="shared" si="136"/>
        <v>0</v>
      </c>
      <c r="R747" s="281">
        <f t="shared" si="136"/>
        <v>0</v>
      </c>
      <c r="S747" s="281">
        <f t="shared" si="136"/>
        <v>0</v>
      </c>
    </row>
    <row r="748" spans="6:19" x14ac:dyDescent="0.25">
      <c r="F748" t="s">
        <v>936</v>
      </c>
      <c r="G748" t="s">
        <v>120</v>
      </c>
      <c r="H748" t="s">
        <v>479</v>
      </c>
      <c r="J748" s="202"/>
      <c r="K748" s="198"/>
      <c r="L748" s="202"/>
      <c r="M748" s="202"/>
      <c r="N748" s="202"/>
      <c r="O748" s="202"/>
      <c r="P748" s="202"/>
      <c r="Q748" s="202"/>
      <c r="R748" s="202"/>
      <c r="S748" s="202"/>
    </row>
    <row r="749" spans="6:19" x14ac:dyDescent="0.25">
      <c r="F749" t="s">
        <v>937</v>
      </c>
      <c r="G749" t="s">
        <v>120</v>
      </c>
      <c r="H749" t="s">
        <v>479</v>
      </c>
      <c r="J749" s="202"/>
      <c r="K749" s="198"/>
      <c r="L749" s="202"/>
      <c r="M749" s="202"/>
      <c r="N749" s="202"/>
      <c r="O749" s="202"/>
      <c r="P749" s="202"/>
      <c r="Q749" s="202"/>
      <c r="R749" s="202"/>
      <c r="S749" s="202"/>
    </row>
    <row r="750" spans="6:19" x14ac:dyDescent="0.25">
      <c r="F750" t="s">
        <v>938</v>
      </c>
      <c r="G750" t="s">
        <v>120</v>
      </c>
      <c r="H750" t="s">
        <v>479</v>
      </c>
      <c r="J750" s="202"/>
      <c r="K750" s="198"/>
      <c r="L750" s="202"/>
      <c r="M750" s="202"/>
      <c r="N750" s="202"/>
      <c r="O750" s="202"/>
      <c r="P750" s="202"/>
      <c r="Q750" s="202"/>
      <c r="R750" s="202"/>
      <c r="S750" s="202"/>
    </row>
    <row r="751" spans="6:19" x14ac:dyDescent="0.25">
      <c r="F751" t="s">
        <v>939</v>
      </c>
      <c r="G751" t="s">
        <v>120</v>
      </c>
      <c r="H751" t="s">
        <v>479</v>
      </c>
      <c r="J751" s="202"/>
      <c r="K751" s="198"/>
      <c r="L751" s="202"/>
      <c r="M751" s="202"/>
      <c r="N751" s="202"/>
      <c r="O751" s="202"/>
      <c r="P751" s="202"/>
      <c r="Q751" s="202"/>
      <c r="R751" s="202"/>
      <c r="S751" s="202"/>
    </row>
    <row r="752" spans="6:19" x14ac:dyDescent="0.25">
      <c r="F752" s="17" t="s">
        <v>940</v>
      </c>
      <c r="G752" s="17" t="s">
        <v>120</v>
      </c>
      <c r="H752" s="17" t="s">
        <v>479</v>
      </c>
      <c r="I752" s="122"/>
      <c r="J752" s="203"/>
      <c r="K752" s="200"/>
      <c r="L752" s="203"/>
      <c r="M752" s="203"/>
      <c r="N752" s="203"/>
      <c r="O752" s="203"/>
      <c r="P752" s="203"/>
      <c r="Q752" s="203"/>
      <c r="R752" s="203"/>
      <c r="S752" s="203"/>
    </row>
    <row r="753" spans="5:19" x14ac:dyDescent="0.25">
      <c r="J753" s="198"/>
      <c r="K753" s="198"/>
      <c r="L753" s="198"/>
      <c r="M753" s="198"/>
      <c r="N753" s="198"/>
      <c r="O753" s="198"/>
      <c r="P753" s="198"/>
      <c r="Q753" s="198"/>
      <c r="R753" s="198"/>
      <c r="S753" s="198"/>
    </row>
    <row r="754" spans="5:19" x14ac:dyDescent="0.25">
      <c r="E754" s="121" t="s">
        <v>74</v>
      </c>
      <c r="J754" s="198"/>
      <c r="K754" s="198"/>
      <c r="L754" s="198"/>
      <c r="M754" s="198"/>
      <c r="N754" s="198"/>
      <c r="O754" s="198"/>
      <c r="P754" s="198"/>
      <c r="Q754" s="198"/>
      <c r="R754" s="198"/>
      <c r="S754" s="198"/>
    </row>
    <row r="755" spans="5:19" x14ac:dyDescent="0.25">
      <c r="F755" s="80" t="s">
        <v>925</v>
      </c>
      <c r="G755" s="80" t="s">
        <v>74</v>
      </c>
      <c r="H755" s="80" t="s">
        <v>479</v>
      </c>
      <c r="I755" s="94"/>
      <c r="J755" s="201"/>
      <c r="K755" s="196"/>
      <c r="L755" s="201"/>
      <c r="M755" s="201"/>
      <c r="N755" s="201"/>
      <c r="O755" s="201"/>
      <c r="P755" s="201"/>
      <c r="Q755" s="201"/>
      <c r="R755" s="201"/>
      <c r="S755" s="201"/>
    </row>
    <row r="756" spans="5:19" x14ac:dyDescent="0.25">
      <c r="F756" t="s">
        <v>926</v>
      </c>
      <c r="G756" t="s">
        <v>74</v>
      </c>
      <c r="H756" t="s">
        <v>479</v>
      </c>
      <c r="J756" s="197">
        <f t="shared" ref="J756:J759" si="137">CHOOSE(year_selection, L756,M756,N756,O756,P756,Q756,R756,S756)</f>
        <v>61</v>
      </c>
      <c r="K756" s="198"/>
      <c r="L756" s="281"/>
      <c r="M756" s="281">
        <v>63</v>
      </c>
      <c r="N756" s="281">
        <v>61</v>
      </c>
      <c r="O756" s="281">
        <v>61</v>
      </c>
      <c r="P756" s="281">
        <f t="shared" ref="P756:S759" si="138">$O756</f>
        <v>61</v>
      </c>
      <c r="Q756" s="281">
        <f t="shared" si="138"/>
        <v>61</v>
      </c>
      <c r="R756" s="281">
        <f t="shared" si="138"/>
        <v>61</v>
      </c>
      <c r="S756" s="281">
        <f t="shared" si="138"/>
        <v>61</v>
      </c>
    </row>
    <row r="757" spans="5:19" x14ac:dyDescent="0.25">
      <c r="F757" t="s">
        <v>927</v>
      </c>
      <c r="G757" t="s">
        <v>74</v>
      </c>
      <c r="H757" t="s">
        <v>479</v>
      </c>
      <c r="J757" s="197">
        <f t="shared" si="137"/>
        <v>0</v>
      </c>
      <c r="K757" s="198"/>
      <c r="L757" s="281"/>
      <c r="M757" s="281">
        <v>0</v>
      </c>
      <c r="N757" s="281">
        <v>1</v>
      </c>
      <c r="O757" s="281">
        <v>0</v>
      </c>
      <c r="P757" s="281">
        <f t="shared" si="138"/>
        <v>0</v>
      </c>
      <c r="Q757" s="281">
        <f t="shared" si="138"/>
        <v>0</v>
      </c>
      <c r="R757" s="281">
        <f t="shared" si="138"/>
        <v>0</v>
      </c>
      <c r="S757" s="281">
        <f t="shared" si="138"/>
        <v>0</v>
      </c>
    </row>
    <row r="758" spans="5:19" x14ac:dyDescent="0.25">
      <c r="F758" t="s">
        <v>928</v>
      </c>
      <c r="G758" t="s">
        <v>74</v>
      </c>
      <c r="H758" t="s">
        <v>479</v>
      </c>
      <c r="J758" s="197">
        <f t="shared" si="137"/>
        <v>0</v>
      </c>
      <c r="K758" s="198"/>
      <c r="L758" s="281"/>
      <c r="M758" s="281">
        <v>0</v>
      </c>
      <c r="N758" s="281">
        <v>0</v>
      </c>
      <c r="O758" s="281">
        <v>0</v>
      </c>
      <c r="P758" s="281">
        <f t="shared" si="138"/>
        <v>0</v>
      </c>
      <c r="Q758" s="281">
        <f t="shared" si="138"/>
        <v>0</v>
      </c>
      <c r="R758" s="281">
        <f t="shared" si="138"/>
        <v>0</v>
      </c>
      <c r="S758" s="281">
        <f t="shared" si="138"/>
        <v>0</v>
      </c>
    </row>
    <row r="759" spans="5:19" x14ac:dyDescent="0.25">
      <c r="F759" t="s">
        <v>929</v>
      </c>
      <c r="G759" t="s">
        <v>74</v>
      </c>
      <c r="H759" t="s">
        <v>479</v>
      </c>
      <c r="J759" s="197">
        <f t="shared" si="137"/>
        <v>0</v>
      </c>
      <c r="K759" s="198"/>
      <c r="L759" s="281"/>
      <c r="M759" s="281">
        <v>0</v>
      </c>
      <c r="N759" s="281">
        <v>0</v>
      </c>
      <c r="O759" s="281">
        <v>0</v>
      </c>
      <c r="P759" s="281">
        <f t="shared" si="138"/>
        <v>0</v>
      </c>
      <c r="Q759" s="281">
        <f t="shared" si="138"/>
        <v>0</v>
      </c>
      <c r="R759" s="281">
        <f t="shared" si="138"/>
        <v>0</v>
      </c>
      <c r="S759" s="281">
        <f t="shared" si="138"/>
        <v>0</v>
      </c>
    </row>
    <row r="760" spans="5:19" x14ac:dyDescent="0.25">
      <c r="F760" t="s">
        <v>930</v>
      </c>
      <c r="G760" t="s">
        <v>74</v>
      </c>
      <c r="H760" t="s">
        <v>479</v>
      </c>
      <c r="J760" s="202"/>
      <c r="K760" s="198"/>
      <c r="L760" s="202"/>
      <c r="M760" s="202"/>
      <c r="N760" s="202"/>
      <c r="O760" s="202"/>
      <c r="P760" s="202"/>
      <c r="Q760" s="202"/>
      <c r="R760" s="202"/>
      <c r="S760" s="202"/>
    </row>
    <row r="761" spans="5:19" x14ac:dyDescent="0.25">
      <c r="F761" t="s">
        <v>931</v>
      </c>
      <c r="G761" t="s">
        <v>74</v>
      </c>
      <c r="H761" t="s">
        <v>479</v>
      </c>
      <c r="J761" s="202"/>
      <c r="K761" s="198"/>
      <c r="L761" s="202"/>
      <c r="M761" s="202"/>
      <c r="N761" s="202"/>
      <c r="O761" s="202"/>
      <c r="P761" s="202"/>
      <c r="Q761" s="202"/>
      <c r="R761" s="202"/>
      <c r="S761" s="202"/>
    </row>
    <row r="762" spans="5:19" x14ac:dyDescent="0.25">
      <c r="F762" t="s">
        <v>932</v>
      </c>
      <c r="G762" t="s">
        <v>74</v>
      </c>
      <c r="H762" t="s">
        <v>479</v>
      </c>
      <c r="J762" s="202"/>
      <c r="K762" s="198"/>
      <c r="L762" s="202"/>
      <c r="M762" s="202"/>
      <c r="N762" s="202"/>
      <c r="O762" s="202"/>
      <c r="P762" s="202"/>
      <c r="Q762" s="202"/>
      <c r="R762" s="202"/>
      <c r="S762" s="202"/>
    </row>
    <row r="763" spans="5:19" x14ac:dyDescent="0.25">
      <c r="F763" t="s">
        <v>933</v>
      </c>
      <c r="G763" t="s">
        <v>74</v>
      </c>
      <c r="H763" t="s">
        <v>479</v>
      </c>
      <c r="J763" s="197">
        <f t="shared" ref="J763" si="139">CHOOSE(year_selection, L763,M763,N763,O763,P763,Q763,R763,S763)</f>
        <v>62</v>
      </c>
      <c r="K763" s="198"/>
      <c r="L763" s="281"/>
      <c r="M763" s="281">
        <v>3</v>
      </c>
      <c r="N763" s="281">
        <v>6</v>
      </c>
      <c r="O763" s="281">
        <v>62</v>
      </c>
      <c r="P763" s="281">
        <f t="shared" ref="P763:S763" si="140">$O763</f>
        <v>62</v>
      </c>
      <c r="Q763" s="281">
        <f t="shared" si="140"/>
        <v>62</v>
      </c>
      <c r="R763" s="281">
        <f t="shared" si="140"/>
        <v>62</v>
      </c>
      <c r="S763" s="281">
        <f t="shared" si="140"/>
        <v>62</v>
      </c>
    </row>
    <row r="764" spans="5:19" x14ac:dyDescent="0.25">
      <c r="F764" t="s">
        <v>934</v>
      </c>
      <c r="G764" t="s">
        <v>74</v>
      </c>
      <c r="H764" t="s">
        <v>479</v>
      </c>
      <c r="J764" s="202"/>
      <c r="K764" s="198"/>
      <c r="L764" s="202"/>
      <c r="M764" s="202"/>
      <c r="N764" s="202"/>
      <c r="O764" s="202"/>
      <c r="P764" s="202"/>
      <c r="Q764" s="202"/>
      <c r="R764" s="202"/>
      <c r="S764" s="202"/>
    </row>
    <row r="765" spans="5:19" x14ac:dyDescent="0.25">
      <c r="F765" t="s">
        <v>935</v>
      </c>
      <c r="G765" t="s">
        <v>74</v>
      </c>
      <c r="H765" t="s">
        <v>479</v>
      </c>
      <c r="J765" s="197">
        <f t="shared" ref="J765" si="141">CHOOSE(year_selection, L765,M765,N765,O765,P765,Q765,R765,S765)</f>
        <v>0</v>
      </c>
      <c r="K765" s="198"/>
      <c r="L765" s="281"/>
      <c r="M765" s="281">
        <v>0</v>
      </c>
      <c r="N765" s="281">
        <v>0</v>
      </c>
      <c r="O765" s="281">
        <v>0</v>
      </c>
      <c r="P765" s="281">
        <f t="shared" ref="P765:S765" si="142">$O765</f>
        <v>0</v>
      </c>
      <c r="Q765" s="281">
        <f t="shared" si="142"/>
        <v>0</v>
      </c>
      <c r="R765" s="281">
        <f t="shared" si="142"/>
        <v>0</v>
      </c>
      <c r="S765" s="281">
        <f t="shared" si="142"/>
        <v>0</v>
      </c>
    </row>
    <row r="766" spans="5:19" x14ac:dyDescent="0.25">
      <c r="F766" t="s">
        <v>936</v>
      </c>
      <c r="G766" t="s">
        <v>74</v>
      </c>
      <c r="H766" t="s">
        <v>479</v>
      </c>
      <c r="J766" s="202"/>
      <c r="K766" s="198"/>
      <c r="L766" s="202"/>
      <c r="M766" s="202"/>
      <c r="N766" s="202"/>
      <c r="O766" s="202"/>
      <c r="P766" s="202"/>
      <c r="Q766" s="202"/>
      <c r="R766" s="202"/>
      <c r="S766" s="202"/>
    </row>
    <row r="767" spans="5:19" x14ac:dyDescent="0.25">
      <c r="F767" t="s">
        <v>937</v>
      </c>
      <c r="G767" t="s">
        <v>74</v>
      </c>
      <c r="H767" t="s">
        <v>479</v>
      </c>
      <c r="J767" s="202"/>
      <c r="K767" s="198"/>
      <c r="L767" s="202"/>
      <c r="M767" s="202"/>
      <c r="N767" s="202"/>
      <c r="O767" s="202"/>
      <c r="P767" s="202"/>
      <c r="Q767" s="202"/>
      <c r="R767" s="202"/>
      <c r="S767" s="202"/>
    </row>
    <row r="768" spans="5:19" x14ac:dyDescent="0.25">
      <c r="F768" t="s">
        <v>938</v>
      </c>
      <c r="G768" t="s">
        <v>74</v>
      </c>
      <c r="H768" t="s">
        <v>479</v>
      </c>
      <c r="J768" s="202"/>
      <c r="K768" s="198"/>
      <c r="L768" s="202"/>
      <c r="M768" s="202"/>
      <c r="N768" s="202"/>
      <c r="O768" s="202"/>
      <c r="P768" s="202"/>
      <c r="Q768" s="202"/>
      <c r="R768" s="202"/>
      <c r="S768" s="202"/>
    </row>
    <row r="769" spans="5:19" x14ac:dyDescent="0.25">
      <c r="F769" t="s">
        <v>939</v>
      </c>
      <c r="G769" t="s">
        <v>74</v>
      </c>
      <c r="H769" t="s">
        <v>479</v>
      </c>
      <c r="J769" s="202"/>
      <c r="K769" s="198"/>
      <c r="L769" s="202"/>
      <c r="M769" s="202"/>
      <c r="N769" s="202"/>
      <c r="O769" s="202"/>
      <c r="P769" s="202"/>
      <c r="Q769" s="202"/>
      <c r="R769" s="202"/>
      <c r="S769" s="202"/>
    </row>
    <row r="770" spans="5:19" x14ac:dyDescent="0.25">
      <c r="F770" s="17" t="s">
        <v>940</v>
      </c>
      <c r="G770" s="17" t="s">
        <v>74</v>
      </c>
      <c r="H770" s="17" t="s">
        <v>479</v>
      </c>
      <c r="I770" s="122"/>
      <c r="J770" s="203"/>
      <c r="K770" s="200"/>
      <c r="L770" s="203"/>
      <c r="M770" s="203"/>
      <c r="N770" s="203"/>
      <c r="O770" s="203"/>
      <c r="P770" s="203"/>
      <c r="Q770" s="203"/>
      <c r="R770" s="203"/>
      <c r="S770" s="203"/>
    </row>
    <row r="771" spans="5:19" x14ac:dyDescent="0.25">
      <c r="J771" s="198"/>
      <c r="K771" s="198"/>
      <c r="L771" s="198"/>
      <c r="M771" s="198"/>
      <c r="N771" s="198"/>
      <c r="O771" s="198"/>
      <c r="P771" s="198"/>
      <c r="Q771" s="198"/>
      <c r="R771" s="198"/>
      <c r="S771" s="198"/>
    </row>
    <row r="772" spans="5:19" x14ac:dyDescent="0.25">
      <c r="E772" s="121" t="s">
        <v>202</v>
      </c>
      <c r="J772" s="198"/>
      <c r="K772" s="198"/>
      <c r="L772" s="198"/>
      <c r="M772" s="198"/>
      <c r="N772" s="198"/>
      <c r="O772" s="198"/>
      <c r="P772" s="198"/>
      <c r="Q772" s="198"/>
      <c r="R772" s="198"/>
      <c r="S772" s="198"/>
    </row>
    <row r="773" spans="5:19" x14ac:dyDescent="0.25">
      <c r="F773" s="80" t="s">
        <v>925</v>
      </c>
      <c r="G773" s="80" t="s">
        <v>169</v>
      </c>
      <c r="H773" s="80" t="s">
        <v>479</v>
      </c>
      <c r="I773" s="94"/>
      <c r="J773" s="201"/>
      <c r="K773" s="196"/>
      <c r="L773" s="201"/>
      <c r="M773" s="201"/>
      <c r="N773" s="201"/>
      <c r="O773" s="201"/>
      <c r="P773" s="201"/>
      <c r="Q773" s="201"/>
      <c r="R773" s="201"/>
      <c r="S773" s="201"/>
    </row>
    <row r="774" spans="5:19" x14ac:dyDescent="0.25">
      <c r="F774" t="s">
        <v>926</v>
      </c>
      <c r="G774" t="s">
        <v>169</v>
      </c>
      <c r="H774" t="s">
        <v>479</v>
      </c>
      <c r="J774" s="202"/>
      <c r="K774" s="198"/>
      <c r="L774" s="202"/>
      <c r="M774" s="202"/>
      <c r="N774" s="202"/>
      <c r="O774" s="202"/>
      <c r="P774" s="202"/>
      <c r="Q774" s="202"/>
      <c r="R774" s="202"/>
      <c r="S774" s="202"/>
    </row>
    <row r="775" spans="5:19" x14ac:dyDescent="0.25">
      <c r="F775" t="s">
        <v>927</v>
      </c>
      <c r="G775" t="s">
        <v>169</v>
      </c>
      <c r="H775" t="s">
        <v>479</v>
      </c>
      <c r="J775" s="202"/>
      <c r="K775" s="198"/>
      <c r="L775" s="202"/>
      <c r="M775" s="202"/>
      <c r="N775" s="202"/>
      <c r="O775" s="202"/>
      <c r="P775" s="202"/>
      <c r="Q775" s="202"/>
      <c r="R775" s="202"/>
      <c r="S775" s="202"/>
    </row>
    <row r="776" spans="5:19" x14ac:dyDescent="0.25">
      <c r="F776" t="s">
        <v>928</v>
      </c>
      <c r="G776" t="s">
        <v>169</v>
      </c>
      <c r="H776" t="s">
        <v>479</v>
      </c>
      <c r="J776" s="202"/>
      <c r="K776" s="198"/>
      <c r="L776" s="202"/>
      <c r="M776" s="202"/>
      <c r="N776" s="202"/>
      <c r="O776" s="202"/>
      <c r="P776" s="202"/>
      <c r="Q776" s="202"/>
      <c r="R776" s="202"/>
      <c r="S776" s="202"/>
    </row>
    <row r="777" spans="5:19" x14ac:dyDescent="0.25">
      <c r="F777" t="s">
        <v>929</v>
      </c>
      <c r="G777" t="s">
        <v>169</v>
      </c>
      <c r="H777" t="s">
        <v>479</v>
      </c>
      <c r="J777" s="197">
        <f t="shared" ref="J777" si="143">CHOOSE(year_selection, L777,M777,N777,O777,P777,Q777,R777,S777)</f>
        <v>0</v>
      </c>
      <c r="K777" s="198"/>
      <c r="L777" s="281"/>
      <c r="M777" s="281">
        <v>0</v>
      </c>
      <c r="N777" s="281">
        <v>0</v>
      </c>
      <c r="O777" s="281">
        <v>0</v>
      </c>
      <c r="P777" s="281">
        <f t="shared" ref="P777:S777" si="144">$O777</f>
        <v>0</v>
      </c>
      <c r="Q777" s="281">
        <f t="shared" si="144"/>
        <v>0</v>
      </c>
      <c r="R777" s="281">
        <f t="shared" si="144"/>
        <v>0</v>
      </c>
      <c r="S777" s="281">
        <f t="shared" si="144"/>
        <v>0</v>
      </c>
    </row>
    <row r="778" spans="5:19" x14ac:dyDescent="0.25">
      <c r="F778" t="s">
        <v>930</v>
      </c>
      <c r="G778" t="s">
        <v>169</v>
      </c>
      <c r="H778" t="s">
        <v>479</v>
      </c>
      <c r="J778" s="202"/>
      <c r="K778" s="198"/>
      <c r="L778" s="202"/>
      <c r="M778" s="202"/>
      <c r="N778" s="202"/>
      <c r="O778" s="202"/>
      <c r="P778" s="202"/>
      <c r="Q778" s="202"/>
      <c r="R778" s="202"/>
      <c r="S778" s="202"/>
    </row>
    <row r="779" spans="5:19" x14ac:dyDescent="0.25">
      <c r="F779" t="s">
        <v>931</v>
      </c>
      <c r="G779" t="s">
        <v>169</v>
      </c>
      <c r="H779" t="s">
        <v>479</v>
      </c>
      <c r="J779" s="202"/>
      <c r="K779" s="198"/>
      <c r="L779" s="202"/>
      <c r="M779" s="202"/>
      <c r="N779" s="202"/>
      <c r="O779" s="202"/>
      <c r="P779" s="202"/>
      <c r="Q779" s="202"/>
      <c r="R779" s="202"/>
      <c r="S779" s="202"/>
    </row>
    <row r="780" spans="5:19" x14ac:dyDescent="0.25">
      <c r="F780" t="s">
        <v>932</v>
      </c>
      <c r="G780" t="s">
        <v>169</v>
      </c>
      <c r="H780" t="s">
        <v>479</v>
      </c>
      <c r="J780" s="202"/>
      <c r="K780" s="198"/>
      <c r="L780" s="202"/>
      <c r="M780" s="202"/>
      <c r="N780" s="202"/>
      <c r="O780" s="202"/>
      <c r="P780" s="202"/>
      <c r="Q780" s="202"/>
      <c r="R780" s="202"/>
      <c r="S780" s="202"/>
    </row>
    <row r="781" spans="5:19" x14ac:dyDescent="0.25">
      <c r="F781" t="s">
        <v>933</v>
      </c>
      <c r="G781" t="s">
        <v>169</v>
      </c>
      <c r="H781" t="s">
        <v>479</v>
      </c>
      <c r="J781" s="202"/>
      <c r="K781" s="198"/>
      <c r="L781" s="202"/>
      <c r="M781" s="202"/>
      <c r="N781" s="202"/>
      <c r="O781" s="202"/>
      <c r="P781" s="202"/>
      <c r="Q781" s="202"/>
      <c r="R781" s="202"/>
      <c r="S781" s="202"/>
    </row>
    <row r="782" spans="5:19" x14ac:dyDescent="0.25">
      <c r="F782" t="s">
        <v>934</v>
      </c>
      <c r="G782" t="s">
        <v>169</v>
      </c>
      <c r="H782" t="s">
        <v>479</v>
      </c>
      <c r="J782" s="202"/>
      <c r="K782" s="198"/>
      <c r="L782" s="202"/>
      <c r="M782" s="202"/>
      <c r="N782" s="202"/>
      <c r="O782" s="202"/>
      <c r="P782" s="202"/>
      <c r="Q782" s="202"/>
      <c r="R782" s="202"/>
      <c r="S782" s="202"/>
    </row>
    <row r="783" spans="5:19" x14ac:dyDescent="0.25">
      <c r="F783" t="s">
        <v>935</v>
      </c>
      <c r="G783" t="s">
        <v>169</v>
      </c>
      <c r="H783" t="s">
        <v>479</v>
      </c>
      <c r="J783" s="202"/>
      <c r="K783" s="198"/>
      <c r="L783" s="202"/>
      <c r="M783" s="202"/>
      <c r="N783" s="202"/>
      <c r="O783" s="202"/>
      <c r="P783" s="202"/>
      <c r="Q783" s="202"/>
      <c r="R783" s="202"/>
      <c r="S783" s="202"/>
    </row>
    <row r="784" spans="5:19" x14ac:dyDescent="0.25">
      <c r="F784" t="s">
        <v>936</v>
      </c>
      <c r="G784" t="s">
        <v>169</v>
      </c>
      <c r="H784" t="s">
        <v>479</v>
      </c>
      <c r="J784" s="202"/>
      <c r="K784" s="198"/>
      <c r="L784" s="202"/>
      <c r="M784" s="202"/>
      <c r="N784" s="202"/>
      <c r="O784" s="202"/>
      <c r="P784" s="202"/>
      <c r="Q784" s="202"/>
      <c r="R784" s="202"/>
      <c r="S784" s="202"/>
    </row>
    <row r="785" spans="5:19" x14ac:dyDescent="0.25">
      <c r="F785" t="s">
        <v>937</v>
      </c>
      <c r="G785" t="s">
        <v>169</v>
      </c>
      <c r="H785" t="s">
        <v>479</v>
      </c>
      <c r="J785" s="202"/>
      <c r="K785" s="198"/>
      <c r="L785" s="202"/>
      <c r="M785" s="202"/>
      <c r="N785" s="202"/>
      <c r="O785" s="202"/>
      <c r="P785" s="202"/>
      <c r="Q785" s="202"/>
      <c r="R785" s="202"/>
      <c r="S785" s="202"/>
    </row>
    <row r="786" spans="5:19" x14ac:dyDescent="0.25">
      <c r="F786" t="s">
        <v>938</v>
      </c>
      <c r="G786" t="s">
        <v>169</v>
      </c>
      <c r="H786" t="s">
        <v>479</v>
      </c>
      <c r="J786" s="202"/>
      <c r="K786" s="198"/>
      <c r="L786" s="202"/>
      <c r="M786" s="202"/>
      <c r="N786" s="202"/>
      <c r="O786" s="202"/>
      <c r="P786" s="202"/>
      <c r="Q786" s="202"/>
      <c r="R786" s="202"/>
      <c r="S786" s="202"/>
    </row>
    <row r="787" spans="5:19" x14ac:dyDescent="0.25">
      <c r="F787" t="s">
        <v>939</v>
      </c>
      <c r="G787" t="s">
        <v>169</v>
      </c>
      <c r="H787" t="s">
        <v>479</v>
      </c>
      <c r="J787" s="202"/>
      <c r="K787" s="198"/>
      <c r="L787" s="202"/>
      <c r="M787" s="202"/>
      <c r="N787" s="202"/>
      <c r="O787" s="202"/>
      <c r="P787" s="202"/>
      <c r="Q787" s="202"/>
      <c r="R787" s="202"/>
      <c r="S787" s="202"/>
    </row>
    <row r="788" spans="5:19" x14ac:dyDescent="0.25">
      <c r="F788" s="17" t="s">
        <v>940</v>
      </c>
      <c r="G788" s="17" t="s">
        <v>169</v>
      </c>
      <c r="H788" s="17" t="s">
        <v>479</v>
      </c>
      <c r="I788" s="122"/>
      <c r="J788" s="203"/>
      <c r="K788" s="200"/>
      <c r="L788" s="203"/>
      <c r="M788" s="203"/>
      <c r="N788" s="203"/>
      <c r="O788" s="203"/>
      <c r="P788" s="203"/>
      <c r="Q788" s="203"/>
      <c r="R788" s="203"/>
      <c r="S788" s="203"/>
    </row>
    <row r="789" spans="5:19" x14ac:dyDescent="0.25">
      <c r="J789" s="198"/>
      <c r="K789" s="198"/>
      <c r="L789" s="198"/>
      <c r="M789" s="198"/>
      <c r="N789" s="198"/>
      <c r="O789" s="198"/>
      <c r="P789" s="198"/>
      <c r="Q789" s="198"/>
      <c r="R789" s="198"/>
      <c r="S789" s="198"/>
    </row>
    <row r="790" spans="5:19" x14ac:dyDescent="0.25">
      <c r="E790" s="121" t="s">
        <v>203</v>
      </c>
      <c r="J790" s="198"/>
      <c r="K790" s="198"/>
      <c r="L790" s="198"/>
      <c r="M790" s="198"/>
      <c r="N790" s="198"/>
      <c r="O790" s="198"/>
      <c r="P790" s="198"/>
      <c r="Q790" s="198"/>
      <c r="R790" s="198"/>
      <c r="S790" s="198"/>
    </row>
    <row r="791" spans="5:19" x14ac:dyDescent="0.25">
      <c r="F791" s="80" t="s">
        <v>925</v>
      </c>
      <c r="G791" s="80" t="s">
        <v>169</v>
      </c>
      <c r="H791" s="80" t="s">
        <v>479</v>
      </c>
      <c r="I791" s="94"/>
      <c r="J791" s="201"/>
      <c r="K791" s="196"/>
      <c r="L791" s="201"/>
      <c r="M791" s="201"/>
      <c r="N791" s="201"/>
      <c r="O791" s="201"/>
      <c r="P791" s="201"/>
      <c r="Q791" s="201"/>
      <c r="R791" s="201"/>
      <c r="S791" s="201"/>
    </row>
    <row r="792" spans="5:19" x14ac:dyDescent="0.25">
      <c r="F792" t="s">
        <v>926</v>
      </c>
      <c r="G792" t="s">
        <v>169</v>
      </c>
      <c r="H792" t="s">
        <v>479</v>
      </c>
      <c r="J792" s="202"/>
      <c r="K792" s="198"/>
      <c r="L792" s="202"/>
      <c r="M792" s="202"/>
      <c r="N792" s="202"/>
      <c r="O792" s="202"/>
      <c r="P792" s="202"/>
      <c r="Q792" s="202"/>
      <c r="R792" s="202"/>
      <c r="S792" s="202"/>
    </row>
    <row r="793" spans="5:19" x14ac:dyDescent="0.25">
      <c r="F793" t="s">
        <v>927</v>
      </c>
      <c r="G793" t="s">
        <v>169</v>
      </c>
      <c r="H793" t="s">
        <v>479</v>
      </c>
      <c r="J793" s="202"/>
      <c r="K793" s="198"/>
      <c r="L793" s="202"/>
      <c r="M793" s="202"/>
      <c r="N793" s="202"/>
      <c r="O793" s="202"/>
      <c r="P793" s="202"/>
      <c r="Q793" s="202"/>
      <c r="R793" s="202"/>
      <c r="S793" s="202"/>
    </row>
    <row r="794" spans="5:19" x14ac:dyDescent="0.25">
      <c r="F794" t="s">
        <v>928</v>
      </c>
      <c r="G794" t="s">
        <v>169</v>
      </c>
      <c r="H794" t="s">
        <v>479</v>
      </c>
      <c r="J794" s="202"/>
      <c r="K794" s="198"/>
      <c r="L794" s="202"/>
      <c r="M794" s="202"/>
      <c r="N794" s="202"/>
      <c r="O794" s="202"/>
      <c r="P794" s="202"/>
      <c r="Q794" s="202"/>
      <c r="R794" s="202"/>
      <c r="S794" s="202"/>
    </row>
    <row r="795" spans="5:19" x14ac:dyDescent="0.25">
      <c r="F795" t="s">
        <v>929</v>
      </c>
      <c r="G795" t="s">
        <v>169</v>
      </c>
      <c r="H795" t="s">
        <v>479</v>
      </c>
      <c r="J795" s="197">
        <f t="shared" ref="J795" si="145">CHOOSE(year_selection, L795,M795,N795,O795,P795,Q795,R795,S795)</f>
        <v>0</v>
      </c>
      <c r="K795" s="198"/>
      <c r="L795" s="281"/>
      <c r="M795" s="281">
        <v>0</v>
      </c>
      <c r="N795" s="281">
        <v>0</v>
      </c>
      <c r="O795" s="281">
        <v>0</v>
      </c>
      <c r="P795" s="281">
        <f t="shared" ref="P795:S795" si="146">$O795</f>
        <v>0</v>
      </c>
      <c r="Q795" s="281">
        <f t="shared" si="146"/>
        <v>0</v>
      </c>
      <c r="R795" s="281">
        <f t="shared" si="146"/>
        <v>0</v>
      </c>
      <c r="S795" s="281">
        <f t="shared" si="146"/>
        <v>0</v>
      </c>
    </row>
    <row r="796" spans="5:19" x14ac:dyDescent="0.25">
      <c r="F796" t="s">
        <v>930</v>
      </c>
      <c r="G796" t="s">
        <v>169</v>
      </c>
      <c r="H796" t="s">
        <v>479</v>
      </c>
      <c r="J796" s="202"/>
      <c r="K796" s="198"/>
      <c r="L796" s="202"/>
      <c r="M796" s="202"/>
      <c r="N796" s="202"/>
      <c r="O796" s="202"/>
      <c r="P796" s="202"/>
      <c r="Q796" s="202"/>
      <c r="R796" s="202"/>
      <c r="S796" s="202"/>
    </row>
    <row r="797" spans="5:19" x14ac:dyDescent="0.25">
      <c r="F797" t="s">
        <v>931</v>
      </c>
      <c r="G797" t="s">
        <v>169</v>
      </c>
      <c r="H797" t="s">
        <v>479</v>
      </c>
      <c r="J797" s="202"/>
      <c r="K797" s="198"/>
      <c r="L797" s="202"/>
      <c r="M797" s="202"/>
      <c r="N797" s="202"/>
      <c r="O797" s="202"/>
      <c r="P797" s="202"/>
      <c r="Q797" s="202"/>
      <c r="R797" s="202"/>
      <c r="S797" s="202"/>
    </row>
    <row r="798" spans="5:19" x14ac:dyDescent="0.25">
      <c r="F798" t="s">
        <v>932</v>
      </c>
      <c r="G798" t="s">
        <v>169</v>
      </c>
      <c r="H798" t="s">
        <v>479</v>
      </c>
      <c r="J798" s="202"/>
      <c r="K798" s="198"/>
      <c r="L798" s="202"/>
      <c r="M798" s="202"/>
      <c r="N798" s="202"/>
      <c r="O798" s="202"/>
      <c r="P798" s="202"/>
      <c r="Q798" s="202"/>
      <c r="R798" s="202"/>
      <c r="S798" s="202"/>
    </row>
    <row r="799" spans="5:19" x14ac:dyDescent="0.25">
      <c r="F799" t="s">
        <v>933</v>
      </c>
      <c r="G799" t="s">
        <v>169</v>
      </c>
      <c r="H799" t="s">
        <v>479</v>
      </c>
      <c r="J799" s="202"/>
      <c r="K799" s="198"/>
      <c r="L799" s="202"/>
      <c r="M799" s="202"/>
      <c r="N799" s="202"/>
      <c r="O799" s="202"/>
      <c r="P799" s="202"/>
      <c r="Q799" s="202"/>
      <c r="R799" s="202"/>
      <c r="S799" s="202"/>
    </row>
    <row r="800" spans="5:19" x14ac:dyDescent="0.25">
      <c r="F800" t="s">
        <v>934</v>
      </c>
      <c r="G800" t="s">
        <v>169</v>
      </c>
      <c r="H800" t="s">
        <v>479</v>
      </c>
      <c r="J800" s="202"/>
      <c r="K800" s="198"/>
      <c r="L800" s="202"/>
      <c r="M800" s="202"/>
      <c r="N800" s="202"/>
      <c r="O800" s="202"/>
      <c r="P800" s="202"/>
      <c r="Q800" s="202"/>
      <c r="R800" s="202"/>
      <c r="S800" s="202"/>
    </row>
    <row r="801" spans="5:19" x14ac:dyDescent="0.25">
      <c r="F801" t="s">
        <v>935</v>
      </c>
      <c r="G801" t="s">
        <v>169</v>
      </c>
      <c r="H801" t="s">
        <v>479</v>
      </c>
      <c r="J801" s="202"/>
      <c r="K801" s="198"/>
      <c r="L801" s="202"/>
      <c r="M801" s="202"/>
      <c r="N801" s="202"/>
      <c r="O801" s="202"/>
      <c r="P801" s="202"/>
      <c r="Q801" s="202"/>
      <c r="R801" s="202"/>
      <c r="S801" s="202"/>
    </row>
    <row r="802" spans="5:19" x14ac:dyDescent="0.25">
      <c r="F802" t="s">
        <v>936</v>
      </c>
      <c r="G802" t="s">
        <v>169</v>
      </c>
      <c r="H802" t="s">
        <v>479</v>
      </c>
      <c r="J802" s="202"/>
      <c r="K802" s="198"/>
      <c r="L802" s="202"/>
      <c r="M802" s="202"/>
      <c r="N802" s="202"/>
      <c r="O802" s="202"/>
      <c r="P802" s="202"/>
      <c r="Q802" s="202"/>
      <c r="R802" s="202"/>
      <c r="S802" s="202"/>
    </row>
    <row r="803" spans="5:19" x14ac:dyDescent="0.25">
      <c r="F803" t="s">
        <v>937</v>
      </c>
      <c r="G803" t="s">
        <v>169</v>
      </c>
      <c r="H803" t="s">
        <v>479</v>
      </c>
      <c r="J803" s="202"/>
      <c r="K803" s="198"/>
      <c r="L803" s="202"/>
      <c r="M803" s="202"/>
      <c r="N803" s="202"/>
      <c r="O803" s="202"/>
      <c r="P803" s="202"/>
      <c r="Q803" s="202"/>
      <c r="R803" s="202"/>
      <c r="S803" s="202"/>
    </row>
    <row r="804" spans="5:19" x14ac:dyDescent="0.25">
      <c r="F804" t="s">
        <v>938</v>
      </c>
      <c r="G804" t="s">
        <v>169</v>
      </c>
      <c r="H804" t="s">
        <v>479</v>
      </c>
      <c r="J804" s="202"/>
      <c r="K804" s="198"/>
      <c r="L804" s="202"/>
      <c r="M804" s="202"/>
      <c r="N804" s="202"/>
      <c r="O804" s="202"/>
      <c r="P804" s="202"/>
      <c r="Q804" s="202"/>
      <c r="R804" s="202"/>
      <c r="S804" s="202"/>
    </row>
    <row r="805" spans="5:19" x14ac:dyDescent="0.25">
      <c r="F805" t="s">
        <v>939</v>
      </c>
      <c r="G805" t="s">
        <v>169</v>
      </c>
      <c r="H805" t="s">
        <v>479</v>
      </c>
      <c r="J805" s="202"/>
      <c r="K805" s="198"/>
      <c r="L805" s="202"/>
      <c r="M805" s="202"/>
      <c r="N805" s="202"/>
      <c r="O805" s="202"/>
      <c r="P805" s="202"/>
      <c r="Q805" s="202"/>
      <c r="R805" s="202"/>
      <c r="S805" s="202"/>
    </row>
    <row r="806" spans="5:19" x14ac:dyDescent="0.25">
      <c r="F806" s="17" t="s">
        <v>940</v>
      </c>
      <c r="G806" s="17" t="s">
        <v>169</v>
      </c>
      <c r="H806" s="17" t="s">
        <v>479</v>
      </c>
      <c r="I806" s="122"/>
      <c r="J806" s="203"/>
      <c r="K806" s="200"/>
      <c r="L806" s="203"/>
      <c r="M806" s="203"/>
      <c r="N806" s="203"/>
      <c r="O806" s="203"/>
      <c r="P806" s="203"/>
      <c r="Q806" s="203"/>
      <c r="R806" s="203"/>
      <c r="S806" s="203"/>
    </row>
    <row r="807" spans="5:19" x14ac:dyDescent="0.25">
      <c r="J807" s="198"/>
      <c r="K807" s="198"/>
      <c r="L807" s="198"/>
      <c r="M807" s="198"/>
      <c r="N807" s="198"/>
      <c r="O807" s="198"/>
      <c r="P807" s="198"/>
      <c r="Q807" s="198"/>
      <c r="R807" s="198"/>
      <c r="S807" s="198"/>
    </row>
    <row r="808" spans="5:19" x14ac:dyDescent="0.25">
      <c r="E808" s="121" t="s">
        <v>204</v>
      </c>
      <c r="J808" s="198"/>
      <c r="K808" s="198"/>
      <c r="L808" s="198"/>
      <c r="M808" s="198"/>
      <c r="N808" s="198"/>
      <c r="O808" s="198"/>
      <c r="P808" s="198"/>
      <c r="Q808" s="198"/>
      <c r="R808" s="198"/>
      <c r="S808" s="198"/>
    </row>
    <row r="809" spans="5:19" x14ac:dyDescent="0.25">
      <c r="F809" s="80" t="s">
        <v>925</v>
      </c>
      <c r="G809" s="80" t="s">
        <v>170</v>
      </c>
      <c r="H809" s="80" t="s">
        <v>479</v>
      </c>
      <c r="I809" s="94"/>
      <c r="J809" s="201"/>
      <c r="K809" s="196"/>
      <c r="L809" s="201"/>
      <c r="M809" s="201"/>
      <c r="N809" s="201"/>
      <c r="O809" s="201"/>
      <c r="P809" s="201"/>
      <c r="Q809" s="201"/>
      <c r="R809" s="201"/>
      <c r="S809" s="201"/>
    </row>
    <row r="810" spans="5:19" x14ac:dyDescent="0.25">
      <c r="F810" t="s">
        <v>926</v>
      </c>
      <c r="G810" t="s">
        <v>170</v>
      </c>
      <c r="H810" t="s">
        <v>479</v>
      </c>
      <c r="J810" s="202"/>
      <c r="K810" s="198"/>
      <c r="L810" s="202"/>
      <c r="M810" s="202"/>
      <c r="N810" s="202"/>
      <c r="O810" s="202"/>
      <c r="P810" s="202"/>
      <c r="Q810" s="202"/>
      <c r="R810" s="202"/>
      <c r="S810" s="202"/>
    </row>
    <row r="811" spans="5:19" x14ac:dyDescent="0.25">
      <c r="F811" t="s">
        <v>927</v>
      </c>
      <c r="G811" t="s">
        <v>170</v>
      </c>
      <c r="H811" t="s">
        <v>479</v>
      </c>
      <c r="J811" s="202"/>
      <c r="K811" s="198"/>
      <c r="L811" s="202"/>
      <c r="M811" s="202"/>
      <c r="N811" s="202"/>
      <c r="O811" s="202"/>
      <c r="P811" s="202"/>
      <c r="Q811" s="202"/>
      <c r="R811" s="202"/>
      <c r="S811" s="202"/>
    </row>
    <row r="812" spans="5:19" x14ac:dyDescent="0.25">
      <c r="F812" t="s">
        <v>928</v>
      </c>
      <c r="G812" t="s">
        <v>170</v>
      </c>
      <c r="H812" t="s">
        <v>479</v>
      </c>
      <c r="J812" s="202"/>
      <c r="K812" s="198"/>
      <c r="L812" s="202"/>
      <c r="M812" s="202"/>
      <c r="N812" s="202"/>
      <c r="O812" s="202"/>
      <c r="P812" s="202"/>
      <c r="Q812" s="202"/>
      <c r="R812" s="202"/>
      <c r="S812" s="202"/>
    </row>
    <row r="813" spans="5:19" x14ac:dyDescent="0.25">
      <c r="F813" t="s">
        <v>929</v>
      </c>
      <c r="G813" t="s">
        <v>170</v>
      </c>
      <c r="H813" t="s">
        <v>479</v>
      </c>
      <c r="J813" s="197">
        <f t="shared" ref="J813" si="147">CHOOSE(year_selection, L813,M813,N813,O813,P813,Q813,R813,S813)</f>
        <v>0</v>
      </c>
      <c r="K813" s="198"/>
      <c r="L813" s="281"/>
      <c r="M813" s="281">
        <v>0</v>
      </c>
      <c r="N813" s="281">
        <v>0</v>
      </c>
      <c r="O813" s="281">
        <v>0</v>
      </c>
      <c r="P813" s="281">
        <f t="shared" ref="P813:S813" si="148">$O813</f>
        <v>0</v>
      </c>
      <c r="Q813" s="281">
        <f t="shared" si="148"/>
        <v>0</v>
      </c>
      <c r="R813" s="281">
        <f t="shared" si="148"/>
        <v>0</v>
      </c>
      <c r="S813" s="281">
        <f t="shared" si="148"/>
        <v>0</v>
      </c>
    </row>
    <row r="814" spans="5:19" x14ac:dyDescent="0.25">
      <c r="F814" t="s">
        <v>930</v>
      </c>
      <c r="G814" t="s">
        <v>170</v>
      </c>
      <c r="H814" t="s">
        <v>479</v>
      </c>
      <c r="J814" s="463"/>
      <c r="K814" s="464"/>
      <c r="L814" s="463"/>
      <c r="M814" s="463"/>
      <c r="N814" s="463"/>
      <c r="O814" s="463"/>
      <c r="P814" s="463"/>
      <c r="Q814" s="463"/>
      <c r="R814" s="463"/>
      <c r="S814" s="463"/>
    </row>
    <row r="815" spans="5:19" x14ac:dyDescent="0.25">
      <c r="F815" t="s">
        <v>931</v>
      </c>
      <c r="G815" t="s">
        <v>170</v>
      </c>
      <c r="H815" t="s">
        <v>479</v>
      </c>
      <c r="J815" s="463"/>
      <c r="K815" s="464"/>
      <c r="L815" s="463"/>
      <c r="M815" s="463"/>
      <c r="N815" s="463"/>
      <c r="O815" s="463"/>
      <c r="P815" s="463"/>
      <c r="Q815" s="463"/>
      <c r="R815" s="463"/>
      <c r="S815" s="463"/>
    </row>
    <row r="816" spans="5:19" x14ac:dyDescent="0.25">
      <c r="F816" t="s">
        <v>932</v>
      </c>
      <c r="G816" t="s">
        <v>170</v>
      </c>
      <c r="H816" t="s">
        <v>479</v>
      </c>
      <c r="J816" s="202"/>
      <c r="K816" s="198"/>
      <c r="L816" s="202"/>
      <c r="M816" s="202"/>
      <c r="N816" s="202"/>
      <c r="O816" s="202"/>
      <c r="P816" s="202"/>
      <c r="Q816" s="202"/>
      <c r="R816" s="202"/>
      <c r="S816" s="202"/>
    </row>
    <row r="817" spans="3:21" x14ac:dyDescent="0.25">
      <c r="F817" t="s">
        <v>933</v>
      </c>
      <c r="G817" t="s">
        <v>170</v>
      </c>
      <c r="H817" t="s">
        <v>479</v>
      </c>
      <c r="J817" s="202"/>
      <c r="K817" s="198"/>
      <c r="L817" s="202"/>
      <c r="M817" s="202"/>
      <c r="N817" s="202"/>
      <c r="O817" s="202"/>
      <c r="P817" s="202"/>
      <c r="Q817" s="202"/>
      <c r="R817" s="202"/>
      <c r="S817" s="202"/>
    </row>
    <row r="818" spans="3:21" x14ac:dyDescent="0.25">
      <c r="F818" t="s">
        <v>934</v>
      </c>
      <c r="G818" t="s">
        <v>170</v>
      </c>
      <c r="H818" t="s">
        <v>479</v>
      </c>
      <c r="J818" s="202"/>
      <c r="K818" s="198"/>
      <c r="L818" s="202"/>
      <c r="M818" s="202"/>
      <c r="N818" s="202"/>
      <c r="O818" s="202"/>
      <c r="P818" s="202"/>
      <c r="Q818" s="202"/>
      <c r="R818" s="202"/>
      <c r="S818" s="202"/>
    </row>
    <row r="819" spans="3:21" x14ac:dyDescent="0.25">
      <c r="F819" t="s">
        <v>935</v>
      </c>
      <c r="G819" t="s">
        <v>170</v>
      </c>
      <c r="H819" t="s">
        <v>479</v>
      </c>
      <c r="J819" s="197">
        <f t="shared" ref="J819" si="149">CHOOSE(year_selection, L819,M819,N819,O819,P819,Q819,R819,S819)</f>
        <v>0</v>
      </c>
      <c r="K819" s="198"/>
      <c r="L819" s="281"/>
      <c r="M819" s="281">
        <v>0</v>
      </c>
      <c r="N819" s="281">
        <v>0</v>
      </c>
      <c r="O819" s="281">
        <v>0</v>
      </c>
      <c r="P819" s="281">
        <f t="shared" ref="P819:S819" si="150">$O819</f>
        <v>0</v>
      </c>
      <c r="Q819" s="281">
        <f t="shared" si="150"/>
        <v>0</v>
      </c>
      <c r="R819" s="281">
        <f t="shared" si="150"/>
        <v>0</v>
      </c>
      <c r="S819" s="281">
        <f t="shared" si="150"/>
        <v>0</v>
      </c>
    </row>
    <row r="820" spans="3:21" x14ac:dyDescent="0.25">
      <c r="F820" t="s">
        <v>936</v>
      </c>
      <c r="G820" t="s">
        <v>170</v>
      </c>
      <c r="H820" t="s">
        <v>479</v>
      </c>
      <c r="J820" s="202"/>
      <c r="K820" s="198"/>
      <c r="L820" s="202"/>
      <c r="M820" s="202"/>
      <c r="N820" s="202"/>
      <c r="O820" s="202"/>
      <c r="P820" s="202"/>
      <c r="Q820" s="202"/>
      <c r="R820" s="202"/>
      <c r="S820" s="202"/>
    </row>
    <row r="821" spans="3:21" x14ac:dyDescent="0.25">
      <c r="F821" t="s">
        <v>937</v>
      </c>
      <c r="G821" t="s">
        <v>170</v>
      </c>
      <c r="H821" t="s">
        <v>479</v>
      </c>
      <c r="J821" s="202"/>
      <c r="K821" s="198"/>
      <c r="L821" s="202"/>
      <c r="M821" s="202"/>
      <c r="N821" s="202"/>
      <c r="O821" s="202"/>
      <c r="P821" s="202"/>
      <c r="Q821" s="202"/>
      <c r="R821" s="202"/>
      <c r="S821" s="202"/>
    </row>
    <row r="822" spans="3:21" x14ac:dyDescent="0.25">
      <c r="F822" t="s">
        <v>938</v>
      </c>
      <c r="G822" t="s">
        <v>170</v>
      </c>
      <c r="H822" t="s">
        <v>479</v>
      </c>
      <c r="J822" s="202"/>
      <c r="K822" s="198"/>
      <c r="L822" s="202"/>
      <c r="M822" s="202"/>
      <c r="N822" s="202"/>
      <c r="O822" s="202"/>
      <c r="P822" s="202"/>
      <c r="Q822" s="202"/>
      <c r="R822" s="202"/>
      <c r="S822" s="202"/>
    </row>
    <row r="823" spans="3:21" x14ac:dyDescent="0.25">
      <c r="F823" t="s">
        <v>939</v>
      </c>
      <c r="G823" t="s">
        <v>170</v>
      </c>
      <c r="H823" t="s">
        <v>479</v>
      </c>
      <c r="J823" s="202"/>
      <c r="K823" s="198"/>
      <c r="L823" s="202"/>
      <c r="M823" s="202"/>
      <c r="N823" s="202"/>
      <c r="O823" s="202"/>
      <c r="P823" s="202"/>
      <c r="Q823" s="202"/>
      <c r="R823" s="202"/>
      <c r="S823" s="202"/>
    </row>
    <row r="824" spans="3:21" x14ac:dyDescent="0.25">
      <c r="F824" s="17" t="s">
        <v>940</v>
      </c>
      <c r="G824" s="17" t="s">
        <v>170</v>
      </c>
      <c r="H824" s="17" t="s">
        <v>479</v>
      </c>
      <c r="I824" s="122"/>
      <c r="J824" s="203"/>
      <c r="K824" s="200"/>
      <c r="L824" s="203"/>
      <c r="M824" s="203"/>
      <c r="N824" s="203"/>
      <c r="O824" s="203"/>
      <c r="P824" s="203"/>
      <c r="Q824" s="203"/>
      <c r="R824" s="203"/>
      <c r="S824" s="203"/>
    </row>
    <row r="825" spans="3:21" x14ac:dyDescent="0.25">
      <c r="J825" s="198"/>
      <c r="K825" s="198"/>
      <c r="L825" s="198"/>
      <c r="M825" s="198"/>
      <c r="N825" s="198"/>
      <c r="O825" s="198"/>
      <c r="P825" s="198"/>
      <c r="Q825" s="198"/>
      <c r="R825" s="198"/>
      <c r="S825" s="198"/>
    </row>
    <row r="826" spans="3:21" x14ac:dyDescent="0.25">
      <c r="C826" s="5" t="str">
        <f ca="1">INDEX('Version control'!$H$36:$H$62,MATCH($A$1,'Version control'!$F$36:$F$62,0),1)&amp;"-I: LDNO LV volumes - Residual band 1"</f>
        <v>Input 501-I: LDNO LV volumes - Residual band 1</v>
      </c>
      <c r="D826" s="5"/>
      <c r="E826" s="5"/>
      <c r="F826" s="5"/>
      <c r="G826" s="5"/>
      <c r="H826" s="5"/>
      <c r="I826" s="143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</row>
    <row r="827" spans="3:21" x14ac:dyDescent="0.25">
      <c r="D827" s="52"/>
    </row>
    <row r="828" spans="3:21" x14ac:dyDescent="0.25">
      <c r="E828" s="121" t="s">
        <v>199</v>
      </c>
      <c r="I828" s="59" t="s">
        <v>359</v>
      </c>
      <c r="U828" t="s">
        <v>691</v>
      </c>
    </row>
    <row r="829" spans="3:21" x14ac:dyDescent="0.25">
      <c r="F829" s="80" t="s">
        <v>925</v>
      </c>
      <c r="G829" s="80" t="s">
        <v>120</v>
      </c>
      <c r="H829" s="80" t="s">
        <v>479</v>
      </c>
      <c r="I829" s="94"/>
      <c r="J829" s="195">
        <f t="shared" ref="J829" si="151">CHOOSE(year_selection, L829,M829,N829,O829,P829,Q829,R829,S829)</f>
        <v>20086.258114403387</v>
      </c>
      <c r="K829" s="196"/>
      <c r="L829" s="280"/>
      <c r="M829" s="280">
        <v>14506.093184863992</v>
      </c>
      <c r="N829" s="280">
        <v>17396.155553504654</v>
      </c>
      <c r="O829" s="281">
        <v>20086.258114403387</v>
      </c>
      <c r="P829" s="281">
        <f t="shared" ref="P829:S829" si="152">$O829</f>
        <v>20086.258114403387</v>
      </c>
      <c r="Q829" s="281">
        <f t="shared" si="152"/>
        <v>20086.258114403387</v>
      </c>
      <c r="R829" s="281">
        <f t="shared" si="152"/>
        <v>20086.258114403387</v>
      </c>
      <c r="S829" s="281">
        <f t="shared" si="152"/>
        <v>20086.258114403387</v>
      </c>
    </row>
    <row r="830" spans="3:21" x14ac:dyDescent="0.25">
      <c r="F830" t="s">
        <v>926</v>
      </c>
      <c r="G830" t="s">
        <v>120</v>
      </c>
      <c r="H830" t="s">
        <v>479</v>
      </c>
      <c r="J830" s="202"/>
      <c r="K830" s="198"/>
      <c r="L830" s="202"/>
      <c r="M830" s="202"/>
      <c r="N830" s="202"/>
      <c r="O830" s="202"/>
      <c r="P830" s="202"/>
      <c r="Q830" s="202"/>
      <c r="R830" s="202"/>
      <c r="S830" s="202"/>
    </row>
    <row r="831" spans="3:21" x14ac:dyDescent="0.25">
      <c r="F831" t="s">
        <v>927</v>
      </c>
      <c r="G831" t="s">
        <v>120</v>
      </c>
      <c r="H831" t="s">
        <v>479</v>
      </c>
      <c r="J831" s="197">
        <f t="shared" ref="J831" si="153">CHOOSE(year_selection, L831,M831,N831,O831,P831,Q831,R831,S831)</f>
        <v>176.73692201913369</v>
      </c>
      <c r="K831" s="198"/>
      <c r="L831" s="281"/>
      <c r="M831" s="281">
        <v>18.634555945641711</v>
      </c>
      <c r="N831" s="281">
        <v>49.102881172792138</v>
      </c>
      <c r="O831" s="281">
        <v>176.73692201913369</v>
      </c>
      <c r="P831" s="281">
        <f t="shared" ref="P831:S831" si="154">$O831</f>
        <v>176.73692201913369</v>
      </c>
      <c r="Q831" s="281">
        <f t="shared" si="154"/>
        <v>176.73692201913369</v>
      </c>
      <c r="R831" s="281">
        <f t="shared" si="154"/>
        <v>176.73692201913369</v>
      </c>
      <c r="S831" s="281">
        <f t="shared" si="154"/>
        <v>176.73692201913369</v>
      </c>
    </row>
    <row r="832" spans="3:21" x14ac:dyDescent="0.25">
      <c r="F832" t="s">
        <v>928</v>
      </c>
      <c r="G832" t="s">
        <v>120</v>
      </c>
      <c r="H832" t="s">
        <v>479</v>
      </c>
      <c r="J832" s="202"/>
      <c r="K832" s="198"/>
      <c r="L832" s="202"/>
      <c r="M832" s="202"/>
      <c r="N832" s="202"/>
      <c r="O832" s="202"/>
      <c r="P832" s="202"/>
      <c r="Q832" s="202"/>
      <c r="R832" s="202"/>
      <c r="S832" s="202"/>
    </row>
    <row r="833" spans="5:19" x14ac:dyDescent="0.25">
      <c r="F833" t="s">
        <v>929</v>
      </c>
      <c r="G833" t="s">
        <v>120</v>
      </c>
      <c r="H833" t="s">
        <v>479</v>
      </c>
      <c r="J833" s="197">
        <f t="shared" ref="J833" si="155">CHOOSE(year_selection, L833,M833,N833,O833,P833,Q833,R833,S833)</f>
        <v>186.44116259697142</v>
      </c>
      <c r="K833" s="198"/>
      <c r="L833" s="281"/>
      <c r="M833" s="281">
        <v>190.02957415583148</v>
      </c>
      <c r="N833" s="281">
        <v>213.17827608038161</v>
      </c>
      <c r="O833" s="281">
        <v>186.44116259697142</v>
      </c>
      <c r="P833" s="281">
        <f t="shared" ref="P833:S833" si="156">$O833</f>
        <v>186.44116259697142</v>
      </c>
      <c r="Q833" s="281">
        <f t="shared" si="156"/>
        <v>186.44116259697142</v>
      </c>
      <c r="R833" s="281">
        <f t="shared" si="156"/>
        <v>186.44116259697142</v>
      </c>
      <c r="S833" s="281">
        <f t="shared" si="156"/>
        <v>186.44116259697142</v>
      </c>
    </row>
    <row r="834" spans="5:19" x14ac:dyDescent="0.25">
      <c r="F834" t="s">
        <v>930</v>
      </c>
      <c r="G834" t="s">
        <v>120</v>
      </c>
      <c r="H834" t="s">
        <v>479</v>
      </c>
      <c r="J834" s="202"/>
      <c r="K834" s="198"/>
      <c r="L834" s="202"/>
      <c r="M834" s="202"/>
      <c r="N834" s="202"/>
      <c r="O834" s="202"/>
      <c r="P834" s="202"/>
      <c r="Q834" s="202"/>
      <c r="R834" s="202"/>
      <c r="S834" s="202"/>
    </row>
    <row r="835" spans="5:19" x14ac:dyDescent="0.25">
      <c r="F835" t="s">
        <v>931</v>
      </c>
      <c r="G835" t="s">
        <v>120</v>
      </c>
      <c r="H835" t="s">
        <v>479</v>
      </c>
      <c r="J835" s="202"/>
      <c r="K835" s="198"/>
      <c r="L835" s="202"/>
      <c r="M835" s="202"/>
      <c r="N835" s="202"/>
      <c r="O835" s="202"/>
      <c r="P835" s="202"/>
      <c r="Q835" s="202"/>
      <c r="R835" s="202"/>
      <c r="S835" s="202"/>
    </row>
    <row r="836" spans="5:19" x14ac:dyDescent="0.25">
      <c r="F836" t="s">
        <v>932</v>
      </c>
      <c r="G836" t="s">
        <v>120</v>
      </c>
      <c r="H836" t="s">
        <v>479</v>
      </c>
      <c r="J836" s="197">
        <f t="shared" ref="J836" si="157">CHOOSE(year_selection, L836,M836,N836,O836,P836,Q836,R836,S836)</f>
        <v>27.518494778325124</v>
      </c>
      <c r="K836" s="198"/>
      <c r="L836" s="281"/>
      <c r="M836" s="281">
        <v>24.614939761691051</v>
      </c>
      <c r="N836" s="281">
        <v>24.599363046320398</v>
      </c>
      <c r="O836" s="281">
        <v>27.518494778325124</v>
      </c>
      <c r="P836" s="281">
        <f t="shared" ref="P836:S836" si="158">$O836</f>
        <v>27.518494778325124</v>
      </c>
      <c r="Q836" s="281">
        <f t="shared" si="158"/>
        <v>27.518494778325124</v>
      </c>
      <c r="R836" s="281">
        <f t="shared" si="158"/>
        <v>27.518494778325124</v>
      </c>
      <c r="S836" s="281">
        <f t="shared" si="158"/>
        <v>27.518494778325124</v>
      </c>
    </row>
    <row r="837" spans="5:19" x14ac:dyDescent="0.25">
      <c r="F837" t="s">
        <v>933</v>
      </c>
      <c r="G837" t="s">
        <v>120</v>
      </c>
      <c r="H837" t="s">
        <v>479</v>
      </c>
      <c r="J837" s="202"/>
      <c r="K837" s="198"/>
      <c r="L837" s="202"/>
      <c r="M837" s="202"/>
      <c r="N837" s="202"/>
      <c r="O837" s="202"/>
      <c r="P837" s="202"/>
      <c r="Q837" s="202"/>
      <c r="R837" s="202"/>
      <c r="S837" s="202"/>
    </row>
    <row r="838" spans="5:19" x14ac:dyDescent="0.25">
      <c r="F838" t="s">
        <v>934</v>
      </c>
      <c r="G838" t="s">
        <v>120</v>
      </c>
      <c r="H838" t="s">
        <v>479</v>
      </c>
      <c r="J838" s="202"/>
      <c r="K838" s="198"/>
      <c r="L838" s="202"/>
      <c r="M838" s="202"/>
      <c r="N838" s="202"/>
      <c r="O838" s="202"/>
      <c r="P838" s="202"/>
      <c r="Q838" s="202"/>
      <c r="R838" s="202"/>
      <c r="S838" s="202"/>
    </row>
    <row r="839" spans="5:19" x14ac:dyDescent="0.25">
      <c r="F839" t="s">
        <v>935</v>
      </c>
      <c r="G839" t="s">
        <v>120</v>
      </c>
      <c r="H839" t="s">
        <v>479</v>
      </c>
      <c r="J839" s="202"/>
      <c r="K839" s="198"/>
      <c r="L839" s="202"/>
      <c r="M839" s="202"/>
      <c r="N839" s="202"/>
      <c r="O839" s="202"/>
      <c r="P839" s="202"/>
      <c r="Q839" s="202"/>
      <c r="R839" s="202"/>
      <c r="S839" s="202"/>
    </row>
    <row r="840" spans="5:19" x14ac:dyDescent="0.25">
      <c r="F840" t="s">
        <v>936</v>
      </c>
      <c r="G840" t="s">
        <v>120</v>
      </c>
      <c r="H840" t="s">
        <v>479</v>
      </c>
      <c r="J840" s="202"/>
      <c r="K840" s="198"/>
      <c r="L840" s="202"/>
      <c r="M840" s="202"/>
      <c r="N840" s="202"/>
      <c r="O840" s="202"/>
      <c r="P840" s="202"/>
      <c r="Q840" s="202"/>
      <c r="R840" s="202"/>
      <c r="S840" s="202"/>
    </row>
    <row r="841" spans="5:19" x14ac:dyDescent="0.25">
      <c r="F841" t="s">
        <v>937</v>
      </c>
      <c r="G841" t="s">
        <v>120</v>
      </c>
      <c r="H841" t="s">
        <v>479</v>
      </c>
      <c r="J841" s="202"/>
      <c r="K841" s="198"/>
      <c r="L841" s="202"/>
      <c r="M841" s="202"/>
      <c r="N841" s="202"/>
      <c r="O841" s="202"/>
      <c r="P841" s="202"/>
      <c r="Q841" s="202"/>
      <c r="R841" s="202"/>
      <c r="S841" s="202"/>
    </row>
    <row r="842" spans="5:19" x14ac:dyDescent="0.25">
      <c r="F842" t="s">
        <v>938</v>
      </c>
      <c r="G842" t="s">
        <v>120</v>
      </c>
      <c r="H842" t="s">
        <v>479</v>
      </c>
      <c r="J842" s="202"/>
      <c r="K842" s="198"/>
      <c r="L842" s="202"/>
      <c r="M842" s="202"/>
      <c r="N842" s="202"/>
      <c r="O842" s="202"/>
      <c r="P842" s="202"/>
      <c r="Q842" s="202"/>
      <c r="R842" s="202"/>
      <c r="S842" s="202"/>
    </row>
    <row r="843" spans="5:19" x14ac:dyDescent="0.25">
      <c r="F843" t="s">
        <v>939</v>
      </c>
      <c r="G843" t="s">
        <v>120</v>
      </c>
      <c r="H843" t="s">
        <v>479</v>
      </c>
      <c r="J843" s="202"/>
      <c r="K843" s="198"/>
      <c r="L843" s="202"/>
      <c r="M843" s="202"/>
      <c r="N843" s="202"/>
      <c r="O843" s="202"/>
      <c r="P843" s="202"/>
      <c r="Q843" s="202"/>
      <c r="R843" s="202"/>
      <c r="S843" s="202"/>
    </row>
    <row r="844" spans="5:19" x14ac:dyDescent="0.25">
      <c r="F844" s="17" t="s">
        <v>940</v>
      </c>
      <c r="G844" s="17" t="s">
        <v>120</v>
      </c>
      <c r="H844" s="17" t="s">
        <v>479</v>
      </c>
      <c r="I844" s="122"/>
      <c r="J844" s="203"/>
      <c r="K844" s="200"/>
      <c r="L844" s="203"/>
      <c r="M844" s="203"/>
      <c r="N844" s="203"/>
      <c r="O844" s="203"/>
      <c r="P844" s="203"/>
      <c r="Q844" s="203"/>
      <c r="R844" s="203"/>
      <c r="S844" s="203"/>
    </row>
    <row r="845" spans="5:19" x14ac:dyDescent="0.25">
      <c r="J845" s="198"/>
      <c r="K845" s="198"/>
      <c r="L845" s="198"/>
      <c r="M845" s="198"/>
      <c r="N845" s="198"/>
      <c r="O845" s="198"/>
      <c r="P845" s="198"/>
      <c r="Q845" s="198"/>
      <c r="R845" s="198"/>
      <c r="S845" s="198"/>
    </row>
    <row r="846" spans="5:19" x14ac:dyDescent="0.25">
      <c r="E846" s="121" t="s">
        <v>200</v>
      </c>
      <c r="J846" s="198"/>
      <c r="K846" s="198"/>
      <c r="L846" s="198"/>
      <c r="M846" s="198"/>
      <c r="N846" s="198"/>
      <c r="O846" s="198"/>
      <c r="P846" s="198"/>
      <c r="Q846" s="198"/>
      <c r="R846" s="198"/>
      <c r="S846" s="198"/>
    </row>
    <row r="847" spans="5:19" x14ac:dyDescent="0.25">
      <c r="F847" s="80" t="s">
        <v>925</v>
      </c>
      <c r="G847" s="80" t="s">
        <v>120</v>
      </c>
      <c r="H847" s="80" t="s">
        <v>479</v>
      </c>
      <c r="I847" s="94"/>
      <c r="J847" s="195">
        <f t="shared" ref="J847" si="159">CHOOSE(year_selection, L847,M847,N847,O847,P847,Q847,R847,S847)</f>
        <v>69532.309980270977</v>
      </c>
      <c r="K847" s="196"/>
      <c r="L847" s="280"/>
      <c r="M847" s="280">
        <v>51526.892528481541</v>
      </c>
      <c r="N847" s="280">
        <v>61792.457646941279</v>
      </c>
      <c r="O847" s="281">
        <v>69532.309980270977</v>
      </c>
      <c r="P847" s="280">
        <f t="shared" ref="P847:S847" si="160">$O847</f>
        <v>69532.309980270977</v>
      </c>
      <c r="Q847" s="280">
        <f t="shared" si="160"/>
        <v>69532.309980270977</v>
      </c>
      <c r="R847" s="280">
        <f t="shared" si="160"/>
        <v>69532.309980270977</v>
      </c>
      <c r="S847" s="280">
        <f t="shared" si="160"/>
        <v>69532.309980270977</v>
      </c>
    </row>
    <row r="848" spans="5:19" x14ac:dyDescent="0.25">
      <c r="F848" t="s">
        <v>926</v>
      </c>
      <c r="G848" t="s">
        <v>120</v>
      </c>
      <c r="H848" t="s">
        <v>479</v>
      </c>
      <c r="J848" s="202"/>
      <c r="K848" s="198"/>
      <c r="L848" s="202"/>
      <c r="M848" s="202"/>
      <c r="N848" s="202"/>
      <c r="O848" s="202"/>
      <c r="P848" s="202"/>
      <c r="Q848" s="202"/>
      <c r="R848" s="202"/>
      <c r="S848" s="202"/>
    </row>
    <row r="849" spans="5:19" x14ac:dyDescent="0.25">
      <c r="F849" t="s">
        <v>927</v>
      </c>
      <c r="G849" t="s">
        <v>120</v>
      </c>
      <c r="H849" t="s">
        <v>479</v>
      </c>
      <c r="J849" s="197">
        <f t="shared" ref="J849" si="161">CHOOSE(year_selection, L849,M849,N849,O849,P849,Q849,R849,S849)</f>
        <v>915.56999609230968</v>
      </c>
      <c r="K849" s="198"/>
      <c r="L849" s="281"/>
      <c r="M849" s="281">
        <v>100.90418530007076</v>
      </c>
      <c r="N849" s="281">
        <v>265.9093645169458</v>
      </c>
      <c r="O849" s="281">
        <v>915.56999609230968</v>
      </c>
      <c r="P849" s="281">
        <f t="shared" ref="P849:S849" si="162">$O849</f>
        <v>915.56999609230968</v>
      </c>
      <c r="Q849" s="281">
        <f t="shared" si="162"/>
        <v>915.56999609230968</v>
      </c>
      <c r="R849" s="281">
        <f t="shared" si="162"/>
        <v>915.56999609230968</v>
      </c>
      <c r="S849" s="281">
        <f t="shared" si="162"/>
        <v>915.56999609230968</v>
      </c>
    </row>
    <row r="850" spans="5:19" x14ac:dyDescent="0.25">
      <c r="F850" t="s">
        <v>928</v>
      </c>
      <c r="G850" t="s">
        <v>120</v>
      </c>
      <c r="H850" t="s">
        <v>479</v>
      </c>
      <c r="J850" s="202"/>
      <c r="K850" s="198"/>
      <c r="L850" s="202"/>
      <c r="M850" s="202"/>
      <c r="N850" s="202"/>
      <c r="O850" s="202"/>
      <c r="P850" s="202"/>
      <c r="Q850" s="202"/>
      <c r="R850" s="202"/>
      <c r="S850" s="202"/>
    </row>
    <row r="851" spans="5:19" x14ac:dyDescent="0.25">
      <c r="F851" t="s">
        <v>929</v>
      </c>
      <c r="G851" t="s">
        <v>120</v>
      </c>
      <c r="H851" t="s">
        <v>479</v>
      </c>
      <c r="J851" s="197">
        <f t="shared" ref="J851" si="163">CHOOSE(year_selection, L851,M851,N851,O851,P851,Q851,R851,S851)</f>
        <v>839.82213731571881</v>
      </c>
      <c r="K851" s="198"/>
      <c r="L851" s="281"/>
      <c r="M851" s="281">
        <v>856.21259098255814</v>
      </c>
      <c r="N851" s="281">
        <v>960.53234254360598</v>
      </c>
      <c r="O851" s="281">
        <v>839.82213731571881</v>
      </c>
      <c r="P851" s="281">
        <f t="shared" ref="P851:S851" si="164">$O851</f>
        <v>839.82213731571881</v>
      </c>
      <c r="Q851" s="281">
        <f t="shared" si="164"/>
        <v>839.82213731571881</v>
      </c>
      <c r="R851" s="281">
        <f t="shared" si="164"/>
        <v>839.82213731571881</v>
      </c>
      <c r="S851" s="281">
        <f t="shared" si="164"/>
        <v>839.82213731571881</v>
      </c>
    </row>
    <row r="852" spans="5:19" x14ac:dyDescent="0.25">
      <c r="F852" t="s">
        <v>930</v>
      </c>
      <c r="G852" t="s">
        <v>120</v>
      </c>
      <c r="H852" t="s">
        <v>479</v>
      </c>
      <c r="J852" s="202"/>
      <c r="K852" s="198"/>
      <c r="L852" s="202"/>
      <c r="M852" s="202"/>
      <c r="N852" s="202"/>
      <c r="O852" s="202"/>
      <c r="P852" s="202"/>
      <c r="Q852" s="202"/>
      <c r="R852" s="202"/>
      <c r="S852" s="202"/>
    </row>
    <row r="853" spans="5:19" x14ac:dyDescent="0.25">
      <c r="F853" t="s">
        <v>931</v>
      </c>
      <c r="G853" t="s">
        <v>120</v>
      </c>
      <c r="H853" t="s">
        <v>479</v>
      </c>
      <c r="J853" s="202"/>
      <c r="K853" s="198"/>
      <c r="L853" s="202"/>
      <c r="M853" s="202"/>
      <c r="N853" s="202"/>
      <c r="O853" s="202"/>
      <c r="P853" s="202"/>
      <c r="Q853" s="202"/>
      <c r="R853" s="202"/>
      <c r="S853" s="202"/>
    </row>
    <row r="854" spans="5:19" x14ac:dyDescent="0.25">
      <c r="F854" t="s">
        <v>932</v>
      </c>
      <c r="G854" t="s">
        <v>120</v>
      </c>
      <c r="H854" t="s">
        <v>479</v>
      </c>
      <c r="J854" s="197">
        <f t="shared" ref="J854" si="165">CHOOSE(year_selection, L854,M854,N854,O854,P854,Q854,R854,S854)</f>
        <v>308.80785736453203</v>
      </c>
      <c r="K854" s="198"/>
      <c r="L854" s="281"/>
      <c r="M854" s="281">
        <v>304.43927613723559</v>
      </c>
      <c r="N854" s="281">
        <v>276.24352708941359</v>
      </c>
      <c r="O854" s="281">
        <v>308.80785736453203</v>
      </c>
      <c r="P854" s="281">
        <f t="shared" ref="P854:S854" si="166">$O854</f>
        <v>308.80785736453203</v>
      </c>
      <c r="Q854" s="281">
        <f t="shared" si="166"/>
        <v>308.80785736453203</v>
      </c>
      <c r="R854" s="281">
        <f t="shared" si="166"/>
        <v>308.80785736453203</v>
      </c>
      <c r="S854" s="281">
        <f t="shared" si="166"/>
        <v>308.80785736453203</v>
      </c>
    </row>
    <row r="855" spans="5:19" x14ac:dyDescent="0.25">
      <c r="F855" t="s">
        <v>933</v>
      </c>
      <c r="G855" t="s">
        <v>120</v>
      </c>
      <c r="H855" t="s">
        <v>479</v>
      </c>
      <c r="J855" s="202"/>
      <c r="K855" s="198"/>
      <c r="L855" s="202"/>
      <c r="M855" s="202"/>
      <c r="N855" s="202"/>
      <c r="O855" s="202"/>
      <c r="P855" s="202"/>
      <c r="Q855" s="202"/>
      <c r="R855" s="202"/>
      <c r="S855" s="202"/>
    </row>
    <row r="856" spans="5:19" x14ac:dyDescent="0.25">
      <c r="F856" t="s">
        <v>934</v>
      </c>
      <c r="G856" t="s">
        <v>120</v>
      </c>
      <c r="H856" t="s">
        <v>479</v>
      </c>
      <c r="J856" s="202"/>
      <c r="K856" s="198"/>
      <c r="L856" s="202"/>
      <c r="M856" s="202"/>
      <c r="N856" s="202"/>
      <c r="O856" s="202"/>
      <c r="P856" s="202"/>
      <c r="Q856" s="202"/>
      <c r="R856" s="202"/>
      <c r="S856" s="202"/>
    </row>
    <row r="857" spans="5:19" x14ac:dyDescent="0.25">
      <c r="F857" t="s">
        <v>935</v>
      </c>
      <c r="G857" t="s">
        <v>120</v>
      </c>
      <c r="H857" t="s">
        <v>479</v>
      </c>
      <c r="J857" s="202"/>
      <c r="K857" s="198"/>
      <c r="L857" s="202"/>
      <c r="M857" s="202"/>
      <c r="N857" s="202"/>
      <c r="O857" s="202"/>
      <c r="P857" s="202"/>
      <c r="Q857" s="202"/>
      <c r="R857" s="202"/>
      <c r="S857" s="202"/>
    </row>
    <row r="858" spans="5:19" x14ac:dyDescent="0.25">
      <c r="F858" t="s">
        <v>936</v>
      </c>
      <c r="G858" t="s">
        <v>120</v>
      </c>
      <c r="H858" t="s">
        <v>479</v>
      </c>
      <c r="J858" s="202"/>
      <c r="K858" s="198"/>
      <c r="L858" s="202"/>
      <c r="M858" s="202"/>
      <c r="N858" s="202"/>
      <c r="O858" s="202"/>
      <c r="P858" s="202"/>
      <c r="Q858" s="202"/>
      <c r="R858" s="202"/>
      <c r="S858" s="202"/>
    </row>
    <row r="859" spans="5:19" x14ac:dyDescent="0.25">
      <c r="F859" t="s">
        <v>937</v>
      </c>
      <c r="G859" t="s">
        <v>120</v>
      </c>
      <c r="H859" t="s">
        <v>479</v>
      </c>
      <c r="J859" s="202"/>
      <c r="K859" s="198"/>
      <c r="L859" s="202"/>
      <c r="M859" s="202"/>
      <c r="N859" s="202"/>
      <c r="O859" s="202"/>
      <c r="P859" s="202"/>
      <c r="Q859" s="202"/>
      <c r="R859" s="202"/>
      <c r="S859" s="202"/>
    </row>
    <row r="860" spans="5:19" x14ac:dyDescent="0.25">
      <c r="F860" t="s">
        <v>938</v>
      </c>
      <c r="G860" t="s">
        <v>120</v>
      </c>
      <c r="H860" t="s">
        <v>479</v>
      </c>
      <c r="J860" s="202"/>
      <c r="K860" s="198"/>
      <c r="L860" s="202"/>
      <c r="M860" s="202"/>
      <c r="N860" s="202"/>
      <c r="O860" s="202"/>
      <c r="P860" s="202"/>
      <c r="Q860" s="202"/>
      <c r="R860" s="202"/>
      <c r="S860" s="202"/>
    </row>
    <row r="861" spans="5:19" x14ac:dyDescent="0.25">
      <c r="F861" t="s">
        <v>939</v>
      </c>
      <c r="G861" t="s">
        <v>120</v>
      </c>
      <c r="H861" t="s">
        <v>479</v>
      </c>
      <c r="J861" s="202"/>
      <c r="K861" s="198"/>
      <c r="L861" s="202"/>
      <c r="M861" s="202"/>
      <c r="N861" s="202"/>
      <c r="O861" s="202"/>
      <c r="P861" s="202"/>
      <c r="Q861" s="202"/>
      <c r="R861" s="202"/>
      <c r="S861" s="202"/>
    </row>
    <row r="862" spans="5:19" x14ac:dyDescent="0.25">
      <c r="F862" s="17" t="s">
        <v>940</v>
      </c>
      <c r="G862" s="17" t="s">
        <v>120</v>
      </c>
      <c r="H862" s="17" t="s">
        <v>479</v>
      </c>
      <c r="I862" s="122"/>
      <c r="J862" s="203"/>
      <c r="K862" s="200"/>
      <c r="L862" s="203"/>
      <c r="M862" s="203"/>
      <c r="N862" s="203"/>
      <c r="O862" s="203"/>
      <c r="P862" s="203"/>
      <c r="Q862" s="203"/>
      <c r="R862" s="203"/>
      <c r="S862" s="203"/>
    </row>
    <row r="863" spans="5:19" x14ac:dyDescent="0.25">
      <c r="J863" s="198"/>
      <c r="K863" s="198"/>
      <c r="L863" s="198"/>
      <c r="M863" s="198"/>
      <c r="N863" s="198"/>
      <c r="O863" s="198"/>
      <c r="P863" s="198"/>
      <c r="Q863" s="198"/>
      <c r="R863" s="198"/>
      <c r="S863" s="198"/>
    </row>
    <row r="864" spans="5:19" x14ac:dyDescent="0.25">
      <c r="E864" s="121" t="s">
        <v>201</v>
      </c>
      <c r="J864" s="198"/>
      <c r="K864" s="198"/>
      <c r="L864" s="198"/>
      <c r="M864" s="198"/>
      <c r="N864" s="198"/>
      <c r="O864" s="198"/>
      <c r="P864" s="198"/>
      <c r="Q864" s="198"/>
      <c r="R864" s="198"/>
      <c r="S864" s="198"/>
    </row>
    <row r="865" spans="6:19" x14ac:dyDescent="0.25">
      <c r="F865" s="80" t="s">
        <v>925</v>
      </c>
      <c r="G865" s="80" t="s">
        <v>120</v>
      </c>
      <c r="H865" s="80" t="s">
        <v>479</v>
      </c>
      <c r="I865" s="94"/>
      <c r="J865" s="195">
        <f t="shared" ref="J865" si="167">CHOOSE(year_selection, L865,M865,N865,O865,P865,Q865,R865,S865)</f>
        <v>61812.930833280705</v>
      </c>
      <c r="K865" s="196"/>
      <c r="L865" s="280"/>
      <c r="M865" s="280">
        <v>47486.403286654458</v>
      </c>
      <c r="N865" s="280">
        <v>56947.022399554073</v>
      </c>
      <c r="O865" s="280">
        <v>61812.930833280705</v>
      </c>
      <c r="P865" s="280">
        <f t="shared" ref="P865:S865" si="168">$O865</f>
        <v>61812.930833280705</v>
      </c>
      <c r="Q865" s="280">
        <f t="shared" si="168"/>
        <v>61812.930833280705</v>
      </c>
      <c r="R865" s="280">
        <f t="shared" si="168"/>
        <v>61812.930833280705</v>
      </c>
      <c r="S865" s="280">
        <f t="shared" si="168"/>
        <v>61812.930833280705</v>
      </c>
    </row>
    <row r="866" spans="6:19" x14ac:dyDescent="0.25">
      <c r="F866" t="s">
        <v>926</v>
      </c>
      <c r="G866" t="s">
        <v>120</v>
      </c>
      <c r="H866" t="s">
        <v>479</v>
      </c>
      <c r="J866" s="202"/>
      <c r="K866" s="198"/>
      <c r="L866" s="202"/>
      <c r="M866" s="202"/>
      <c r="N866" s="202"/>
      <c r="O866" s="202"/>
      <c r="P866" s="202"/>
      <c r="Q866" s="202"/>
      <c r="R866" s="202"/>
      <c r="S866" s="202"/>
    </row>
    <row r="867" spans="6:19" x14ac:dyDescent="0.25">
      <c r="F867" t="s">
        <v>927</v>
      </c>
      <c r="G867" t="s">
        <v>120</v>
      </c>
      <c r="H867" t="s">
        <v>479</v>
      </c>
      <c r="J867" s="197">
        <f t="shared" ref="J867" si="169">CHOOSE(year_selection, L867,M867,N867,O867,P867,Q867,R867,S867)</f>
        <v>695.14352925185995</v>
      </c>
      <c r="K867" s="198"/>
      <c r="L867" s="281"/>
      <c r="M867" s="281">
        <v>97.536353041465802</v>
      </c>
      <c r="N867" s="281">
        <v>257.05916158423059</v>
      </c>
      <c r="O867" s="281">
        <v>695.14352925185995</v>
      </c>
      <c r="P867" s="281">
        <f t="shared" ref="P867:S867" si="170">$O867</f>
        <v>695.14352925185995</v>
      </c>
      <c r="Q867" s="281">
        <f t="shared" si="170"/>
        <v>695.14352925185995</v>
      </c>
      <c r="R867" s="281">
        <f t="shared" si="170"/>
        <v>695.14352925185995</v>
      </c>
      <c r="S867" s="281">
        <f t="shared" si="170"/>
        <v>695.14352925185995</v>
      </c>
    </row>
    <row r="868" spans="6:19" x14ac:dyDescent="0.25">
      <c r="F868" t="s">
        <v>928</v>
      </c>
      <c r="G868" t="s">
        <v>120</v>
      </c>
      <c r="H868" t="s">
        <v>479</v>
      </c>
      <c r="J868" s="202"/>
      <c r="K868" s="198"/>
      <c r="L868" s="202"/>
      <c r="M868" s="202"/>
      <c r="N868" s="202"/>
      <c r="O868" s="202"/>
      <c r="P868" s="202"/>
      <c r="Q868" s="202"/>
      <c r="R868" s="202"/>
      <c r="S868" s="202"/>
    </row>
    <row r="869" spans="6:19" x14ac:dyDescent="0.25">
      <c r="F869" t="s">
        <v>929</v>
      </c>
      <c r="G869" t="s">
        <v>120</v>
      </c>
      <c r="H869" t="s">
        <v>479</v>
      </c>
      <c r="J869" s="197">
        <f t="shared" ref="J869" si="171">CHOOSE(year_selection, L869,M869,N869,O869,P869,Q869,R869,S869)</f>
        <v>749.20020265161486</v>
      </c>
      <c r="K869" s="198"/>
      <c r="L869" s="281"/>
      <c r="M869" s="281">
        <v>784.34602913733988</v>
      </c>
      <c r="N869" s="281">
        <v>879.95801256588504</v>
      </c>
      <c r="O869" s="281">
        <v>749.20020265161486</v>
      </c>
      <c r="P869" s="281">
        <f t="shared" ref="P869:S869" si="172">$O869</f>
        <v>749.20020265161486</v>
      </c>
      <c r="Q869" s="281">
        <f t="shared" si="172"/>
        <v>749.20020265161486</v>
      </c>
      <c r="R869" s="281">
        <f t="shared" si="172"/>
        <v>749.20020265161486</v>
      </c>
      <c r="S869" s="281">
        <f t="shared" si="172"/>
        <v>749.20020265161486</v>
      </c>
    </row>
    <row r="870" spans="6:19" x14ac:dyDescent="0.25">
      <c r="F870" t="s">
        <v>930</v>
      </c>
      <c r="G870" t="s">
        <v>120</v>
      </c>
      <c r="H870" t="s">
        <v>479</v>
      </c>
      <c r="J870" s="202"/>
      <c r="K870" s="198"/>
      <c r="L870" s="202"/>
      <c r="M870" s="202"/>
      <c r="N870" s="202"/>
      <c r="O870" s="202"/>
      <c r="P870" s="202"/>
      <c r="Q870" s="202"/>
      <c r="R870" s="202"/>
      <c r="S870" s="202"/>
    </row>
    <row r="871" spans="6:19" x14ac:dyDescent="0.25">
      <c r="F871" t="s">
        <v>931</v>
      </c>
      <c r="G871" t="s">
        <v>120</v>
      </c>
      <c r="H871" t="s">
        <v>479</v>
      </c>
      <c r="J871" s="202"/>
      <c r="K871" s="198"/>
      <c r="L871" s="202"/>
      <c r="M871" s="202"/>
      <c r="N871" s="202"/>
      <c r="O871" s="202"/>
      <c r="P871" s="202"/>
      <c r="Q871" s="202"/>
      <c r="R871" s="202"/>
      <c r="S871" s="202"/>
    </row>
    <row r="872" spans="6:19" x14ac:dyDescent="0.25">
      <c r="F872" t="s">
        <v>932</v>
      </c>
      <c r="G872" t="s">
        <v>120</v>
      </c>
      <c r="H872" t="s">
        <v>479</v>
      </c>
      <c r="J872" s="197">
        <f t="shared" ref="J872" si="173">CHOOSE(year_selection, L872,M872,N872,O872,P872,Q872,R872,S872)</f>
        <v>331.63771002463056</v>
      </c>
      <c r="K872" s="198"/>
      <c r="L872" s="281"/>
      <c r="M872" s="281">
        <v>337.46108410107331</v>
      </c>
      <c r="N872" s="281">
        <v>306.88310986426603</v>
      </c>
      <c r="O872" s="281">
        <v>331.63771002463056</v>
      </c>
      <c r="P872" s="281">
        <f t="shared" ref="P872:S872" si="174">$O872</f>
        <v>331.63771002463056</v>
      </c>
      <c r="Q872" s="281">
        <f t="shared" si="174"/>
        <v>331.63771002463056</v>
      </c>
      <c r="R872" s="281">
        <f t="shared" si="174"/>
        <v>331.63771002463056</v>
      </c>
      <c r="S872" s="281">
        <f t="shared" si="174"/>
        <v>331.63771002463056</v>
      </c>
    </row>
    <row r="873" spans="6:19" x14ac:dyDescent="0.25">
      <c r="F873" t="s">
        <v>933</v>
      </c>
      <c r="G873" t="s">
        <v>120</v>
      </c>
      <c r="H873" t="s">
        <v>479</v>
      </c>
      <c r="J873" s="202"/>
      <c r="K873" s="198"/>
      <c r="L873" s="202"/>
      <c r="M873" s="202"/>
      <c r="N873" s="202"/>
      <c r="O873" s="202"/>
      <c r="P873" s="202"/>
      <c r="Q873" s="202"/>
      <c r="R873" s="202"/>
      <c r="S873" s="202"/>
    </row>
    <row r="874" spans="6:19" x14ac:dyDescent="0.25">
      <c r="F874" t="s">
        <v>934</v>
      </c>
      <c r="G874" t="s">
        <v>120</v>
      </c>
      <c r="H874" t="s">
        <v>479</v>
      </c>
      <c r="J874" s="202"/>
      <c r="K874" s="198"/>
      <c r="L874" s="202"/>
      <c r="M874" s="202"/>
      <c r="N874" s="202"/>
      <c r="O874" s="202"/>
      <c r="P874" s="202"/>
      <c r="Q874" s="202"/>
      <c r="R874" s="202"/>
      <c r="S874" s="202"/>
    </row>
    <row r="875" spans="6:19" x14ac:dyDescent="0.25">
      <c r="F875" t="s">
        <v>935</v>
      </c>
      <c r="G875" t="s">
        <v>120</v>
      </c>
      <c r="H875" t="s">
        <v>479</v>
      </c>
      <c r="J875" s="202"/>
      <c r="K875" s="198"/>
      <c r="L875" s="202"/>
      <c r="M875" s="202"/>
      <c r="N875" s="202"/>
      <c r="O875" s="202"/>
      <c r="P875" s="202"/>
      <c r="Q875" s="202"/>
      <c r="R875" s="202"/>
      <c r="S875" s="202"/>
    </row>
    <row r="876" spans="6:19" x14ac:dyDescent="0.25">
      <c r="F876" t="s">
        <v>936</v>
      </c>
      <c r="G876" t="s">
        <v>120</v>
      </c>
      <c r="H876" t="s">
        <v>479</v>
      </c>
      <c r="J876" s="202"/>
      <c r="K876" s="198"/>
      <c r="L876" s="202"/>
      <c r="M876" s="202"/>
      <c r="N876" s="202"/>
      <c r="O876" s="202"/>
      <c r="P876" s="202"/>
      <c r="Q876" s="202"/>
      <c r="R876" s="202"/>
      <c r="S876" s="202"/>
    </row>
    <row r="877" spans="6:19" x14ac:dyDescent="0.25">
      <c r="F877" t="s">
        <v>937</v>
      </c>
      <c r="G877" t="s">
        <v>120</v>
      </c>
      <c r="H877" t="s">
        <v>479</v>
      </c>
      <c r="J877" s="202"/>
      <c r="K877" s="198"/>
      <c r="L877" s="202"/>
      <c r="M877" s="202"/>
      <c r="N877" s="202"/>
      <c r="O877" s="202"/>
      <c r="P877" s="202"/>
      <c r="Q877" s="202"/>
      <c r="R877" s="202"/>
      <c r="S877" s="202"/>
    </row>
    <row r="878" spans="6:19" x14ac:dyDescent="0.25">
      <c r="F878" t="s">
        <v>938</v>
      </c>
      <c r="G878" t="s">
        <v>120</v>
      </c>
      <c r="H878" t="s">
        <v>479</v>
      </c>
      <c r="J878" s="202"/>
      <c r="K878" s="198"/>
      <c r="L878" s="202"/>
      <c r="M878" s="202"/>
      <c r="N878" s="202"/>
      <c r="O878" s="202"/>
      <c r="P878" s="202"/>
      <c r="Q878" s="202"/>
      <c r="R878" s="202"/>
      <c r="S878" s="202"/>
    </row>
    <row r="879" spans="6:19" x14ac:dyDescent="0.25">
      <c r="F879" t="s">
        <v>939</v>
      </c>
      <c r="G879" t="s">
        <v>120</v>
      </c>
      <c r="H879" t="s">
        <v>479</v>
      </c>
      <c r="J879" s="202"/>
      <c r="K879" s="198"/>
      <c r="L879" s="202"/>
      <c r="M879" s="202"/>
      <c r="N879" s="202"/>
      <c r="O879" s="202"/>
      <c r="P879" s="202"/>
      <c r="Q879" s="202"/>
      <c r="R879" s="202"/>
      <c r="S879" s="202"/>
    </row>
    <row r="880" spans="6:19" x14ac:dyDescent="0.25">
      <c r="F880" s="17" t="s">
        <v>940</v>
      </c>
      <c r="G880" s="17" t="s">
        <v>120</v>
      </c>
      <c r="H880" s="17" t="s">
        <v>479</v>
      </c>
      <c r="I880" s="122"/>
      <c r="J880" s="203"/>
      <c r="K880" s="200"/>
      <c r="L880" s="203"/>
      <c r="M880" s="203"/>
      <c r="N880" s="203"/>
      <c r="O880" s="203"/>
      <c r="P880" s="203"/>
      <c r="Q880" s="203"/>
      <c r="R880" s="203"/>
      <c r="S880" s="203"/>
    </row>
    <row r="881" spans="5:19" x14ac:dyDescent="0.25">
      <c r="J881" s="198"/>
      <c r="K881" s="198"/>
      <c r="L881" s="198"/>
      <c r="M881" s="198"/>
      <c r="N881" s="198"/>
      <c r="O881" s="198"/>
      <c r="P881" s="198"/>
      <c r="Q881" s="198"/>
      <c r="R881" s="198"/>
      <c r="S881" s="198"/>
    </row>
    <row r="882" spans="5:19" x14ac:dyDescent="0.25">
      <c r="E882" s="121" t="s">
        <v>74</v>
      </c>
      <c r="J882" s="198"/>
      <c r="K882" s="198"/>
      <c r="L882" s="198"/>
      <c r="M882" s="198"/>
      <c r="N882" s="198"/>
      <c r="O882" s="198"/>
      <c r="P882" s="198"/>
      <c r="Q882" s="198"/>
      <c r="R882" s="198"/>
      <c r="S882" s="198"/>
    </row>
    <row r="883" spans="5:19" x14ac:dyDescent="0.25">
      <c r="F883" s="80" t="s">
        <v>925</v>
      </c>
      <c r="G883" s="80" t="s">
        <v>74</v>
      </c>
      <c r="H883" s="80" t="s">
        <v>479</v>
      </c>
      <c r="I883" s="94"/>
      <c r="J883" s="195">
        <f t="shared" ref="J883" si="175">CHOOSE(year_selection, L883,M883,N883,O883,P883,Q883,R883,S883)</f>
        <v>55364.654773703347</v>
      </c>
      <c r="K883" s="196"/>
      <c r="L883" s="280"/>
      <c r="M883" s="280">
        <v>45191</v>
      </c>
      <c r="N883" s="280">
        <v>50377</v>
      </c>
      <c r="O883" s="281">
        <v>55364.654773703347</v>
      </c>
      <c r="P883" s="280">
        <f t="shared" ref="P883:S883" si="176">$O883</f>
        <v>55364.654773703347</v>
      </c>
      <c r="Q883" s="280">
        <f t="shared" si="176"/>
        <v>55364.654773703347</v>
      </c>
      <c r="R883" s="280">
        <f t="shared" si="176"/>
        <v>55364.654773703347</v>
      </c>
      <c r="S883" s="280">
        <f t="shared" si="176"/>
        <v>55364.654773703347</v>
      </c>
    </row>
    <row r="884" spans="5:19" x14ac:dyDescent="0.25">
      <c r="F884" t="s">
        <v>926</v>
      </c>
      <c r="G884" t="s">
        <v>74</v>
      </c>
      <c r="H884" t="s">
        <v>479</v>
      </c>
      <c r="J884" s="202"/>
      <c r="K884" s="198"/>
      <c r="L884" s="202"/>
      <c r="M884" s="202"/>
      <c r="N884" s="202"/>
      <c r="O884" s="202"/>
      <c r="P884" s="202"/>
      <c r="Q884" s="202"/>
      <c r="R884" s="202"/>
      <c r="S884" s="202"/>
    </row>
    <row r="885" spans="5:19" x14ac:dyDescent="0.25">
      <c r="F885" t="s">
        <v>927</v>
      </c>
      <c r="G885" t="s">
        <v>74</v>
      </c>
      <c r="H885" t="s">
        <v>479</v>
      </c>
      <c r="J885" s="197">
        <f t="shared" ref="J885" si="177">CHOOSE(year_selection, L885,M885,N885,O885,P885,Q885,R885,S885)</f>
        <v>639</v>
      </c>
      <c r="K885" s="198"/>
      <c r="L885" s="281"/>
      <c r="M885" s="281">
        <v>415</v>
      </c>
      <c r="N885" s="281">
        <v>460</v>
      </c>
      <c r="O885" s="281">
        <v>639</v>
      </c>
      <c r="P885" s="281">
        <f t="shared" ref="P885:S885" si="178">$O885</f>
        <v>639</v>
      </c>
      <c r="Q885" s="281">
        <f t="shared" si="178"/>
        <v>639</v>
      </c>
      <c r="R885" s="281">
        <f t="shared" si="178"/>
        <v>639</v>
      </c>
      <c r="S885" s="281">
        <f t="shared" si="178"/>
        <v>639</v>
      </c>
    </row>
    <row r="886" spans="5:19" x14ac:dyDescent="0.25">
      <c r="F886" t="s">
        <v>928</v>
      </c>
      <c r="G886" t="s">
        <v>74</v>
      </c>
      <c r="H886" t="s">
        <v>479</v>
      </c>
      <c r="J886" s="202"/>
      <c r="K886" s="198"/>
      <c r="L886" s="202"/>
      <c r="M886" s="202"/>
      <c r="N886" s="202"/>
      <c r="O886" s="202"/>
      <c r="P886" s="202"/>
      <c r="Q886" s="202"/>
      <c r="R886" s="202"/>
      <c r="S886" s="202"/>
    </row>
    <row r="887" spans="5:19" x14ac:dyDescent="0.25">
      <c r="F887" t="s">
        <v>929</v>
      </c>
      <c r="G887" t="s">
        <v>74</v>
      </c>
      <c r="H887" t="s">
        <v>479</v>
      </c>
      <c r="J887" s="197">
        <f t="shared" ref="J887" si="179">CHOOSE(year_selection, L887,M887,N887,O887,P887,Q887,R887,S887)</f>
        <v>30</v>
      </c>
      <c r="K887" s="198"/>
      <c r="L887" s="281"/>
      <c r="M887" s="281">
        <v>28</v>
      </c>
      <c r="N887" s="281">
        <v>28</v>
      </c>
      <c r="O887" s="281">
        <v>30</v>
      </c>
      <c r="P887" s="281">
        <f t="shared" ref="P887:S887" si="180">$O887</f>
        <v>30</v>
      </c>
      <c r="Q887" s="281">
        <f t="shared" si="180"/>
        <v>30</v>
      </c>
      <c r="R887" s="281">
        <f t="shared" si="180"/>
        <v>30</v>
      </c>
      <c r="S887" s="281">
        <f t="shared" si="180"/>
        <v>30</v>
      </c>
    </row>
    <row r="888" spans="5:19" x14ac:dyDescent="0.25">
      <c r="F888" t="s">
        <v>930</v>
      </c>
      <c r="G888" t="s">
        <v>74</v>
      </c>
      <c r="H888" t="s">
        <v>479</v>
      </c>
      <c r="J888" s="202"/>
      <c r="K888" s="198"/>
      <c r="L888" s="202"/>
      <c r="M888" s="202"/>
      <c r="N888" s="202"/>
      <c r="O888" s="202"/>
      <c r="P888" s="202"/>
      <c r="Q888" s="202"/>
      <c r="R888" s="202"/>
      <c r="S888" s="202"/>
    </row>
    <row r="889" spans="5:19" x14ac:dyDescent="0.25">
      <c r="F889" t="s">
        <v>931</v>
      </c>
      <c r="G889" t="s">
        <v>74</v>
      </c>
      <c r="H889" t="s">
        <v>479</v>
      </c>
      <c r="J889" s="202"/>
      <c r="K889" s="198"/>
      <c r="L889" s="202"/>
      <c r="M889" s="202"/>
      <c r="N889" s="202"/>
      <c r="O889" s="202"/>
      <c r="P889" s="202"/>
      <c r="Q889" s="202"/>
      <c r="R889" s="202"/>
      <c r="S889" s="202"/>
    </row>
    <row r="890" spans="5:19" x14ac:dyDescent="0.25">
      <c r="F890" t="s">
        <v>932</v>
      </c>
      <c r="G890" t="s">
        <v>74</v>
      </c>
      <c r="H890" t="s">
        <v>479</v>
      </c>
      <c r="J890" s="197">
        <f t="shared" ref="J890" si="181">CHOOSE(year_selection, L890,M890,N890,O890,P890,Q890,R890,S890)</f>
        <v>71</v>
      </c>
      <c r="K890" s="198"/>
      <c r="L890" s="281"/>
      <c r="M890" s="281">
        <v>45</v>
      </c>
      <c r="N890" s="281">
        <v>44</v>
      </c>
      <c r="O890" s="281">
        <v>71</v>
      </c>
      <c r="P890" s="281">
        <f t="shared" ref="P890:S890" si="182">$O890</f>
        <v>71</v>
      </c>
      <c r="Q890" s="281">
        <f t="shared" si="182"/>
        <v>71</v>
      </c>
      <c r="R890" s="281">
        <f t="shared" si="182"/>
        <v>71</v>
      </c>
      <c r="S890" s="281">
        <f t="shared" si="182"/>
        <v>71</v>
      </c>
    </row>
    <row r="891" spans="5:19" x14ac:dyDescent="0.25">
      <c r="F891" t="s">
        <v>933</v>
      </c>
      <c r="G891" t="s">
        <v>74</v>
      </c>
      <c r="H891" t="s">
        <v>479</v>
      </c>
      <c r="J891" s="202"/>
      <c r="K891" s="198"/>
      <c r="L891" s="202"/>
      <c r="M891" s="202"/>
      <c r="N891" s="202"/>
      <c r="O891" s="202"/>
      <c r="P891" s="202"/>
      <c r="Q891" s="202"/>
      <c r="R891" s="202"/>
      <c r="S891" s="202"/>
    </row>
    <row r="892" spans="5:19" x14ac:dyDescent="0.25">
      <c r="F892" t="s">
        <v>934</v>
      </c>
      <c r="G892" t="s">
        <v>74</v>
      </c>
      <c r="H892" t="s">
        <v>479</v>
      </c>
      <c r="J892" s="202"/>
      <c r="K892" s="198"/>
      <c r="L892" s="202"/>
      <c r="M892" s="202"/>
      <c r="N892" s="202"/>
      <c r="O892" s="202"/>
      <c r="P892" s="202"/>
      <c r="Q892" s="202"/>
      <c r="R892" s="202"/>
      <c r="S892" s="202"/>
    </row>
    <row r="893" spans="5:19" x14ac:dyDescent="0.25">
      <c r="F893" t="s">
        <v>935</v>
      </c>
      <c r="G893" t="s">
        <v>74</v>
      </c>
      <c r="H893" t="s">
        <v>479</v>
      </c>
      <c r="J893" s="202"/>
      <c r="K893" s="198"/>
      <c r="L893" s="202"/>
      <c r="M893" s="202"/>
      <c r="N893" s="202"/>
      <c r="O893" s="202"/>
      <c r="P893" s="202"/>
      <c r="Q893" s="202"/>
      <c r="R893" s="202"/>
      <c r="S893" s="202"/>
    </row>
    <row r="894" spans="5:19" x14ac:dyDescent="0.25">
      <c r="F894" t="s">
        <v>936</v>
      </c>
      <c r="G894" t="s">
        <v>74</v>
      </c>
      <c r="H894" t="s">
        <v>479</v>
      </c>
      <c r="J894" s="202"/>
      <c r="K894" s="198"/>
      <c r="L894" s="202"/>
      <c r="M894" s="202"/>
      <c r="N894" s="202"/>
      <c r="O894" s="202"/>
      <c r="P894" s="202"/>
      <c r="Q894" s="202"/>
      <c r="R894" s="202"/>
      <c r="S894" s="202"/>
    </row>
    <row r="895" spans="5:19" x14ac:dyDescent="0.25">
      <c r="F895" t="s">
        <v>937</v>
      </c>
      <c r="G895" t="s">
        <v>74</v>
      </c>
      <c r="H895" t="s">
        <v>479</v>
      </c>
      <c r="J895" s="202"/>
      <c r="K895" s="198"/>
      <c r="L895" s="202"/>
      <c r="M895" s="202"/>
      <c r="N895" s="202"/>
      <c r="O895" s="202"/>
      <c r="P895" s="202"/>
      <c r="Q895" s="202"/>
      <c r="R895" s="202"/>
      <c r="S895" s="202"/>
    </row>
    <row r="896" spans="5:19" x14ac:dyDescent="0.25">
      <c r="F896" t="s">
        <v>938</v>
      </c>
      <c r="G896" t="s">
        <v>74</v>
      </c>
      <c r="H896" t="s">
        <v>479</v>
      </c>
      <c r="J896" s="202"/>
      <c r="K896" s="198"/>
      <c r="L896" s="202"/>
      <c r="M896" s="202"/>
      <c r="N896" s="202"/>
      <c r="O896" s="202"/>
      <c r="P896" s="202"/>
      <c r="Q896" s="202"/>
      <c r="R896" s="202"/>
      <c r="S896" s="202"/>
    </row>
    <row r="897" spans="5:19" x14ac:dyDescent="0.25">
      <c r="F897" t="s">
        <v>939</v>
      </c>
      <c r="G897" t="s">
        <v>74</v>
      </c>
      <c r="H897" t="s">
        <v>479</v>
      </c>
      <c r="J897" s="202"/>
      <c r="K897" s="198"/>
      <c r="L897" s="202"/>
      <c r="M897" s="202"/>
      <c r="N897" s="202"/>
      <c r="O897" s="202"/>
      <c r="P897" s="202"/>
      <c r="Q897" s="202"/>
      <c r="R897" s="202"/>
      <c r="S897" s="202"/>
    </row>
    <row r="898" spans="5:19" x14ac:dyDescent="0.25">
      <c r="F898" s="17" t="s">
        <v>940</v>
      </c>
      <c r="G898" s="17" t="s">
        <v>74</v>
      </c>
      <c r="H898" s="17" t="s">
        <v>479</v>
      </c>
      <c r="I898" s="122"/>
      <c r="J898" s="203"/>
      <c r="K898" s="200"/>
      <c r="L898" s="203"/>
      <c r="M898" s="203"/>
      <c r="N898" s="203"/>
      <c r="O898" s="203"/>
      <c r="P898" s="203"/>
      <c r="Q898" s="203"/>
      <c r="R898" s="203"/>
      <c r="S898" s="203"/>
    </row>
    <row r="899" spans="5:19" x14ac:dyDescent="0.25">
      <c r="J899" s="198"/>
      <c r="K899" s="198"/>
      <c r="L899" s="198"/>
      <c r="M899" s="198"/>
      <c r="N899" s="198"/>
      <c r="O899" s="198"/>
      <c r="P899" s="198"/>
      <c r="Q899" s="198"/>
      <c r="R899" s="198"/>
      <c r="S899" s="198"/>
    </row>
    <row r="900" spans="5:19" x14ac:dyDescent="0.25">
      <c r="E900" s="121" t="s">
        <v>202</v>
      </c>
      <c r="J900" s="198"/>
      <c r="K900" s="198"/>
      <c r="L900" s="198"/>
      <c r="M900" s="198"/>
      <c r="N900" s="198"/>
      <c r="O900" s="198"/>
      <c r="P900" s="198"/>
      <c r="Q900" s="198"/>
      <c r="R900" s="198"/>
      <c r="S900" s="198"/>
    </row>
    <row r="901" spans="5:19" x14ac:dyDescent="0.25">
      <c r="F901" s="80" t="s">
        <v>925</v>
      </c>
      <c r="G901" s="80" t="s">
        <v>169</v>
      </c>
      <c r="H901" s="80" t="s">
        <v>479</v>
      </c>
      <c r="I901" s="94"/>
      <c r="J901" s="201"/>
      <c r="K901" s="196"/>
      <c r="L901" s="201"/>
      <c r="M901" s="201"/>
      <c r="N901" s="201"/>
      <c r="O901" s="201"/>
      <c r="P901" s="201"/>
      <c r="Q901" s="201"/>
      <c r="R901" s="201"/>
      <c r="S901" s="201"/>
    </row>
    <row r="902" spans="5:19" x14ac:dyDescent="0.25">
      <c r="F902" t="s">
        <v>926</v>
      </c>
      <c r="G902" t="s">
        <v>169</v>
      </c>
      <c r="H902" t="s">
        <v>479</v>
      </c>
      <c r="J902" s="202"/>
      <c r="K902" s="198"/>
      <c r="L902" s="202"/>
      <c r="M902" s="202"/>
      <c r="N902" s="202"/>
      <c r="O902" s="202"/>
      <c r="P902" s="202"/>
      <c r="Q902" s="202"/>
      <c r="R902" s="202"/>
      <c r="S902" s="202"/>
    </row>
    <row r="903" spans="5:19" x14ac:dyDescent="0.25">
      <c r="F903" t="s">
        <v>927</v>
      </c>
      <c r="G903" t="s">
        <v>169</v>
      </c>
      <c r="H903" t="s">
        <v>479</v>
      </c>
      <c r="J903" s="202"/>
      <c r="K903" s="198"/>
      <c r="L903" s="202"/>
      <c r="M903" s="202"/>
      <c r="N903" s="202"/>
      <c r="O903" s="202"/>
      <c r="P903" s="202"/>
      <c r="Q903" s="202"/>
      <c r="R903" s="202"/>
      <c r="S903" s="202"/>
    </row>
    <row r="904" spans="5:19" x14ac:dyDescent="0.25">
      <c r="F904" t="s">
        <v>928</v>
      </c>
      <c r="G904" t="s">
        <v>169</v>
      </c>
      <c r="H904" t="s">
        <v>479</v>
      </c>
      <c r="J904" s="202"/>
      <c r="K904" s="198"/>
      <c r="L904" s="202"/>
      <c r="M904" s="202"/>
      <c r="N904" s="202"/>
      <c r="O904" s="202"/>
      <c r="P904" s="202"/>
      <c r="Q904" s="202"/>
      <c r="R904" s="202"/>
      <c r="S904" s="202"/>
    </row>
    <row r="905" spans="5:19" x14ac:dyDescent="0.25">
      <c r="F905" t="s">
        <v>929</v>
      </c>
      <c r="G905" t="s">
        <v>169</v>
      </c>
      <c r="H905" t="s">
        <v>479</v>
      </c>
      <c r="J905" s="197">
        <f t="shared" ref="J905" si="183">CHOOSE(year_selection, L905,M905,N905,O905,P905,Q905,R905,S905)</f>
        <v>1490</v>
      </c>
      <c r="K905" s="198"/>
      <c r="L905" s="281"/>
      <c r="M905" s="281">
        <v>1245</v>
      </c>
      <c r="N905" s="281">
        <v>1358</v>
      </c>
      <c r="O905" s="281">
        <v>1490</v>
      </c>
      <c r="P905" s="281">
        <f t="shared" ref="P905:S905" si="184">$O905</f>
        <v>1490</v>
      </c>
      <c r="Q905" s="281">
        <f t="shared" si="184"/>
        <v>1490</v>
      </c>
      <c r="R905" s="281">
        <f t="shared" si="184"/>
        <v>1490</v>
      </c>
      <c r="S905" s="281">
        <f t="shared" si="184"/>
        <v>1490</v>
      </c>
    </row>
    <row r="906" spans="5:19" x14ac:dyDescent="0.25">
      <c r="F906" t="s">
        <v>930</v>
      </c>
      <c r="G906" t="s">
        <v>169</v>
      </c>
      <c r="H906" t="s">
        <v>479</v>
      </c>
      <c r="J906" s="202"/>
      <c r="K906" s="198"/>
      <c r="L906" s="202"/>
      <c r="M906" s="202"/>
      <c r="N906" s="202"/>
      <c r="O906" s="202"/>
      <c r="P906" s="202"/>
      <c r="Q906" s="202"/>
      <c r="R906" s="202"/>
      <c r="S906" s="202"/>
    </row>
    <row r="907" spans="5:19" x14ac:dyDescent="0.25">
      <c r="F907" t="s">
        <v>931</v>
      </c>
      <c r="G907" t="s">
        <v>169</v>
      </c>
      <c r="H907" t="s">
        <v>479</v>
      </c>
      <c r="J907" s="202"/>
      <c r="K907" s="198"/>
      <c r="L907" s="202"/>
      <c r="M907" s="202"/>
      <c r="N907" s="202"/>
      <c r="O907" s="202"/>
      <c r="P907" s="202"/>
      <c r="Q907" s="202"/>
      <c r="R907" s="202"/>
      <c r="S907" s="202"/>
    </row>
    <row r="908" spans="5:19" x14ac:dyDescent="0.25">
      <c r="F908" t="s">
        <v>932</v>
      </c>
      <c r="G908" t="s">
        <v>169</v>
      </c>
      <c r="H908" t="s">
        <v>479</v>
      </c>
      <c r="J908" s="202"/>
      <c r="K908" s="198"/>
      <c r="L908" s="202"/>
      <c r="M908" s="202"/>
      <c r="N908" s="202"/>
      <c r="O908" s="202"/>
      <c r="P908" s="202"/>
      <c r="Q908" s="202"/>
      <c r="R908" s="202"/>
      <c r="S908" s="202"/>
    </row>
    <row r="909" spans="5:19" x14ac:dyDescent="0.25">
      <c r="F909" t="s">
        <v>933</v>
      </c>
      <c r="G909" t="s">
        <v>169</v>
      </c>
      <c r="H909" t="s">
        <v>479</v>
      </c>
      <c r="J909" s="202"/>
      <c r="K909" s="198"/>
      <c r="L909" s="202"/>
      <c r="M909" s="202"/>
      <c r="N909" s="202"/>
      <c r="O909" s="202"/>
      <c r="P909" s="202"/>
      <c r="Q909" s="202"/>
      <c r="R909" s="202"/>
      <c r="S909" s="202"/>
    </row>
    <row r="910" spans="5:19" x14ac:dyDescent="0.25">
      <c r="F910" t="s">
        <v>934</v>
      </c>
      <c r="G910" t="s">
        <v>169</v>
      </c>
      <c r="H910" t="s">
        <v>479</v>
      </c>
      <c r="J910" s="202"/>
      <c r="K910" s="198"/>
      <c r="L910" s="202"/>
      <c r="M910" s="202"/>
      <c r="N910" s="202"/>
      <c r="O910" s="202"/>
      <c r="P910" s="202"/>
      <c r="Q910" s="202"/>
      <c r="R910" s="202"/>
      <c r="S910" s="202"/>
    </row>
    <row r="911" spans="5:19" x14ac:dyDescent="0.25">
      <c r="F911" t="s">
        <v>935</v>
      </c>
      <c r="G911" t="s">
        <v>169</v>
      </c>
      <c r="H911" t="s">
        <v>479</v>
      </c>
      <c r="J911" s="202"/>
      <c r="K911" s="198"/>
      <c r="L911" s="202"/>
      <c r="M911" s="202"/>
      <c r="N911" s="202"/>
      <c r="O911" s="202"/>
      <c r="P911" s="202"/>
      <c r="Q911" s="202"/>
      <c r="R911" s="202"/>
      <c r="S911" s="202"/>
    </row>
    <row r="912" spans="5:19" x14ac:dyDescent="0.25">
      <c r="F912" t="s">
        <v>936</v>
      </c>
      <c r="G912" t="s">
        <v>169</v>
      </c>
      <c r="H912" t="s">
        <v>479</v>
      </c>
      <c r="J912" s="202"/>
      <c r="K912" s="198"/>
      <c r="L912" s="202"/>
      <c r="M912" s="202"/>
      <c r="N912" s="202"/>
      <c r="O912" s="202"/>
      <c r="P912" s="202"/>
      <c r="Q912" s="202"/>
      <c r="R912" s="202"/>
      <c r="S912" s="202"/>
    </row>
    <row r="913" spans="5:19" x14ac:dyDescent="0.25">
      <c r="F913" t="s">
        <v>937</v>
      </c>
      <c r="G913" t="s">
        <v>169</v>
      </c>
      <c r="H913" t="s">
        <v>479</v>
      </c>
      <c r="J913" s="202"/>
      <c r="K913" s="198"/>
      <c r="L913" s="202"/>
      <c r="M913" s="202"/>
      <c r="N913" s="202"/>
      <c r="O913" s="202"/>
      <c r="P913" s="202"/>
      <c r="Q913" s="202"/>
      <c r="R913" s="202"/>
      <c r="S913" s="202"/>
    </row>
    <row r="914" spans="5:19" x14ac:dyDescent="0.25">
      <c r="F914" t="s">
        <v>938</v>
      </c>
      <c r="G914" t="s">
        <v>169</v>
      </c>
      <c r="H914" t="s">
        <v>479</v>
      </c>
      <c r="J914" s="202"/>
      <c r="K914" s="198"/>
      <c r="L914" s="202"/>
      <c r="M914" s="202"/>
      <c r="N914" s="202"/>
      <c r="O914" s="202"/>
      <c r="P914" s="202"/>
      <c r="Q914" s="202"/>
      <c r="R914" s="202"/>
      <c r="S914" s="202"/>
    </row>
    <row r="915" spans="5:19" x14ac:dyDescent="0.25">
      <c r="F915" t="s">
        <v>939</v>
      </c>
      <c r="G915" t="s">
        <v>169</v>
      </c>
      <c r="H915" t="s">
        <v>479</v>
      </c>
      <c r="J915" s="202"/>
      <c r="K915" s="198"/>
      <c r="L915" s="202"/>
      <c r="M915" s="202"/>
      <c r="N915" s="202"/>
      <c r="O915" s="202"/>
      <c r="P915" s="202"/>
      <c r="Q915" s="202"/>
      <c r="R915" s="202"/>
      <c r="S915" s="202"/>
    </row>
    <row r="916" spans="5:19" x14ac:dyDescent="0.25">
      <c r="F916" s="17" t="s">
        <v>940</v>
      </c>
      <c r="G916" s="17" t="s">
        <v>169</v>
      </c>
      <c r="H916" s="17" t="s">
        <v>479</v>
      </c>
      <c r="I916" s="122"/>
      <c r="J916" s="203"/>
      <c r="K916" s="200"/>
      <c r="L916" s="203"/>
      <c r="M916" s="203"/>
      <c r="N916" s="203"/>
      <c r="O916" s="203"/>
      <c r="P916" s="203"/>
      <c r="Q916" s="203"/>
      <c r="R916" s="203"/>
      <c r="S916" s="203"/>
    </row>
    <row r="917" spans="5:19" x14ac:dyDescent="0.25">
      <c r="J917" s="198"/>
      <c r="K917" s="198"/>
      <c r="L917" s="198"/>
      <c r="M917" s="198"/>
      <c r="N917" s="198"/>
      <c r="O917" s="198"/>
      <c r="P917" s="198"/>
      <c r="Q917" s="198"/>
      <c r="R917" s="198"/>
      <c r="S917" s="198"/>
    </row>
    <row r="918" spans="5:19" x14ac:dyDescent="0.25">
      <c r="E918" s="121" t="s">
        <v>203</v>
      </c>
      <c r="J918" s="198"/>
      <c r="K918" s="198"/>
      <c r="L918" s="198"/>
      <c r="M918" s="198"/>
      <c r="N918" s="198"/>
      <c r="O918" s="198"/>
      <c r="P918" s="198"/>
      <c r="Q918" s="198"/>
      <c r="R918" s="198"/>
      <c r="S918" s="198"/>
    </row>
    <row r="919" spans="5:19" x14ac:dyDescent="0.25">
      <c r="F919" s="80" t="s">
        <v>925</v>
      </c>
      <c r="G919" s="80" t="s">
        <v>169</v>
      </c>
      <c r="H919" s="80" t="s">
        <v>479</v>
      </c>
      <c r="I919" s="94"/>
      <c r="J919" s="201"/>
      <c r="K919" s="196"/>
      <c r="L919" s="201"/>
      <c r="M919" s="201"/>
      <c r="N919" s="201"/>
      <c r="O919" s="201"/>
      <c r="P919" s="201"/>
      <c r="Q919" s="201"/>
      <c r="R919" s="201"/>
      <c r="S919" s="201"/>
    </row>
    <row r="920" spans="5:19" x14ac:dyDescent="0.25">
      <c r="F920" t="s">
        <v>926</v>
      </c>
      <c r="G920" t="s">
        <v>169</v>
      </c>
      <c r="H920" t="s">
        <v>479</v>
      </c>
      <c r="J920" s="202"/>
      <c r="K920" s="198"/>
      <c r="L920" s="202"/>
      <c r="M920" s="202"/>
      <c r="N920" s="202"/>
      <c r="O920" s="202"/>
      <c r="P920" s="202"/>
      <c r="Q920" s="202"/>
      <c r="R920" s="202"/>
      <c r="S920" s="202"/>
    </row>
    <row r="921" spans="5:19" x14ac:dyDescent="0.25">
      <c r="F921" t="s">
        <v>927</v>
      </c>
      <c r="G921" t="s">
        <v>169</v>
      </c>
      <c r="H921" t="s">
        <v>479</v>
      </c>
      <c r="J921" s="202"/>
      <c r="K921" s="198"/>
      <c r="L921" s="202"/>
      <c r="M921" s="202"/>
      <c r="N921" s="202"/>
      <c r="O921" s="202"/>
      <c r="P921" s="202"/>
      <c r="Q921" s="202"/>
      <c r="R921" s="202"/>
      <c r="S921" s="202"/>
    </row>
    <row r="922" spans="5:19" x14ac:dyDescent="0.25">
      <c r="F922" t="s">
        <v>928</v>
      </c>
      <c r="G922" t="s">
        <v>169</v>
      </c>
      <c r="H922" t="s">
        <v>479</v>
      </c>
      <c r="J922" s="202"/>
      <c r="K922" s="198"/>
      <c r="L922" s="202"/>
      <c r="M922" s="202"/>
      <c r="N922" s="202"/>
      <c r="O922" s="202"/>
      <c r="P922" s="202"/>
      <c r="Q922" s="202"/>
      <c r="R922" s="202"/>
      <c r="S922" s="202"/>
    </row>
    <row r="923" spans="5:19" x14ac:dyDescent="0.25">
      <c r="F923" t="s">
        <v>929</v>
      </c>
      <c r="G923" t="s">
        <v>169</v>
      </c>
      <c r="H923" t="s">
        <v>479</v>
      </c>
      <c r="J923" s="197">
        <f t="shared" ref="J923" si="185">CHOOSE(year_selection, L923,M923,N923,O923,P923,Q923,R923,S923)</f>
        <v>5</v>
      </c>
      <c r="K923" s="198"/>
      <c r="L923" s="281"/>
      <c r="M923" s="281">
        <v>4</v>
      </c>
      <c r="N923" s="281">
        <v>6</v>
      </c>
      <c r="O923" s="281">
        <v>5</v>
      </c>
      <c r="P923" s="281">
        <f t="shared" ref="P923:S923" si="186">$O923</f>
        <v>5</v>
      </c>
      <c r="Q923" s="281">
        <f t="shared" si="186"/>
        <v>5</v>
      </c>
      <c r="R923" s="281">
        <f t="shared" si="186"/>
        <v>5</v>
      </c>
      <c r="S923" s="281">
        <f t="shared" si="186"/>
        <v>5</v>
      </c>
    </row>
    <row r="924" spans="5:19" x14ac:dyDescent="0.25">
      <c r="F924" t="s">
        <v>930</v>
      </c>
      <c r="G924" t="s">
        <v>169</v>
      </c>
      <c r="H924" t="s">
        <v>479</v>
      </c>
      <c r="J924" s="202"/>
      <c r="K924" s="198"/>
      <c r="L924" s="202"/>
      <c r="M924" s="202"/>
      <c r="N924" s="202"/>
      <c r="O924" s="202"/>
      <c r="P924" s="202"/>
      <c r="Q924" s="202"/>
      <c r="R924" s="202"/>
      <c r="S924" s="202"/>
    </row>
    <row r="925" spans="5:19" x14ac:dyDescent="0.25">
      <c r="F925" t="s">
        <v>931</v>
      </c>
      <c r="G925" t="s">
        <v>169</v>
      </c>
      <c r="H925" t="s">
        <v>479</v>
      </c>
      <c r="J925" s="202"/>
      <c r="K925" s="198"/>
      <c r="L925" s="202"/>
      <c r="M925" s="202"/>
      <c r="N925" s="202"/>
      <c r="O925" s="202"/>
      <c r="P925" s="202"/>
      <c r="Q925" s="202"/>
      <c r="R925" s="202"/>
      <c r="S925" s="202"/>
    </row>
    <row r="926" spans="5:19" x14ac:dyDescent="0.25">
      <c r="F926" t="s">
        <v>932</v>
      </c>
      <c r="G926" t="s">
        <v>169</v>
      </c>
      <c r="H926" t="s">
        <v>479</v>
      </c>
      <c r="J926" s="202"/>
      <c r="K926" s="198"/>
      <c r="L926" s="202"/>
      <c r="M926" s="202"/>
      <c r="N926" s="202"/>
      <c r="O926" s="202"/>
      <c r="P926" s="202"/>
      <c r="Q926" s="202"/>
      <c r="R926" s="202"/>
      <c r="S926" s="202"/>
    </row>
    <row r="927" spans="5:19" x14ac:dyDescent="0.25">
      <c r="F927" t="s">
        <v>933</v>
      </c>
      <c r="G927" t="s">
        <v>169</v>
      </c>
      <c r="H927" t="s">
        <v>479</v>
      </c>
      <c r="J927" s="202"/>
      <c r="K927" s="198"/>
      <c r="L927" s="202"/>
      <c r="M927" s="202"/>
      <c r="N927" s="202"/>
      <c r="O927" s="202"/>
      <c r="P927" s="202"/>
      <c r="Q927" s="202"/>
      <c r="R927" s="202"/>
      <c r="S927" s="202"/>
    </row>
    <row r="928" spans="5:19" x14ac:dyDescent="0.25">
      <c r="F928" t="s">
        <v>934</v>
      </c>
      <c r="G928" t="s">
        <v>169</v>
      </c>
      <c r="H928" t="s">
        <v>479</v>
      </c>
      <c r="J928" s="202"/>
      <c r="K928" s="198"/>
      <c r="L928" s="202"/>
      <c r="M928" s="202"/>
      <c r="N928" s="202"/>
      <c r="O928" s="202"/>
      <c r="P928" s="202"/>
      <c r="Q928" s="202"/>
      <c r="R928" s="202"/>
      <c r="S928" s="202"/>
    </row>
    <row r="929" spans="5:19" x14ac:dyDescent="0.25">
      <c r="F929" t="s">
        <v>935</v>
      </c>
      <c r="G929" t="s">
        <v>169</v>
      </c>
      <c r="H929" t="s">
        <v>479</v>
      </c>
      <c r="J929" s="202"/>
      <c r="K929" s="198"/>
      <c r="L929" s="202"/>
      <c r="M929" s="202"/>
      <c r="N929" s="202"/>
      <c r="O929" s="202"/>
      <c r="P929" s="202"/>
      <c r="Q929" s="202"/>
      <c r="R929" s="202"/>
      <c r="S929" s="202"/>
    </row>
    <row r="930" spans="5:19" x14ac:dyDescent="0.25">
      <c r="F930" t="s">
        <v>936</v>
      </c>
      <c r="G930" t="s">
        <v>169</v>
      </c>
      <c r="H930" t="s">
        <v>479</v>
      </c>
      <c r="J930" s="202"/>
      <c r="K930" s="198"/>
      <c r="L930" s="202"/>
      <c r="M930" s="202"/>
      <c r="N930" s="202"/>
      <c r="O930" s="202"/>
      <c r="P930" s="202"/>
      <c r="Q930" s="202"/>
      <c r="R930" s="202"/>
      <c r="S930" s="202"/>
    </row>
    <row r="931" spans="5:19" x14ac:dyDescent="0.25">
      <c r="F931" t="s">
        <v>937</v>
      </c>
      <c r="G931" t="s">
        <v>169</v>
      </c>
      <c r="H931" t="s">
        <v>479</v>
      </c>
      <c r="J931" s="202"/>
      <c r="K931" s="198"/>
      <c r="L931" s="202"/>
      <c r="M931" s="202"/>
      <c r="N931" s="202"/>
      <c r="O931" s="202"/>
      <c r="P931" s="202"/>
      <c r="Q931" s="202"/>
      <c r="R931" s="202"/>
      <c r="S931" s="202"/>
    </row>
    <row r="932" spans="5:19" x14ac:dyDescent="0.25">
      <c r="F932" t="s">
        <v>938</v>
      </c>
      <c r="G932" t="s">
        <v>169</v>
      </c>
      <c r="H932" t="s">
        <v>479</v>
      </c>
      <c r="J932" s="202"/>
      <c r="K932" s="198"/>
      <c r="L932" s="202"/>
      <c r="M932" s="202"/>
      <c r="N932" s="202"/>
      <c r="O932" s="202"/>
      <c r="P932" s="202"/>
      <c r="Q932" s="202"/>
      <c r="R932" s="202"/>
      <c r="S932" s="202"/>
    </row>
    <row r="933" spans="5:19" x14ac:dyDescent="0.25">
      <c r="F933" t="s">
        <v>939</v>
      </c>
      <c r="G933" t="s">
        <v>169</v>
      </c>
      <c r="H933" t="s">
        <v>479</v>
      </c>
      <c r="J933" s="202"/>
      <c r="K933" s="198"/>
      <c r="L933" s="202"/>
      <c r="M933" s="202"/>
      <c r="N933" s="202"/>
      <c r="O933" s="202"/>
      <c r="P933" s="202"/>
      <c r="Q933" s="202"/>
      <c r="R933" s="202"/>
      <c r="S933" s="202"/>
    </row>
    <row r="934" spans="5:19" x14ac:dyDescent="0.25">
      <c r="F934" s="17" t="s">
        <v>940</v>
      </c>
      <c r="G934" s="17" t="s">
        <v>169</v>
      </c>
      <c r="H934" s="17" t="s">
        <v>479</v>
      </c>
      <c r="I934" s="122"/>
      <c r="J934" s="203"/>
      <c r="K934" s="200"/>
      <c r="L934" s="203"/>
      <c r="M934" s="203"/>
      <c r="N934" s="203"/>
      <c r="O934" s="203"/>
      <c r="P934" s="203"/>
      <c r="Q934" s="203"/>
      <c r="R934" s="203"/>
      <c r="S934" s="203"/>
    </row>
    <row r="935" spans="5:19" x14ac:dyDescent="0.25">
      <c r="J935" s="198"/>
      <c r="K935" s="198"/>
      <c r="L935" s="198"/>
      <c r="M935" s="198"/>
      <c r="N935" s="198"/>
      <c r="O935" s="198"/>
      <c r="P935" s="198"/>
      <c r="Q935" s="198"/>
      <c r="R935" s="198"/>
      <c r="S935" s="198"/>
    </row>
    <row r="936" spans="5:19" x14ac:dyDescent="0.25">
      <c r="E936" s="121" t="s">
        <v>204</v>
      </c>
      <c r="J936" s="198"/>
      <c r="K936" s="198"/>
      <c r="L936" s="198"/>
      <c r="M936" s="198"/>
      <c r="N936" s="198"/>
      <c r="O936" s="198"/>
      <c r="P936" s="198"/>
      <c r="Q936" s="198"/>
      <c r="R936" s="198"/>
      <c r="S936" s="198"/>
    </row>
    <row r="937" spans="5:19" x14ac:dyDescent="0.25">
      <c r="F937" s="80" t="s">
        <v>925</v>
      </c>
      <c r="G937" s="80" t="s">
        <v>170</v>
      </c>
      <c r="H937" s="80" t="s">
        <v>479</v>
      </c>
      <c r="I937" s="94"/>
      <c r="J937" s="201"/>
      <c r="K937" s="196"/>
      <c r="L937" s="201"/>
      <c r="M937" s="201"/>
      <c r="N937" s="201"/>
      <c r="O937" s="201"/>
      <c r="P937" s="201"/>
      <c r="Q937" s="201"/>
      <c r="R937" s="201"/>
      <c r="S937" s="201"/>
    </row>
    <row r="938" spans="5:19" x14ac:dyDescent="0.25">
      <c r="F938" t="s">
        <v>926</v>
      </c>
      <c r="G938" t="s">
        <v>170</v>
      </c>
      <c r="H938" t="s">
        <v>479</v>
      </c>
      <c r="J938" s="202"/>
      <c r="K938" s="198"/>
      <c r="L938" s="202"/>
      <c r="M938" s="202"/>
      <c r="N938" s="202"/>
      <c r="O938" s="202"/>
      <c r="P938" s="202"/>
      <c r="Q938" s="202"/>
      <c r="R938" s="202"/>
      <c r="S938" s="202"/>
    </row>
    <row r="939" spans="5:19" x14ac:dyDescent="0.25">
      <c r="F939" t="s">
        <v>927</v>
      </c>
      <c r="G939" t="s">
        <v>170</v>
      </c>
      <c r="H939" t="s">
        <v>479</v>
      </c>
      <c r="J939" s="202"/>
      <c r="K939" s="198"/>
      <c r="L939" s="202"/>
      <c r="M939" s="202"/>
      <c r="N939" s="202"/>
      <c r="O939" s="202"/>
      <c r="P939" s="202"/>
      <c r="Q939" s="202"/>
      <c r="R939" s="202"/>
      <c r="S939" s="202"/>
    </row>
    <row r="940" spans="5:19" x14ac:dyDescent="0.25">
      <c r="F940" t="s">
        <v>928</v>
      </c>
      <c r="G940" t="s">
        <v>170</v>
      </c>
      <c r="H940" t="s">
        <v>479</v>
      </c>
      <c r="J940" s="202"/>
      <c r="K940" s="198"/>
      <c r="L940" s="202"/>
      <c r="M940" s="202"/>
      <c r="N940" s="202"/>
      <c r="O940" s="202"/>
      <c r="P940" s="202"/>
      <c r="Q940" s="202"/>
      <c r="R940" s="202"/>
      <c r="S940" s="202"/>
    </row>
    <row r="941" spans="5:19" x14ac:dyDescent="0.25">
      <c r="F941" t="s">
        <v>929</v>
      </c>
      <c r="G941" t="s">
        <v>170</v>
      </c>
      <c r="H941" t="s">
        <v>479</v>
      </c>
      <c r="J941" s="197">
        <f t="shared" ref="J941" si="187">CHOOSE(year_selection, L941,M941,N941,O941,P941,Q941,R941,S941)</f>
        <v>99.444000000000003</v>
      </c>
      <c r="K941" s="198"/>
      <c r="L941" s="281"/>
      <c r="M941" s="281">
        <v>100.51228013293345</v>
      </c>
      <c r="N941" s="281">
        <v>114.319</v>
      </c>
      <c r="O941" s="281">
        <v>99.444000000000003</v>
      </c>
      <c r="P941" s="281">
        <f t="shared" ref="P941:S941" si="188">$O941</f>
        <v>99.444000000000003</v>
      </c>
      <c r="Q941" s="281">
        <f t="shared" si="188"/>
        <v>99.444000000000003</v>
      </c>
      <c r="R941" s="281">
        <f t="shared" si="188"/>
        <v>99.444000000000003</v>
      </c>
      <c r="S941" s="281">
        <f t="shared" si="188"/>
        <v>99.444000000000003</v>
      </c>
    </row>
    <row r="942" spans="5:19" x14ac:dyDescent="0.25">
      <c r="F942" t="s">
        <v>930</v>
      </c>
      <c r="G942" t="s">
        <v>170</v>
      </c>
      <c r="H942" t="s">
        <v>479</v>
      </c>
      <c r="J942" s="202"/>
      <c r="K942" s="198"/>
      <c r="L942" s="202"/>
      <c r="M942" s="202"/>
      <c r="N942" s="202"/>
      <c r="O942" s="202"/>
      <c r="P942" s="202"/>
      <c r="Q942" s="202"/>
      <c r="R942" s="202"/>
      <c r="S942" s="202"/>
    </row>
    <row r="943" spans="5:19" x14ac:dyDescent="0.25">
      <c r="F943" t="s">
        <v>931</v>
      </c>
      <c r="G943" t="s">
        <v>170</v>
      </c>
      <c r="H943" t="s">
        <v>479</v>
      </c>
      <c r="J943" s="202"/>
      <c r="K943" s="198"/>
      <c r="L943" s="202"/>
      <c r="M943" s="202"/>
      <c r="N943" s="202"/>
      <c r="O943" s="202"/>
      <c r="P943" s="202"/>
      <c r="Q943" s="202"/>
      <c r="R943" s="202"/>
      <c r="S943" s="202"/>
    </row>
    <row r="944" spans="5:19" x14ac:dyDescent="0.25">
      <c r="F944" t="s">
        <v>932</v>
      </c>
      <c r="G944" t="s">
        <v>170</v>
      </c>
      <c r="H944" t="s">
        <v>479</v>
      </c>
      <c r="J944" s="202"/>
      <c r="K944" s="198"/>
      <c r="L944" s="202"/>
      <c r="M944" s="202"/>
      <c r="N944" s="202"/>
      <c r="O944" s="202"/>
      <c r="P944" s="202"/>
      <c r="Q944" s="202"/>
      <c r="R944" s="202"/>
      <c r="S944" s="202"/>
    </row>
    <row r="945" spans="3:21" x14ac:dyDescent="0.25">
      <c r="F945" t="s">
        <v>933</v>
      </c>
      <c r="G945" t="s">
        <v>170</v>
      </c>
      <c r="H945" t="s">
        <v>479</v>
      </c>
      <c r="J945" s="202"/>
      <c r="K945" s="198"/>
      <c r="L945" s="202"/>
      <c r="M945" s="202"/>
      <c r="N945" s="202"/>
      <c r="O945" s="202"/>
      <c r="P945" s="202"/>
      <c r="Q945" s="202"/>
      <c r="R945" s="202"/>
      <c r="S945" s="202"/>
    </row>
    <row r="946" spans="3:21" x14ac:dyDescent="0.25">
      <c r="F946" t="s">
        <v>934</v>
      </c>
      <c r="G946" t="s">
        <v>170</v>
      </c>
      <c r="H946" t="s">
        <v>479</v>
      </c>
      <c r="J946" s="202"/>
      <c r="K946" s="198"/>
      <c r="L946" s="202"/>
      <c r="M946" s="202"/>
      <c r="N946" s="202"/>
      <c r="O946" s="202"/>
      <c r="P946" s="202"/>
      <c r="Q946" s="202"/>
      <c r="R946" s="202"/>
      <c r="S946" s="202"/>
    </row>
    <row r="947" spans="3:21" x14ac:dyDescent="0.25">
      <c r="F947" t="s">
        <v>935</v>
      </c>
      <c r="G947" t="s">
        <v>170</v>
      </c>
      <c r="H947" t="s">
        <v>479</v>
      </c>
      <c r="J947" s="202"/>
      <c r="K947" s="198"/>
      <c r="L947" s="202"/>
      <c r="M947" s="202"/>
      <c r="N947" s="202"/>
      <c r="O947" s="202"/>
      <c r="P947" s="202"/>
      <c r="Q947" s="202"/>
      <c r="R947" s="202"/>
      <c r="S947" s="202"/>
    </row>
    <row r="948" spans="3:21" x14ac:dyDescent="0.25">
      <c r="F948" t="s">
        <v>936</v>
      </c>
      <c r="G948" t="s">
        <v>170</v>
      </c>
      <c r="H948" t="s">
        <v>479</v>
      </c>
      <c r="J948" s="202"/>
      <c r="K948" s="198"/>
      <c r="L948" s="202"/>
      <c r="M948" s="202"/>
      <c r="N948" s="202"/>
      <c r="O948" s="202"/>
      <c r="P948" s="202"/>
      <c r="Q948" s="202"/>
      <c r="R948" s="202"/>
      <c r="S948" s="202"/>
    </row>
    <row r="949" spans="3:21" x14ac:dyDescent="0.25">
      <c r="F949" t="s">
        <v>937</v>
      </c>
      <c r="G949" t="s">
        <v>170</v>
      </c>
      <c r="H949" t="s">
        <v>479</v>
      </c>
      <c r="J949" s="202"/>
      <c r="K949" s="198"/>
      <c r="L949" s="202"/>
      <c r="M949" s="202"/>
      <c r="N949" s="202"/>
      <c r="O949" s="202"/>
      <c r="P949" s="202"/>
      <c r="Q949" s="202"/>
      <c r="R949" s="202"/>
      <c r="S949" s="202"/>
    </row>
    <row r="950" spans="3:21" x14ac:dyDescent="0.25">
      <c r="F950" t="s">
        <v>938</v>
      </c>
      <c r="G950" t="s">
        <v>170</v>
      </c>
      <c r="H950" t="s">
        <v>479</v>
      </c>
      <c r="J950" s="202"/>
      <c r="K950" s="198"/>
      <c r="L950" s="202"/>
      <c r="M950" s="202"/>
      <c r="N950" s="202"/>
      <c r="O950" s="202"/>
      <c r="P950" s="202"/>
      <c r="Q950" s="202"/>
      <c r="R950" s="202"/>
      <c r="S950" s="202"/>
    </row>
    <row r="951" spans="3:21" x14ac:dyDescent="0.25">
      <c r="F951" t="s">
        <v>939</v>
      </c>
      <c r="G951" t="s">
        <v>170</v>
      </c>
      <c r="H951" t="s">
        <v>479</v>
      </c>
      <c r="J951" s="202"/>
      <c r="K951" s="198"/>
      <c r="L951" s="202"/>
      <c r="M951" s="202"/>
      <c r="N951" s="202"/>
      <c r="O951" s="202"/>
      <c r="P951" s="202"/>
      <c r="Q951" s="202"/>
      <c r="R951" s="202"/>
      <c r="S951" s="202"/>
    </row>
    <row r="952" spans="3:21" x14ac:dyDescent="0.25">
      <c r="F952" s="17" t="s">
        <v>940</v>
      </c>
      <c r="G952" s="17" t="s">
        <v>170</v>
      </c>
      <c r="H952" s="17" t="s">
        <v>479</v>
      </c>
      <c r="I952" s="122"/>
      <c r="J952" s="203"/>
      <c r="K952" s="200"/>
      <c r="L952" s="203"/>
      <c r="M952" s="203"/>
      <c r="N952" s="203"/>
      <c r="O952" s="203"/>
      <c r="P952" s="203"/>
      <c r="Q952" s="203"/>
      <c r="R952" s="203"/>
      <c r="S952" s="203"/>
    </row>
    <row r="953" spans="3:21" x14ac:dyDescent="0.25">
      <c r="J953" s="198"/>
      <c r="K953" s="198"/>
      <c r="L953" s="198"/>
      <c r="M953" s="198"/>
      <c r="N953" s="198"/>
      <c r="O953" s="198"/>
      <c r="P953" s="198"/>
      <c r="Q953" s="198"/>
      <c r="R953" s="198"/>
      <c r="S953" s="198"/>
    </row>
    <row r="954" spans="3:21" x14ac:dyDescent="0.25">
      <c r="C954" s="5" t="str">
        <f ca="1">INDEX('Version control'!$H$36:$H$62,MATCH($A$1,'Version control'!$F$36:$F$62,0),1)&amp;"-J: LDNO LV volumes - Residual band 2"</f>
        <v>Input 501-J: LDNO LV volumes - Residual band 2</v>
      </c>
      <c r="D954" s="5"/>
      <c r="E954" s="5"/>
      <c r="F954" s="5"/>
      <c r="G954" s="5"/>
      <c r="H954" s="5"/>
      <c r="I954" s="143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</row>
    <row r="955" spans="3:21" x14ac:dyDescent="0.25">
      <c r="D955" s="52"/>
    </row>
    <row r="956" spans="3:21" x14ac:dyDescent="0.25">
      <c r="E956" s="121" t="s">
        <v>199</v>
      </c>
      <c r="I956" s="59" t="s">
        <v>359</v>
      </c>
      <c r="U956" t="s">
        <v>691</v>
      </c>
    </row>
    <row r="957" spans="3:21" x14ac:dyDescent="0.25">
      <c r="F957" s="80" t="s">
        <v>925</v>
      </c>
      <c r="G957" s="80" t="s">
        <v>120</v>
      </c>
      <c r="H957" s="80" t="s">
        <v>479</v>
      </c>
      <c r="I957" s="94"/>
      <c r="J957" s="201"/>
      <c r="K957" s="196"/>
      <c r="L957" s="201"/>
      <c r="M957" s="201"/>
      <c r="N957" s="201"/>
      <c r="O957" s="201"/>
      <c r="P957" s="201"/>
      <c r="Q957" s="201"/>
      <c r="R957" s="201"/>
      <c r="S957" s="201"/>
    </row>
    <row r="958" spans="3:21" x14ac:dyDescent="0.25">
      <c r="F958" t="s">
        <v>926</v>
      </c>
      <c r="G958" t="s">
        <v>120</v>
      </c>
      <c r="H958" t="s">
        <v>479</v>
      </c>
      <c r="J958" s="202"/>
      <c r="K958" s="198"/>
      <c r="L958" s="202"/>
      <c r="M958" s="202"/>
      <c r="N958" s="202"/>
      <c r="O958" s="202"/>
      <c r="P958" s="202"/>
      <c r="Q958" s="202"/>
      <c r="R958" s="202"/>
      <c r="S958" s="202"/>
    </row>
    <row r="959" spans="3:21" x14ac:dyDescent="0.25">
      <c r="F959" t="s">
        <v>927</v>
      </c>
      <c r="G959" t="s">
        <v>120</v>
      </c>
      <c r="H959" t="s">
        <v>479</v>
      </c>
      <c r="J959" s="197">
        <f t="shared" ref="J959" si="189">CHOOSE(year_selection, L959,M959,N959,O959,P959,Q959,R959,S959)</f>
        <v>234.45560805277455</v>
      </c>
      <c r="K959" s="198"/>
      <c r="L959" s="281"/>
      <c r="M959" s="281">
        <v>82.765145176157503</v>
      </c>
      <c r="N959" s="281">
        <v>100.19165918999497</v>
      </c>
      <c r="O959" s="281">
        <v>234.45560805277455</v>
      </c>
      <c r="P959" s="281">
        <f t="shared" ref="P959:S959" si="190">$O959</f>
        <v>234.45560805277455</v>
      </c>
      <c r="Q959" s="281">
        <f t="shared" si="190"/>
        <v>234.45560805277455</v>
      </c>
      <c r="R959" s="281">
        <f t="shared" si="190"/>
        <v>234.45560805277455</v>
      </c>
      <c r="S959" s="281">
        <f t="shared" si="190"/>
        <v>234.45560805277455</v>
      </c>
    </row>
    <row r="960" spans="3:21" x14ac:dyDescent="0.25">
      <c r="F960" t="s">
        <v>928</v>
      </c>
      <c r="G960" t="s">
        <v>120</v>
      </c>
      <c r="H960" t="s">
        <v>479</v>
      </c>
      <c r="J960" s="202"/>
      <c r="K960" s="198"/>
      <c r="L960" s="202"/>
      <c r="M960" s="202"/>
      <c r="N960" s="202"/>
      <c r="O960" s="202"/>
      <c r="P960" s="202"/>
      <c r="Q960" s="202"/>
      <c r="R960" s="202"/>
      <c r="S960" s="202"/>
    </row>
    <row r="961" spans="5:19" x14ac:dyDescent="0.25">
      <c r="F961" t="s">
        <v>929</v>
      </c>
      <c r="G961" t="s">
        <v>120</v>
      </c>
      <c r="H961" t="s">
        <v>479</v>
      </c>
      <c r="J961" s="197">
        <f t="shared" ref="J961" si="191">CHOOSE(year_selection, L961,M961,N961,O961,P961,Q961,R961,S961)</f>
        <v>454.96648805542816</v>
      </c>
      <c r="K961" s="198"/>
      <c r="L961" s="281"/>
      <c r="M961" s="281">
        <v>420.20194188835671</v>
      </c>
      <c r="N961" s="281">
        <v>545.34707739561543</v>
      </c>
      <c r="O961" s="281">
        <v>454.96648805542816</v>
      </c>
      <c r="P961" s="281">
        <f t="shared" ref="P961:S961" si="192">$O961</f>
        <v>454.96648805542816</v>
      </c>
      <c r="Q961" s="281">
        <f t="shared" si="192"/>
        <v>454.96648805542816</v>
      </c>
      <c r="R961" s="281">
        <f t="shared" si="192"/>
        <v>454.96648805542816</v>
      </c>
      <c r="S961" s="281">
        <f t="shared" si="192"/>
        <v>454.96648805542816</v>
      </c>
    </row>
    <row r="962" spans="5:19" x14ac:dyDescent="0.25">
      <c r="F962" t="s">
        <v>930</v>
      </c>
      <c r="G962" t="s">
        <v>120</v>
      </c>
      <c r="H962" t="s">
        <v>479</v>
      </c>
      <c r="J962" s="202"/>
      <c r="K962" s="198"/>
      <c r="L962" s="202"/>
      <c r="M962" s="202"/>
      <c r="N962" s="202"/>
      <c r="O962" s="202"/>
      <c r="P962" s="202"/>
      <c r="Q962" s="202"/>
      <c r="R962" s="202"/>
      <c r="S962" s="202"/>
    </row>
    <row r="963" spans="5:19" x14ac:dyDescent="0.25">
      <c r="F963" t="s">
        <v>931</v>
      </c>
      <c r="G963" t="s">
        <v>120</v>
      </c>
      <c r="H963" t="s">
        <v>479</v>
      </c>
      <c r="J963" s="202"/>
      <c r="K963" s="198"/>
      <c r="L963" s="202"/>
      <c r="M963" s="202"/>
      <c r="N963" s="202"/>
      <c r="O963" s="202"/>
      <c r="P963" s="202"/>
      <c r="Q963" s="202"/>
      <c r="R963" s="202"/>
      <c r="S963" s="202"/>
    </row>
    <row r="964" spans="5:19" x14ac:dyDescent="0.25">
      <c r="F964" t="s">
        <v>932</v>
      </c>
      <c r="G964" t="s">
        <v>120</v>
      </c>
      <c r="H964" t="s">
        <v>479</v>
      </c>
      <c r="J964" s="202"/>
      <c r="K964" s="198"/>
      <c r="L964" s="202"/>
      <c r="M964" s="202"/>
      <c r="N964" s="202"/>
      <c r="O964" s="202"/>
      <c r="P964" s="202"/>
      <c r="Q964" s="202"/>
      <c r="R964" s="202"/>
      <c r="S964" s="202"/>
    </row>
    <row r="965" spans="5:19" x14ac:dyDescent="0.25">
      <c r="F965" t="s">
        <v>933</v>
      </c>
      <c r="G965" t="s">
        <v>120</v>
      </c>
      <c r="H965" t="s">
        <v>479</v>
      </c>
      <c r="J965" s="202"/>
      <c r="K965" s="198"/>
      <c r="L965" s="202"/>
      <c r="M965" s="202"/>
      <c r="N965" s="202"/>
      <c r="O965" s="202"/>
      <c r="P965" s="202"/>
      <c r="Q965" s="202"/>
      <c r="R965" s="202"/>
      <c r="S965" s="202"/>
    </row>
    <row r="966" spans="5:19" x14ac:dyDescent="0.25">
      <c r="F966" t="s">
        <v>934</v>
      </c>
      <c r="G966" t="s">
        <v>120</v>
      </c>
      <c r="H966" t="s">
        <v>479</v>
      </c>
      <c r="J966" s="202"/>
      <c r="K966" s="198"/>
      <c r="L966" s="202"/>
      <c r="M966" s="202"/>
      <c r="N966" s="202"/>
      <c r="O966" s="202"/>
      <c r="P966" s="202"/>
      <c r="Q966" s="202"/>
      <c r="R966" s="202"/>
      <c r="S966" s="202"/>
    </row>
    <row r="967" spans="5:19" x14ac:dyDescent="0.25">
      <c r="F967" t="s">
        <v>935</v>
      </c>
      <c r="G967" t="s">
        <v>120</v>
      </c>
      <c r="H967" t="s">
        <v>479</v>
      </c>
      <c r="J967" s="202"/>
      <c r="K967" s="198"/>
      <c r="L967" s="202"/>
      <c r="M967" s="202"/>
      <c r="N967" s="202"/>
      <c r="O967" s="202"/>
      <c r="P967" s="202"/>
      <c r="Q967" s="202"/>
      <c r="R967" s="202"/>
      <c r="S967" s="202"/>
    </row>
    <row r="968" spans="5:19" x14ac:dyDescent="0.25">
      <c r="F968" t="s">
        <v>936</v>
      </c>
      <c r="G968" t="s">
        <v>120</v>
      </c>
      <c r="H968" t="s">
        <v>479</v>
      </c>
      <c r="J968" s="202"/>
      <c r="K968" s="198"/>
      <c r="L968" s="202"/>
      <c r="M968" s="202"/>
      <c r="N968" s="202"/>
      <c r="O968" s="202"/>
      <c r="P968" s="202"/>
      <c r="Q968" s="202"/>
      <c r="R968" s="202"/>
      <c r="S968" s="202"/>
    </row>
    <row r="969" spans="5:19" x14ac:dyDescent="0.25">
      <c r="F969" t="s">
        <v>937</v>
      </c>
      <c r="G969" t="s">
        <v>120</v>
      </c>
      <c r="H969" t="s">
        <v>479</v>
      </c>
      <c r="J969" s="202"/>
      <c r="K969" s="198"/>
      <c r="L969" s="202"/>
      <c r="M969" s="202"/>
      <c r="N969" s="202"/>
      <c r="O969" s="202"/>
      <c r="P969" s="202"/>
      <c r="Q969" s="202"/>
      <c r="R969" s="202"/>
      <c r="S969" s="202"/>
    </row>
    <row r="970" spans="5:19" x14ac:dyDescent="0.25">
      <c r="F970" t="s">
        <v>938</v>
      </c>
      <c r="G970" t="s">
        <v>120</v>
      </c>
      <c r="H970" t="s">
        <v>479</v>
      </c>
      <c r="J970" s="202"/>
      <c r="K970" s="198"/>
      <c r="L970" s="202"/>
      <c r="M970" s="202"/>
      <c r="N970" s="202"/>
      <c r="O970" s="202"/>
      <c r="P970" s="202"/>
      <c r="Q970" s="202"/>
      <c r="R970" s="202"/>
      <c r="S970" s="202"/>
    </row>
    <row r="971" spans="5:19" x14ac:dyDescent="0.25">
      <c r="F971" t="s">
        <v>939</v>
      </c>
      <c r="G971" t="s">
        <v>120</v>
      </c>
      <c r="H971" t="s">
        <v>479</v>
      </c>
      <c r="J971" s="202"/>
      <c r="K971" s="198"/>
      <c r="L971" s="202"/>
      <c r="M971" s="202"/>
      <c r="N971" s="202"/>
      <c r="O971" s="202"/>
      <c r="P971" s="202"/>
      <c r="Q971" s="202"/>
      <c r="R971" s="202"/>
      <c r="S971" s="202"/>
    </row>
    <row r="972" spans="5:19" x14ac:dyDescent="0.25">
      <c r="F972" s="17" t="s">
        <v>940</v>
      </c>
      <c r="G972" s="17" t="s">
        <v>120</v>
      </c>
      <c r="H972" s="17" t="s">
        <v>479</v>
      </c>
      <c r="I972" s="122"/>
      <c r="J972" s="203"/>
      <c r="K972" s="200"/>
      <c r="L972" s="203"/>
      <c r="M972" s="203"/>
      <c r="N972" s="203"/>
      <c r="O972" s="203"/>
      <c r="P972" s="203"/>
      <c r="Q972" s="203"/>
      <c r="R972" s="203"/>
      <c r="S972" s="203"/>
    </row>
    <row r="973" spans="5:19" x14ac:dyDescent="0.25">
      <c r="J973" s="198"/>
      <c r="K973" s="198"/>
      <c r="L973" s="198"/>
      <c r="M973" s="198"/>
      <c r="N973" s="198"/>
      <c r="O973" s="198"/>
      <c r="P973" s="198"/>
      <c r="Q973" s="198"/>
      <c r="R973" s="198"/>
      <c r="S973" s="198"/>
    </row>
    <row r="974" spans="5:19" x14ac:dyDescent="0.25">
      <c r="E974" s="121" t="s">
        <v>200</v>
      </c>
      <c r="J974" s="198"/>
      <c r="K974" s="198"/>
      <c r="L974" s="198"/>
      <c r="M974" s="198"/>
      <c r="N974" s="198"/>
      <c r="O974" s="198"/>
      <c r="P974" s="198"/>
      <c r="Q974" s="198"/>
      <c r="R974" s="198"/>
      <c r="S974" s="198"/>
    </row>
    <row r="975" spans="5:19" x14ac:dyDescent="0.25">
      <c r="F975" s="80" t="s">
        <v>925</v>
      </c>
      <c r="G975" s="80" t="s">
        <v>120</v>
      </c>
      <c r="H975" s="80" t="s">
        <v>479</v>
      </c>
      <c r="I975" s="94"/>
      <c r="J975" s="201"/>
      <c r="K975" s="196"/>
      <c r="L975" s="201"/>
      <c r="M975" s="201"/>
      <c r="N975" s="201"/>
      <c r="O975" s="201"/>
      <c r="P975" s="201"/>
      <c r="Q975" s="201"/>
      <c r="R975" s="201"/>
      <c r="S975" s="201"/>
    </row>
    <row r="976" spans="5:19" x14ac:dyDescent="0.25">
      <c r="F976" t="s">
        <v>926</v>
      </c>
      <c r="G976" t="s">
        <v>120</v>
      </c>
      <c r="H976" t="s">
        <v>479</v>
      </c>
      <c r="J976" s="202"/>
      <c r="K976" s="198"/>
      <c r="L976" s="202"/>
      <c r="M976" s="202"/>
      <c r="N976" s="202"/>
      <c r="O976" s="202"/>
      <c r="P976" s="202"/>
      <c r="Q976" s="202"/>
      <c r="R976" s="202"/>
      <c r="S976" s="202"/>
    </row>
    <row r="977" spans="5:19" x14ac:dyDescent="0.25">
      <c r="F977" t="s">
        <v>927</v>
      </c>
      <c r="G977" t="s">
        <v>120</v>
      </c>
      <c r="H977" t="s">
        <v>479</v>
      </c>
      <c r="J977" s="197">
        <f t="shared" ref="J977" si="193">CHOOSE(year_selection, L977,M977,N977,O977,P977,Q977,R977,S977)</f>
        <v>1214.5765451627567</v>
      </c>
      <c r="K977" s="198"/>
      <c r="L977" s="281"/>
      <c r="M977" s="281">
        <v>448.16466620421323</v>
      </c>
      <c r="N977" s="281">
        <v>542.57305862272358</v>
      </c>
      <c r="O977" s="281">
        <v>1214.5765451627567</v>
      </c>
      <c r="P977" s="281">
        <f t="shared" ref="P977:S977" si="194">$O977</f>
        <v>1214.5765451627567</v>
      </c>
      <c r="Q977" s="281">
        <f t="shared" si="194"/>
        <v>1214.5765451627567</v>
      </c>
      <c r="R977" s="281">
        <f t="shared" si="194"/>
        <v>1214.5765451627567</v>
      </c>
      <c r="S977" s="281">
        <f t="shared" si="194"/>
        <v>1214.5765451627567</v>
      </c>
    </row>
    <row r="978" spans="5:19" x14ac:dyDescent="0.25">
      <c r="F978" t="s">
        <v>928</v>
      </c>
      <c r="G978" t="s">
        <v>120</v>
      </c>
      <c r="H978" t="s">
        <v>479</v>
      </c>
      <c r="J978" s="202"/>
      <c r="K978" s="198"/>
      <c r="L978" s="202"/>
      <c r="M978" s="202"/>
      <c r="N978" s="202"/>
      <c r="O978" s="202"/>
      <c r="P978" s="202"/>
      <c r="Q978" s="202"/>
      <c r="R978" s="202"/>
      <c r="S978" s="202"/>
    </row>
    <row r="979" spans="5:19" x14ac:dyDescent="0.25">
      <c r="F979" t="s">
        <v>929</v>
      </c>
      <c r="G979" t="s">
        <v>120</v>
      </c>
      <c r="H979" t="s">
        <v>479</v>
      </c>
      <c r="J979" s="197">
        <f t="shared" ref="J979" si="195">CHOOSE(year_selection, L979,M979,N979,O979,P979,Q979,R979,S979)</f>
        <v>2049.3914706576866</v>
      </c>
      <c r="K979" s="198"/>
      <c r="L979" s="281"/>
      <c r="M979" s="281">
        <v>1893.2957935542029</v>
      </c>
      <c r="N979" s="281">
        <v>2457.2086583184737</v>
      </c>
      <c r="O979" s="281">
        <v>2049.3914706576866</v>
      </c>
      <c r="P979" s="281">
        <f t="shared" ref="P979:S979" si="196">$O979</f>
        <v>2049.3914706576866</v>
      </c>
      <c r="Q979" s="281">
        <f t="shared" si="196"/>
        <v>2049.3914706576866</v>
      </c>
      <c r="R979" s="281">
        <f t="shared" si="196"/>
        <v>2049.3914706576866</v>
      </c>
      <c r="S979" s="281">
        <f t="shared" si="196"/>
        <v>2049.3914706576866</v>
      </c>
    </row>
    <row r="980" spans="5:19" x14ac:dyDescent="0.25">
      <c r="F980" t="s">
        <v>930</v>
      </c>
      <c r="G980" t="s">
        <v>120</v>
      </c>
      <c r="H980" t="s">
        <v>479</v>
      </c>
      <c r="J980" s="202"/>
      <c r="K980" s="198"/>
      <c r="L980" s="202"/>
      <c r="M980" s="202"/>
      <c r="N980" s="202"/>
      <c r="O980" s="202"/>
      <c r="P980" s="202"/>
      <c r="Q980" s="202"/>
      <c r="R980" s="202"/>
      <c r="S980" s="202"/>
    </row>
    <row r="981" spans="5:19" x14ac:dyDescent="0.25">
      <c r="F981" t="s">
        <v>931</v>
      </c>
      <c r="G981" t="s">
        <v>120</v>
      </c>
      <c r="H981" t="s">
        <v>479</v>
      </c>
      <c r="J981" s="202"/>
      <c r="K981" s="198"/>
      <c r="L981" s="202"/>
      <c r="M981" s="202"/>
      <c r="N981" s="202"/>
      <c r="O981" s="202"/>
      <c r="P981" s="202"/>
      <c r="Q981" s="202"/>
      <c r="R981" s="202"/>
      <c r="S981" s="202"/>
    </row>
    <row r="982" spans="5:19" x14ac:dyDescent="0.25">
      <c r="F982" t="s">
        <v>932</v>
      </c>
      <c r="G982" t="s">
        <v>120</v>
      </c>
      <c r="H982" t="s">
        <v>479</v>
      </c>
      <c r="J982" s="202"/>
      <c r="K982" s="198"/>
      <c r="L982" s="202"/>
      <c r="M982" s="202"/>
      <c r="N982" s="202"/>
      <c r="O982" s="202"/>
      <c r="P982" s="202"/>
      <c r="Q982" s="202"/>
      <c r="R982" s="202"/>
      <c r="S982" s="202"/>
    </row>
    <row r="983" spans="5:19" x14ac:dyDescent="0.25">
      <c r="F983" t="s">
        <v>933</v>
      </c>
      <c r="G983" t="s">
        <v>120</v>
      </c>
      <c r="H983" t="s">
        <v>479</v>
      </c>
      <c r="J983" s="202"/>
      <c r="K983" s="198"/>
      <c r="L983" s="202"/>
      <c r="M983" s="202"/>
      <c r="N983" s="202"/>
      <c r="O983" s="202"/>
      <c r="P983" s="202"/>
      <c r="Q983" s="202"/>
      <c r="R983" s="202"/>
      <c r="S983" s="202"/>
    </row>
    <row r="984" spans="5:19" x14ac:dyDescent="0.25">
      <c r="F984" t="s">
        <v>934</v>
      </c>
      <c r="G984" t="s">
        <v>120</v>
      </c>
      <c r="H984" t="s">
        <v>479</v>
      </c>
      <c r="J984" s="202"/>
      <c r="K984" s="198"/>
      <c r="L984" s="202"/>
      <c r="M984" s="202"/>
      <c r="N984" s="202"/>
      <c r="O984" s="202"/>
      <c r="P984" s="202"/>
      <c r="Q984" s="202"/>
      <c r="R984" s="202"/>
      <c r="S984" s="202"/>
    </row>
    <row r="985" spans="5:19" x14ac:dyDescent="0.25">
      <c r="F985" t="s">
        <v>935</v>
      </c>
      <c r="G985" t="s">
        <v>120</v>
      </c>
      <c r="H985" t="s">
        <v>479</v>
      </c>
      <c r="J985" s="202"/>
      <c r="K985" s="198"/>
      <c r="L985" s="202"/>
      <c r="M985" s="202"/>
      <c r="N985" s="202"/>
      <c r="O985" s="202"/>
      <c r="P985" s="202"/>
      <c r="Q985" s="202"/>
      <c r="R985" s="202"/>
      <c r="S985" s="202"/>
    </row>
    <row r="986" spans="5:19" x14ac:dyDescent="0.25">
      <c r="F986" t="s">
        <v>936</v>
      </c>
      <c r="G986" t="s">
        <v>120</v>
      </c>
      <c r="H986" t="s">
        <v>479</v>
      </c>
      <c r="J986" s="202"/>
      <c r="K986" s="198"/>
      <c r="L986" s="202"/>
      <c r="M986" s="202"/>
      <c r="N986" s="202"/>
      <c r="O986" s="202"/>
      <c r="P986" s="202"/>
      <c r="Q986" s="202"/>
      <c r="R986" s="202"/>
      <c r="S986" s="202"/>
    </row>
    <row r="987" spans="5:19" x14ac:dyDescent="0.25">
      <c r="F987" t="s">
        <v>937</v>
      </c>
      <c r="G987" t="s">
        <v>120</v>
      </c>
      <c r="H987" t="s">
        <v>479</v>
      </c>
      <c r="J987" s="202"/>
      <c r="K987" s="198"/>
      <c r="L987" s="202"/>
      <c r="M987" s="202"/>
      <c r="N987" s="202"/>
      <c r="O987" s="202"/>
      <c r="P987" s="202"/>
      <c r="Q987" s="202"/>
      <c r="R987" s="202"/>
      <c r="S987" s="202"/>
    </row>
    <row r="988" spans="5:19" x14ac:dyDescent="0.25">
      <c r="F988" t="s">
        <v>938</v>
      </c>
      <c r="G988" t="s">
        <v>120</v>
      </c>
      <c r="H988" t="s">
        <v>479</v>
      </c>
      <c r="J988" s="202"/>
      <c r="K988" s="198"/>
      <c r="L988" s="202"/>
      <c r="M988" s="202"/>
      <c r="N988" s="202"/>
      <c r="O988" s="202"/>
      <c r="P988" s="202"/>
      <c r="Q988" s="202"/>
      <c r="R988" s="202"/>
      <c r="S988" s="202"/>
    </row>
    <row r="989" spans="5:19" x14ac:dyDescent="0.25">
      <c r="F989" t="s">
        <v>939</v>
      </c>
      <c r="G989" t="s">
        <v>120</v>
      </c>
      <c r="H989" t="s">
        <v>479</v>
      </c>
      <c r="J989" s="202"/>
      <c r="K989" s="198"/>
      <c r="L989" s="202"/>
      <c r="M989" s="202"/>
      <c r="N989" s="202"/>
      <c r="O989" s="202"/>
      <c r="P989" s="202"/>
      <c r="Q989" s="202"/>
      <c r="R989" s="202"/>
      <c r="S989" s="202"/>
    </row>
    <row r="990" spans="5:19" x14ac:dyDescent="0.25">
      <c r="F990" s="17" t="s">
        <v>940</v>
      </c>
      <c r="G990" s="17" t="s">
        <v>120</v>
      </c>
      <c r="H990" s="17" t="s">
        <v>479</v>
      </c>
      <c r="I990" s="122"/>
      <c r="J990" s="203"/>
      <c r="K990" s="200"/>
      <c r="L990" s="203"/>
      <c r="M990" s="203"/>
      <c r="N990" s="203"/>
      <c r="O990" s="203"/>
      <c r="P990" s="203"/>
      <c r="Q990" s="203"/>
      <c r="R990" s="203"/>
      <c r="S990" s="203"/>
    </row>
    <row r="991" spans="5:19" x14ac:dyDescent="0.25">
      <c r="J991" s="198"/>
      <c r="K991" s="198"/>
      <c r="L991" s="198"/>
      <c r="M991" s="198"/>
      <c r="N991" s="198"/>
      <c r="O991" s="198"/>
      <c r="P991" s="198"/>
      <c r="Q991" s="198"/>
      <c r="R991" s="198"/>
      <c r="S991" s="198"/>
    </row>
    <row r="992" spans="5:19" x14ac:dyDescent="0.25">
      <c r="E992" s="121" t="s">
        <v>201</v>
      </c>
      <c r="J992" s="198"/>
      <c r="K992" s="198"/>
      <c r="L992" s="198"/>
      <c r="M992" s="198"/>
      <c r="N992" s="198"/>
      <c r="O992" s="198"/>
      <c r="P992" s="198"/>
      <c r="Q992" s="198"/>
      <c r="R992" s="198"/>
      <c r="S992" s="198"/>
    </row>
    <row r="993" spans="6:19" x14ac:dyDescent="0.25">
      <c r="F993" s="80" t="s">
        <v>925</v>
      </c>
      <c r="G993" s="80" t="s">
        <v>120</v>
      </c>
      <c r="H993" s="80" t="s">
        <v>479</v>
      </c>
      <c r="I993" s="94"/>
      <c r="J993" s="201"/>
      <c r="K993" s="196"/>
      <c r="L993" s="201"/>
      <c r="M993" s="201"/>
      <c r="N993" s="201"/>
      <c r="O993" s="201"/>
      <c r="P993" s="201"/>
      <c r="Q993" s="201"/>
      <c r="R993" s="201"/>
      <c r="S993" s="201"/>
    </row>
    <row r="994" spans="6:19" x14ac:dyDescent="0.25">
      <c r="F994" t="s">
        <v>926</v>
      </c>
      <c r="G994" t="s">
        <v>120</v>
      </c>
      <c r="H994" t="s">
        <v>479</v>
      </c>
      <c r="J994" s="202"/>
      <c r="K994" s="198"/>
      <c r="L994" s="202"/>
      <c r="M994" s="202"/>
      <c r="N994" s="202"/>
      <c r="O994" s="202"/>
      <c r="P994" s="202"/>
      <c r="Q994" s="202"/>
      <c r="R994" s="202"/>
      <c r="S994" s="202"/>
    </row>
    <row r="995" spans="6:19" x14ac:dyDescent="0.25">
      <c r="F995" t="s">
        <v>927</v>
      </c>
      <c r="G995" t="s">
        <v>120</v>
      </c>
      <c r="H995" t="s">
        <v>479</v>
      </c>
      <c r="J995" s="197">
        <f t="shared" ref="J995" si="197">CHOOSE(year_selection, L995,M995,N995,O995,P995,Q995,R995,S995)</f>
        <v>922.1632750685344</v>
      </c>
      <c r="K995" s="198"/>
      <c r="L995" s="281"/>
      <c r="M995" s="281">
        <v>433.20648170947737</v>
      </c>
      <c r="N995" s="281">
        <v>524.51471876937455</v>
      </c>
      <c r="O995" s="281">
        <v>922.1632750685344</v>
      </c>
      <c r="P995" s="281">
        <f t="shared" ref="P995:S995" si="198">$O995</f>
        <v>922.1632750685344</v>
      </c>
      <c r="Q995" s="281">
        <f t="shared" si="198"/>
        <v>922.1632750685344</v>
      </c>
      <c r="R995" s="281">
        <f t="shared" si="198"/>
        <v>922.1632750685344</v>
      </c>
      <c r="S995" s="281">
        <f t="shared" si="198"/>
        <v>922.1632750685344</v>
      </c>
    </row>
    <row r="996" spans="6:19" x14ac:dyDescent="0.25">
      <c r="F996" t="s">
        <v>928</v>
      </c>
      <c r="G996" t="s">
        <v>120</v>
      </c>
      <c r="H996" t="s">
        <v>479</v>
      </c>
      <c r="J996" s="202"/>
      <c r="K996" s="198"/>
      <c r="L996" s="202"/>
      <c r="M996" s="202"/>
      <c r="N996" s="202"/>
      <c r="O996" s="202"/>
      <c r="P996" s="202"/>
      <c r="Q996" s="202"/>
      <c r="R996" s="202"/>
      <c r="S996" s="202"/>
    </row>
    <row r="997" spans="6:19" x14ac:dyDescent="0.25">
      <c r="F997" t="s">
        <v>929</v>
      </c>
      <c r="G997" t="s">
        <v>120</v>
      </c>
      <c r="H997" t="s">
        <v>479</v>
      </c>
      <c r="J997" s="197">
        <f t="shared" ref="J997" si="199">CHOOSE(year_selection, L997,M997,N997,O997,P997,Q997,R997,S997)</f>
        <v>1828.2496220411217</v>
      </c>
      <c r="K997" s="198"/>
      <c r="L997" s="281"/>
      <c r="M997" s="281">
        <v>1734.3812194498769</v>
      </c>
      <c r="N997" s="281">
        <v>2251.0855196273087</v>
      </c>
      <c r="O997" s="281">
        <v>1828.2496220411217</v>
      </c>
      <c r="P997" s="281">
        <f t="shared" ref="P997:S997" si="200">$O997</f>
        <v>1828.2496220411217</v>
      </c>
      <c r="Q997" s="281">
        <f t="shared" si="200"/>
        <v>1828.2496220411217</v>
      </c>
      <c r="R997" s="281">
        <f t="shared" si="200"/>
        <v>1828.2496220411217</v>
      </c>
      <c r="S997" s="281">
        <f t="shared" si="200"/>
        <v>1828.2496220411217</v>
      </c>
    </row>
    <row r="998" spans="6:19" x14ac:dyDescent="0.25">
      <c r="F998" t="s">
        <v>930</v>
      </c>
      <c r="G998" t="s">
        <v>120</v>
      </c>
      <c r="H998" t="s">
        <v>479</v>
      </c>
      <c r="J998" s="202"/>
      <c r="K998" s="198"/>
      <c r="L998" s="202"/>
      <c r="M998" s="202"/>
      <c r="N998" s="202"/>
      <c r="O998" s="202"/>
      <c r="P998" s="202"/>
      <c r="Q998" s="202"/>
      <c r="R998" s="202"/>
      <c r="S998" s="202"/>
    </row>
    <row r="999" spans="6:19" x14ac:dyDescent="0.25">
      <c r="F999" t="s">
        <v>931</v>
      </c>
      <c r="G999" t="s">
        <v>120</v>
      </c>
      <c r="H999" t="s">
        <v>479</v>
      </c>
      <c r="J999" s="202"/>
      <c r="K999" s="198"/>
      <c r="L999" s="202"/>
      <c r="M999" s="202"/>
      <c r="N999" s="202"/>
      <c r="O999" s="202"/>
      <c r="P999" s="202"/>
      <c r="Q999" s="202"/>
      <c r="R999" s="202"/>
      <c r="S999" s="202"/>
    </row>
    <row r="1000" spans="6:19" x14ac:dyDescent="0.25">
      <c r="F1000" t="s">
        <v>932</v>
      </c>
      <c r="G1000" t="s">
        <v>120</v>
      </c>
      <c r="H1000" t="s">
        <v>479</v>
      </c>
      <c r="J1000" s="202"/>
      <c r="K1000" s="198"/>
      <c r="L1000" s="202"/>
      <c r="M1000" s="202"/>
      <c r="N1000" s="202"/>
      <c r="O1000" s="202"/>
      <c r="P1000" s="202"/>
      <c r="Q1000" s="202"/>
      <c r="R1000" s="202"/>
      <c r="S1000" s="202"/>
    </row>
    <row r="1001" spans="6:19" x14ac:dyDescent="0.25">
      <c r="F1001" t="s">
        <v>933</v>
      </c>
      <c r="G1001" t="s">
        <v>120</v>
      </c>
      <c r="H1001" t="s">
        <v>479</v>
      </c>
      <c r="J1001" s="202"/>
      <c r="K1001" s="198"/>
      <c r="L1001" s="202"/>
      <c r="M1001" s="202"/>
      <c r="N1001" s="202"/>
      <c r="O1001" s="202"/>
      <c r="P1001" s="202"/>
      <c r="Q1001" s="202"/>
      <c r="R1001" s="202"/>
      <c r="S1001" s="202"/>
    </row>
    <row r="1002" spans="6:19" x14ac:dyDescent="0.25">
      <c r="F1002" t="s">
        <v>934</v>
      </c>
      <c r="G1002" t="s">
        <v>120</v>
      </c>
      <c r="H1002" t="s">
        <v>479</v>
      </c>
      <c r="J1002" s="202"/>
      <c r="K1002" s="198"/>
      <c r="L1002" s="202"/>
      <c r="M1002" s="202"/>
      <c r="N1002" s="202"/>
      <c r="O1002" s="202"/>
      <c r="P1002" s="202"/>
      <c r="Q1002" s="202"/>
      <c r="R1002" s="202"/>
      <c r="S1002" s="202"/>
    </row>
    <row r="1003" spans="6:19" x14ac:dyDescent="0.25">
      <c r="F1003" t="s">
        <v>935</v>
      </c>
      <c r="G1003" t="s">
        <v>120</v>
      </c>
      <c r="H1003" t="s">
        <v>479</v>
      </c>
      <c r="J1003" s="202"/>
      <c r="K1003" s="198"/>
      <c r="L1003" s="202"/>
      <c r="M1003" s="202"/>
      <c r="N1003" s="202"/>
      <c r="O1003" s="202"/>
      <c r="P1003" s="202"/>
      <c r="Q1003" s="202"/>
      <c r="R1003" s="202"/>
      <c r="S1003" s="202"/>
    </row>
    <row r="1004" spans="6:19" x14ac:dyDescent="0.25">
      <c r="F1004" t="s">
        <v>936</v>
      </c>
      <c r="G1004" t="s">
        <v>120</v>
      </c>
      <c r="H1004" t="s">
        <v>479</v>
      </c>
      <c r="J1004" s="202"/>
      <c r="K1004" s="198"/>
      <c r="L1004" s="202"/>
      <c r="M1004" s="202"/>
      <c r="N1004" s="202"/>
      <c r="O1004" s="202"/>
      <c r="P1004" s="202"/>
      <c r="Q1004" s="202"/>
      <c r="R1004" s="202"/>
      <c r="S1004" s="202"/>
    </row>
    <row r="1005" spans="6:19" x14ac:dyDescent="0.25">
      <c r="F1005" t="s">
        <v>937</v>
      </c>
      <c r="G1005" t="s">
        <v>120</v>
      </c>
      <c r="H1005" t="s">
        <v>479</v>
      </c>
      <c r="J1005" s="202"/>
      <c r="K1005" s="198"/>
      <c r="L1005" s="202"/>
      <c r="M1005" s="202"/>
      <c r="N1005" s="202"/>
      <c r="O1005" s="202"/>
      <c r="P1005" s="202"/>
      <c r="Q1005" s="202"/>
      <c r="R1005" s="202"/>
      <c r="S1005" s="202"/>
    </row>
    <row r="1006" spans="6:19" x14ac:dyDescent="0.25">
      <c r="F1006" t="s">
        <v>938</v>
      </c>
      <c r="G1006" t="s">
        <v>120</v>
      </c>
      <c r="H1006" t="s">
        <v>479</v>
      </c>
      <c r="J1006" s="202"/>
      <c r="K1006" s="198"/>
      <c r="L1006" s="202"/>
      <c r="M1006" s="202"/>
      <c r="N1006" s="202"/>
      <c r="O1006" s="202"/>
      <c r="P1006" s="202"/>
      <c r="Q1006" s="202"/>
      <c r="R1006" s="202"/>
      <c r="S1006" s="202"/>
    </row>
    <row r="1007" spans="6:19" x14ac:dyDescent="0.25">
      <c r="F1007" t="s">
        <v>939</v>
      </c>
      <c r="G1007" t="s">
        <v>120</v>
      </c>
      <c r="H1007" t="s">
        <v>479</v>
      </c>
      <c r="J1007" s="202"/>
      <c r="K1007" s="198"/>
      <c r="L1007" s="202"/>
      <c r="M1007" s="202"/>
      <c r="N1007" s="202"/>
      <c r="O1007" s="202"/>
      <c r="P1007" s="202"/>
      <c r="Q1007" s="202"/>
      <c r="R1007" s="202"/>
      <c r="S1007" s="202"/>
    </row>
    <row r="1008" spans="6:19" x14ac:dyDescent="0.25">
      <c r="F1008" s="17" t="s">
        <v>940</v>
      </c>
      <c r="G1008" s="17" t="s">
        <v>120</v>
      </c>
      <c r="H1008" s="17" t="s">
        <v>479</v>
      </c>
      <c r="I1008" s="122"/>
      <c r="J1008" s="203"/>
      <c r="K1008" s="200"/>
      <c r="L1008" s="203"/>
      <c r="M1008" s="203"/>
      <c r="N1008" s="203"/>
      <c r="O1008" s="203"/>
      <c r="P1008" s="203"/>
      <c r="Q1008" s="203"/>
      <c r="R1008" s="203"/>
      <c r="S1008" s="203"/>
    </row>
    <row r="1009" spans="5:19" x14ac:dyDescent="0.25">
      <c r="J1009" s="198"/>
      <c r="K1009" s="198"/>
      <c r="L1009" s="198"/>
      <c r="M1009" s="198"/>
      <c r="N1009" s="198"/>
      <c r="O1009" s="198"/>
      <c r="P1009" s="198"/>
      <c r="Q1009" s="198"/>
      <c r="R1009" s="198"/>
      <c r="S1009" s="198"/>
    </row>
    <row r="1010" spans="5:19" x14ac:dyDescent="0.25">
      <c r="E1010" s="121" t="s">
        <v>74</v>
      </c>
      <c r="J1010" s="198"/>
      <c r="K1010" s="198"/>
      <c r="L1010" s="198"/>
      <c r="M1010" s="198"/>
      <c r="N1010" s="198"/>
      <c r="O1010" s="198"/>
      <c r="P1010" s="198"/>
      <c r="Q1010" s="198"/>
      <c r="R1010" s="198"/>
      <c r="S1010" s="198"/>
    </row>
    <row r="1011" spans="5:19" x14ac:dyDescent="0.25">
      <c r="F1011" s="80" t="s">
        <v>925</v>
      </c>
      <c r="G1011" s="80" t="s">
        <v>74</v>
      </c>
      <c r="H1011" s="80" t="s">
        <v>479</v>
      </c>
      <c r="I1011" s="94"/>
      <c r="J1011" s="201"/>
      <c r="K1011" s="196"/>
      <c r="L1011" s="201"/>
      <c r="M1011" s="201"/>
      <c r="N1011" s="201"/>
      <c r="O1011" s="201"/>
      <c r="P1011" s="201"/>
      <c r="Q1011" s="201"/>
      <c r="R1011" s="201"/>
      <c r="S1011" s="201"/>
    </row>
    <row r="1012" spans="5:19" x14ac:dyDescent="0.25">
      <c r="F1012" t="s">
        <v>926</v>
      </c>
      <c r="G1012" t="s">
        <v>74</v>
      </c>
      <c r="H1012" t="s">
        <v>479</v>
      </c>
      <c r="J1012" s="202"/>
      <c r="K1012" s="198"/>
      <c r="L1012" s="202"/>
      <c r="M1012" s="202"/>
      <c r="N1012" s="202"/>
      <c r="O1012" s="202"/>
      <c r="P1012" s="202"/>
      <c r="Q1012" s="202"/>
      <c r="R1012" s="202"/>
      <c r="S1012" s="202"/>
    </row>
    <row r="1013" spans="5:19" x14ac:dyDescent="0.25">
      <c r="F1013" t="s">
        <v>927</v>
      </c>
      <c r="G1013" t="s">
        <v>74</v>
      </c>
      <c r="H1013" t="s">
        <v>479</v>
      </c>
      <c r="J1013" s="197">
        <f t="shared" ref="J1013" si="201">CHOOSE(year_selection, L1013,M1013,N1013,O1013,P1013,Q1013,R1013,S1013)</f>
        <v>307</v>
      </c>
      <c r="K1013" s="198"/>
      <c r="L1013" s="281"/>
      <c r="M1013" s="281">
        <v>337</v>
      </c>
      <c r="N1013" s="281">
        <v>370</v>
      </c>
      <c r="O1013" s="281">
        <v>307</v>
      </c>
      <c r="P1013" s="281">
        <f t="shared" ref="P1013:S1013" si="202">$O1013</f>
        <v>307</v>
      </c>
      <c r="Q1013" s="281">
        <f t="shared" si="202"/>
        <v>307</v>
      </c>
      <c r="R1013" s="281">
        <f t="shared" si="202"/>
        <v>307</v>
      </c>
      <c r="S1013" s="281">
        <f t="shared" si="202"/>
        <v>307</v>
      </c>
    </row>
    <row r="1014" spans="5:19" x14ac:dyDescent="0.25">
      <c r="F1014" t="s">
        <v>928</v>
      </c>
      <c r="G1014" t="s">
        <v>74</v>
      </c>
      <c r="H1014" t="s">
        <v>479</v>
      </c>
      <c r="J1014" s="202"/>
      <c r="K1014" s="198"/>
      <c r="L1014" s="202"/>
      <c r="M1014" s="202"/>
      <c r="N1014" s="202"/>
      <c r="O1014" s="202"/>
      <c r="P1014" s="202"/>
      <c r="Q1014" s="202"/>
      <c r="R1014" s="202"/>
      <c r="S1014" s="202"/>
    </row>
    <row r="1015" spans="5:19" x14ac:dyDescent="0.25">
      <c r="F1015" t="s">
        <v>929</v>
      </c>
      <c r="G1015" t="s">
        <v>74</v>
      </c>
      <c r="H1015" t="s">
        <v>479</v>
      </c>
      <c r="J1015" s="197">
        <f t="shared" ref="J1015" si="203">CHOOSE(year_selection, L1015,M1015,N1015,O1015,P1015,Q1015,R1015,S1015)</f>
        <v>34</v>
      </c>
      <c r="K1015" s="198"/>
      <c r="L1015" s="281"/>
      <c r="M1015" s="281">
        <v>25</v>
      </c>
      <c r="N1015" s="281">
        <v>32</v>
      </c>
      <c r="O1015" s="281">
        <v>34</v>
      </c>
      <c r="P1015" s="281">
        <f t="shared" ref="P1015:S1015" si="204">$O1015</f>
        <v>34</v>
      </c>
      <c r="Q1015" s="281">
        <f t="shared" si="204"/>
        <v>34</v>
      </c>
      <c r="R1015" s="281">
        <f t="shared" si="204"/>
        <v>34</v>
      </c>
      <c r="S1015" s="281">
        <f t="shared" si="204"/>
        <v>34</v>
      </c>
    </row>
    <row r="1016" spans="5:19" x14ac:dyDescent="0.25">
      <c r="F1016" t="s">
        <v>930</v>
      </c>
      <c r="G1016" t="s">
        <v>74</v>
      </c>
      <c r="H1016" t="s">
        <v>479</v>
      </c>
      <c r="J1016" s="202"/>
      <c r="K1016" s="198"/>
      <c r="L1016" s="202"/>
      <c r="M1016" s="202"/>
      <c r="N1016" s="202"/>
      <c r="O1016" s="202"/>
      <c r="P1016" s="202"/>
      <c r="Q1016" s="202"/>
      <c r="R1016" s="202"/>
      <c r="S1016" s="202"/>
    </row>
    <row r="1017" spans="5:19" x14ac:dyDescent="0.25">
      <c r="F1017" t="s">
        <v>931</v>
      </c>
      <c r="G1017" t="s">
        <v>74</v>
      </c>
      <c r="H1017" t="s">
        <v>479</v>
      </c>
      <c r="J1017" s="202"/>
      <c r="K1017" s="198"/>
      <c r="L1017" s="202"/>
      <c r="M1017" s="202"/>
      <c r="N1017" s="202"/>
      <c r="O1017" s="202"/>
      <c r="P1017" s="202"/>
      <c r="Q1017" s="202"/>
      <c r="R1017" s="202"/>
      <c r="S1017" s="202"/>
    </row>
    <row r="1018" spans="5:19" x14ac:dyDescent="0.25">
      <c r="F1018" t="s">
        <v>932</v>
      </c>
      <c r="G1018" t="s">
        <v>74</v>
      </c>
      <c r="H1018" t="s">
        <v>479</v>
      </c>
      <c r="J1018" s="202"/>
      <c r="K1018" s="198"/>
      <c r="L1018" s="202"/>
      <c r="M1018" s="202"/>
      <c r="N1018" s="202"/>
      <c r="O1018" s="202"/>
      <c r="P1018" s="202"/>
      <c r="Q1018" s="202"/>
      <c r="R1018" s="202"/>
      <c r="S1018" s="202"/>
    </row>
    <row r="1019" spans="5:19" x14ac:dyDescent="0.25">
      <c r="F1019" t="s">
        <v>933</v>
      </c>
      <c r="G1019" t="s">
        <v>74</v>
      </c>
      <c r="H1019" t="s">
        <v>479</v>
      </c>
      <c r="J1019" s="202"/>
      <c r="K1019" s="198"/>
      <c r="L1019" s="202"/>
      <c r="M1019" s="202"/>
      <c r="N1019" s="202"/>
      <c r="O1019" s="202"/>
      <c r="P1019" s="202"/>
      <c r="Q1019" s="202"/>
      <c r="R1019" s="202"/>
      <c r="S1019" s="202"/>
    </row>
    <row r="1020" spans="5:19" x14ac:dyDescent="0.25">
      <c r="F1020" t="s">
        <v>934</v>
      </c>
      <c r="G1020" t="s">
        <v>74</v>
      </c>
      <c r="H1020" t="s">
        <v>479</v>
      </c>
      <c r="J1020" s="202"/>
      <c r="K1020" s="198"/>
      <c r="L1020" s="202"/>
      <c r="M1020" s="202"/>
      <c r="N1020" s="202"/>
      <c r="O1020" s="202"/>
      <c r="P1020" s="202"/>
      <c r="Q1020" s="202"/>
      <c r="R1020" s="202"/>
      <c r="S1020" s="202"/>
    </row>
    <row r="1021" spans="5:19" x14ac:dyDescent="0.25">
      <c r="F1021" t="s">
        <v>935</v>
      </c>
      <c r="G1021" t="s">
        <v>74</v>
      </c>
      <c r="H1021" t="s">
        <v>479</v>
      </c>
      <c r="J1021" s="202"/>
      <c r="K1021" s="198"/>
      <c r="L1021" s="202"/>
      <c r="M1021" s="202"/>
      <c r="N1021" s="202"/>
      <c r="O1021" s="202"/>
      <c r="P1021" s="202"/>
      <c r="Q1021" s="202"/>
      <c r="R1021" s="202"/>
      <c r="S1021" s="202"/>
    </row>
    <row r="1022" spans="5:19" x14ac:dyDescent="0.25">
      <c r="F1022" t="s">
        <v>936</v>
      </c>
      <c r="G1022" t="s">
        <v>74</v>
      </c>
      <c r="H1022" t="s">
        <v>479</v>
      </c>
      <c r="J1022" s="202"/>
      <c r="K1022" s="198"/>
      <c r="L1022" s="202"/>
      <c r="M1022" s="202"/>
      <c r="N1022" s="202"/>
      <c r="O1022" s="202"/>
      <c r="P1022" s="202"/>
      <c r="Q1022" s="202"/>
      <c r="R1022" s="202"/>
      <c r="S1022" s="202"/>
    </row>
    <row r="1023" spans="5:19" x14ac:dyDescent="0.25">
      <c r="F1023" t="s">
        <v>937</v>
      </c>
      <c r="G1023" t="s">
        <v>74</v>
      </c>
      <c r="H1023" t="s">
        <v>479</v>
      </c>
      <c r="J1023" s="202"/>
      <c r="K1023" s="198"/>
      <c r="L1023" s="202"/>
      <c r="M1023" s="202"/>
      <c r="N1023" s="202"/>
      <c r="O1023" s="202"/>
      <c r="P1023" s="202"/>
      <c r="Q1023" s="202"/>
      <c r="R1023" s="202"/>
      <c r="S1023" s="202"/>
    </row>
    <row r="1024" spans="5:19" x14ac:dyDescent="0.25">
      <c r="F1024" t="s">
        <v>938</v>
      </c>
      <c r="G1024" t="s">
        <v>74</v>
      </c>
      <c r="H1024" t="s">
        <v>479</v>
      </c>
      <c r="J1024" s="202"/>
      <c r="K1024" s="198"/>
      <c r="L1024" s="202"/>
      <c r="M1024" s="202"/>
      <c r="N1024" s="202"/>
      <c r="O1024" s="202"/>
      <c r="P1024" s="202"/>
      <c r="Q1024" s="202"/>
      <c r="R1024" s="202"/>
      <c r="S1024" s="202"/>
    </row>
    <row r="1025" spans="5:19" x14ac:dyDescent="0.25">
      <c r="F1025" t="s">
        <v>939</v>
      </c>
      <c r="G1025" t="s">
        <v>74</v>
      </c>
      <c r="H1025" t="s">
        <v>479</v>
      </c>
      <c r="J1025" s="202"/>
      <c r="K1025" s="198"/>
      <c r="L1025" s="202"/>
      <c r="M1025" s="202"/>
      <c r="N1025" s="202"/>
      <c r="O1025" s="202"/>
      <c r="P1025" s="202"/>
      <c r="Q1025" s="202"/>
      <c r="R1025" s="202"/>
      <c r="S1025" s="202"/>
    </row>
    <row r="1026" spans="5:19" x14ac:dyDescent="0.25">
      <c r="F1026" s="17" t="s">
        <v>940</v>
      </c>
      <c r="G1026" s="17" t="s">
        <v>74</v>
      </c>
      <c r="H1026" s="17" t="s">
        <v>479</v>
      </c>
      <c r="I1026" s="122"/>
      <c r="J1026" s="203"/>
      <c r="K1026" s="200"/>
      <c r="L1026" s="203"/>
      <c r="M1026" s="203"/>
      <c r="N1026" s="203"/>
      <c r="O1026" s="203"/>
      <c r="P1026" s="203"/>
      <c r="Q1026" s="203"/>
      <c r="R1026" s="203"/>
      <c r="S1026" s="203"/>
    </row>
    <row r="1027" spans="5:19" x14ac:dyDescent="0.25">
      <c r="J1027" s="198"/>
      <c r="K1027" s="198"/>
      <c r="L1027" s="198"/>
      <c r="M1027" s="198"/>
      <c r="N1027" s="198"/>
      <c r="O1027" s="198"/>
      <c r="P1027" s="198"/>
      <c r="Q1027" s="198"/>
      <c r="R1027" s="198"/>
      <c r="S1027" s="198"/>
    </row>
    <row r="1028" spans="5:19" x14ac:dyDescent="0.25">
      <c r="E1028" s="121" t="s">
        <v>202</v>
      </c>
      <c r="J1028" s="198"/>
      <c r="K1028" s="198"/>
      <c r="L1028" s="198"/>
      <c r="M1028" s="198"/>
      <c r="N1028" s="198"/>
      <c r="O1028" s="198"/>
      <c r="P1028" s="198"/>
      <c r="Q1028" s="198"/>
      <c r="R1028" s="198"/>
      <c r="S1028" s="198"/>
    </row>
    <row r="1029" spans="5:19" x14ac:dyDescent="0.25">
      <c r="F1029" s="80" t="s">
        <v>925</v>
      </c>
      <c r="G1029" s="80" t="s">
        <v>169</v>
      </c>
      <c r="H1029" s="80" t="s">
        <v>479</v>
      </c>
      <c r="I1029" s="94"/>
      <c r="J1029" s="201"/>
      <c r="K1029" s="196"/>
      <c r="L1029" s="201"/>
      <c r="M1029" s="201"/>
      <c r="N1029" s="201"/>
      <c r="O1029" s="201"/>
      <c r="P1029" s="201"/>
      <c r="Q1029" s="201"/>
      <c r="R1029" s="201"/>
      <c r="S1029" s="201"/>
    </row>
    <row r="1030" spans="5:19" x14ac:dyDescent="0.25">
      <c r="F1030" t="s">
        <v>926</v>
      </c>
      <c r="G1030" t="s">
        <v>169</v>
      </c>
      <c r="H1030" t="s">
        <v>479</v>
      </c>
      <c r="J1030" s="202"/>
      <c r="K1030" s="198"/>
      <c r="L1030" s="202"/>
      <c r="M1030" s="202"/>
      <c r="N1030" s="202"/>
      <c r="O1030" s="202"/>
      <c r="P1030" s="202"/>
      <c r="Q1030" s="202"/>
      <c r="R1030" s="202"/>
      <c r="S1030" s="202"/>
    </row>
    <row r="1031" spans="5:19" x14ac:dyDescent="0.25">
      <c r="F1031" t="s">
        <v>927</v>
      </c>
      <c r="G1031" t="s">
        <v>169</v>
      </c>
      <c r="H1031" t="s">
        <v>479</v>
      </c>
      <c r="J1031" s="202"/>
      <c r="K1031" s="198"/>
      <c r="L1031" s="202"/>
      <c r="M1031" s="202"/>
      <c r="N1031" s="202"/>
      <c r="O1031" s="202"/>
      <c r="P1031" s="202"/>
      <c r="Q1031" s="202"/>
      <c r="R1031" s="202"/>
      <c r="S1031" s="202"/>
    </row>
    <row r="1032" spans="5:19" x14ac:dyDescent="0.25">
      <c r="F1032" t="s">
        <v>928</v>
      </c>
      <c r="G1032" t="s">
        <v>169</v>
      </c>
      <c r="H1032" t="s">
        <v>479</v>
      </c>
      <c r="J1032" s="202"/>
      <c r="K1032" s="198"/>
      <c r="L1032" s="202"/>
      <c r="M1032" s="202"/>
      <c r="N1032" s="202"/>
      <c r="O1032" s="202"/>
      <c r="P1032" s="202"/>
      <c r="Q1032" s="202"/>
      <c r="R1032" s="202"/>
      <c r="S1032" s="202"/>
    </row>
    <row r="1033" spans="5:19" x14ac:dyDescent="0.25">
      <c r="F1033" t="s">
        <v>929</v>
      </c>
      <c r="G1033" t="s">
        <v>169</v>
      </c>
      <c r="H1033" t="s">
        <v>479</v>
      </c>
      <c r="J1033" s="197">
        <f t="shared" ref="J1033" si="205">CHOOSE(year_selection, L1033,M1033,N1033,O1033,P1033,Q1033,R1033,S1033)</f>
        <v>3636</v>
      </c>
      <c r="K1033" s="198"/>
      <c r="L1033" s="281"/>
      <c r="M1033" s="281">
        <v>2753</v>
      </c>
      <c r="N1033" s="281">
        <v>3474</v>
      </c>
      <c r="O1033" s="281">
        <v>3636</v>
      </c>
      <c r="P1033" s="281">
        <f t="shared" ref="P1033:S1033" si="206">$O1033</f>
        <v>3636</v>
      </c>
      <c r="Q1033" s="281">
        <f t="shared" si="206"/>
        <v>3636</v>
      </c>
      <c r="R1033" s="281">
        <f t="shared" si="206"/>
        <v>3636</v>
      </c>
      <c r="S1033" s="281">
        <f t="shared" si="206"/>
        <v>3636</v>
      </c>
    </row>
    <row r="1034" spans="5:19" x14ac:dyDescent="0.25">
      <c r="F1034" t="s">
        <v>930</v>
      </c>
      <c r="G1034" t="s">
        <v>169</v>
      </c>
      <c r="H1034" t="s">
        <v>479</v>
      </c>
      <c r="J1034" s="202"/>
      <c r="K1034" s="198"/>
      <c r="L1034" s="202"/>
      <c r="M1034" s="202"/>
      <c r="N1034" s="202"/>
      <c r="O1034" s="202"/>
      <c r="P1034" s="202"/>
      <c r="Q1034" s="202"/>
      <c r="R1034" s="202"/>
      <c r="S1034" s="202"/>
    </row>
    <row r="1035" spans="5:19" x14ac:dyDescent="0.25">
      <c r="F1035" t="s">
        <v>931</v>
      </c>
      <c r="G1035" t="s">
        <v>169</v>
      </c>
      <c r="H1035" t="s">
        <v>479</v>
      </c>
      <c r="J1035" s="202"/>
      <c r="K1035" s="198"/>
      <c r="L1035" s="202"/>
      <c r="M1035" s="202"/>
      <c r="N1035" s="202"/>
      <c r="O1035" s="202"/>
      <c r="P1035" s="202"/>
      <c r="Q1035" s="202"/>
      <c r="R1035" s="202"/>
      <c r="S1035" s="202"/>
    </row>
    <row r="1036" spans="5:19" x14ac:dyDescent="0.25">
      <c r="F1036" t="s">
        <v>932</v>
      </c>
      <c r="G1036" t="s">
        <v>169</v>
      </c>
      <c r="H1036" t="s">
        <v>479</v>
      </c>
      <c r="J1036" s="202"/>
      <c r="K1036" s="198"/>
      <c r="L1036" s="202"/>
      <c r="M1036" s="202"/>
      <c r="N1036" s="202"/>
      <c r="O1036" s="202"/>
      <c r="P1036" s="202"/>
      <c r="Q1036" s="202"/>
      <c r="R1036" s="202"/>
      <c r="S1036" s="202"/>
    </row>
    <row r="1037" spans="5:19" x14ac:dyDescent="0.25">
      <c r="F1037" t="s">
        <v>933</v>
      </c>
      <c r="G1037" t="s">
        <v>169</v>
      </c>
      <c r="H1037" t="s">
        <v>479</v>
      </c>
      <c r="J1037" s="202"/>
      <c r="K1037" s="198"/>
      <c r="L1037" s="202"/>
      <c r="M1037" s="202"/>
      <c r="N1037" s="202"/>
      <c r="O1037" s="202"/>
      <c r="P1037" s="202"/>
      <c r="Q1037" s="202"/>
      <c r="R1037" s="202"/>
      <c r="S1037" s="202"/>
    </row>
    <row r="1038" spans="5:19" x14ac:dyDescent="0.25">
      <c r="F1038" t="s">
        <v>934</v>
      </c>
      <c r="G1038" t="s">
        <v>169</v>
      </c>
      <c r="H1038" t="s">
        <v>479</v>
      </c>
      <c r="J1038" s="202"/>
      <c r="K1038" s="198"/>
      <c r="L1038" s="202"/>
      <c r="M1038" s="202"/>
      <c r="N1038" s="202"/>
      <c r="O1038" s="202"/>
      <c r="P1038" s="202"/>
      <c r="Q1038" s="202"/>
      <c r="R1038" s="202"/>
      <c r="S1038" s="202"/>
    </row>
    <row r="1039" spans="5:19" x14ac:dyDescent="0.25">
      <c r="F1039" t="s">
        <v>935</v>
      </c>
      <c r="G1039" t="s">
        <v>169</v>
      </c>
      <c r="H1039" t="s">
        <v>479</v>
      </c>
      <c r="J1039" s="202"/>
      <c r="K1039" s="198"/>
      <c r="L1039" s="202"/>
      <c r="M1039" s="202"/>
      <c r="N1039" s="202"/>
      <c r="O1039" s="202"/>
      <c r="P1039" s="202"/>
      <c r="Q1039" s="202"/>
      <c r="R1039" s="202"/>
      <c r="S1039" s="202"/>
    </row>
    <row r="1040" spans="5:19" x14ac:dyDescent="0.25">
      <c r="F1040" t="s">
        <v>936</v>
      </c>
      <c r="G1040" t="s">
        <v>169</v>
      </c>
      <c r="H1040" t="s">
        <v>479</v>
      </c>
      <c r="J1040" s="202"/>
      <c r="K1040" s="198"/>
      <c r="L1040" s="202"/>
      <c r="M1040" s="202"/>
      <c r="N1040" s="202"/>
      <c r="O1040" s="202"/>
      <c r="P1040" s="202"/>
      <c r="Q1040" s="202"/>
      <c r="R1040" s="202"/>
      <c r="S1040" s="202"/>
    </row>
    <row r="1041" spans="5:19" x14ac:dyDescent="0.25">
      <c r="F1041" t="s">
        <v>937</v>
      </c>
      <c r="G1041" t="s">
        <v>169</v>
      </c>
      <c r="H1041" t="s">
        <v>479</v>
      </c>
      <c r="J1041" s="202"/>
      <c r="K1041" s="198"/>
      <c r="L1041" s="202"/>
      <c r="M1041" s="202"/>
      <c r="N1041" s="202"/>
      <c r="O1041" s="202"/>
      <c r="P1041" s="202"/>
      <c r="Q1041" s="202"/>
      <c r="R1041" s="202"/>
      <c r="S1041" s="202"/>
    </row>
    <row r="1042" spans="5:19" x14ac:dyDescent="0.25">
      <c r="F1042" t="s">
        <v>938</v>
      </c>
      <c r="G1042" t="s">
        <v>169</v>
      </c>
      <c r="H1042" t="s">
        <v>479</v>
      </c>
      <c r="J1042" s="202"/>
      <c r="K1042" s="198"/>
      <c r="L1042" s="202"/>
      <c r="M1042" s="202"/>
      <c r="N1042" s="202"/>
      <c r="O1042" s="202"/>
      <c r="P1042" s="202"/>
      <c r="Q1042" s="202"/>
      <c r="R1042" s="202"/>
      <c r="S1042" s="202"/>
    </row>
    <row r="1043" spans="5:19" x14ac:dyDescent="0.25">
      <c r="F1043" t="s">
        <v>939</v>
      </c>
      <c r="G1043" t="s">
        <v>169</v>
      </c>
      <c r="H1043" t="s">
        <v>479</v>
      </c>
      <c r="J1043" s="202"/>
      <c r="K1043" s="198"/>
      <c r="L1043" s="202"/>
      <c r="M1043" s="202"/>
      <c r="N1043" s="202"/>
      <c r="O1043" s="202"/>
      <c r="P1043" s="202"/>
      <c r="Q1043" s="202"/>
      <c r="R1043" s="202"/>
      <c r="S1043" s="202"/>
    </row>
    <row r="1044" spans="5:19" x14ac:dyDescent="0.25">
      <c r="F1044" s="17" t="s">
        <v>940</v>
      </c>
      <c r="G1044" s="17" t="s">
        <v>169</v>
      </c>
      <c r="H1044" s="17" t="s">
        <v>479</v>
      </c>
      <c r="I1044" s="122"/>
      <c r="J1044" s="203"/>
      <c r="K1044" s="200"/>
      <c r="L1044" s="203"/>
      <c r="M1044" s="203"/>
      <c r="N1044" s="203"/>
      <c r="O1044" s="203"/>
      <c r="P1044" s="203"/>
      <c r="Q1044" s="203"/>
      <c r="R1044" s="203"/>
      <c r="S1044" s="203"/>
    </row>
    <row r="1045" spans="5:19" x14ac:dyDescent="0.25">
      <c r="J1045" s="198"/>
      <c r="K1045" s="198"/>
      <c r="L1045" s="198"/>
      <c r="M1045" s="198"/>
      <c r="N1045" s="198"/>
      <c r="O1045" s="198"/>
      <c r="P1045" s="198"/>
      <c r="Q1045" s="198"/>
      <c r="R1045" s="198"/>
      <c r="S1045" s="198"/>
    </row>
    <row r="1046" spans="5:19" x14ac:dyDescent="0.25">
      <c r="E1046" s="121" t="s">
        <v>203</v>
      </c>
      <c r="J1046" s="198"/>
      <c r="K1046" s="198"/>
      <c r="L1046" s="198"/>
      <c r="M1046" s="198"/>
      <c r="N1046" s="198"/>
      <c r="O1046" s="198"/>
      <c r="P1046" s="198"/>
      <c r="Q1046" s="198"/>
      <c r="R1046" s="198"/>
      <c r="S1046" s="198"/>
    </row>
    <row r="1047" spans="5:19" x14ac:dyDescent="0.25">
      <c r="F1047" s="80" t="s">
        <v>925</v>
      </c>
      <c r="G1047" s="80" t="s">
        <v>169</v>
      </c>
      <c r="H1047" s="80" t="s">
        <v>479</v>
      </c>
      <c r="I1047" s="94"/>
      <c r="J1047" s="201"/>
      <c r="K1047" s="196"/>
      <c r="L1047" s="201"/>
      <c r="M1047" s="201"/>
      <c r="N1047" s="201"/>
      <c r="O1047" s="201"/>
      <c r="P1047" s="201"/>
      <c r="Q1047" s="201"/>
      <c r="R1047" s="201"/>
      <c r="S1047" s="201"/>
    </row>
    <row r="1048" spans="5:19" x14ac:dyDescent="0.25">
      <c r="F1048" t="s">
        <v>926</v>
      </c>
      <c r="G1048" t="s">
        <v>169</v>
      </c>
      <c r="H1048" t="s">
        <v>479</v>
      </c>
      <c r="J1048" s="202"/>
      <c r="K1048" s="198"/>
      <c r="L1048" s="202"/>
      <c r="M1048" s="202"/>
      <c r="N1048" s="202"/>
      <c r="O1048" s="202"/>
      <c r="P1048" s="202"/>
      <c r="Q1048" s="202"/>
      <c r="R1048" s="202"/>
      <c r="S1048" s="202"/>
    </row>
    <row r="1049" spans="5:19" x14ac:dyDescent="0.25">
      <c r="F1049" t="s">
        <v>927</v>
      </c>
      <c r="G1049" t="s">
        <v>169</v>
      </c>
      <c r="H1049" t="s">
        <v>479</v>
      </c>
      <c r="J1049" s="202"/>
      <c r="K1049" s="198"/>
      <c r="L1049" s="202"/>
      <c r="M1049" s="202"/>
      <c r="N1049" s="202"/>
      <c r="O1049" s="202"/>
      <c r="P1049" s="202"/>
      <c r="Q1049" s="202"/>
      <c r="R1049" s="202"/>
      <c r="S1049" s="202"/>
    </row>
    <row r="1050" spans="5:19" x14ac:dyDescent="0.25">
      <c r="F1050" t="s">
        <v>928</v>
      </c>
      <c r="G1050" t="s">
        <v>169</v>
      </c>
      <c r="H1050" t="s">
        <v>479</v>
      </c>
      <c r="J1050" s="202"/>
      <c r="K1050" s="198"/>
      <c r="L1050" s="202"/>
      <c r="M1050" s="202"/>
      <c r="N1050" s="202"/>
      <c r="O1050" s="202"/>
      <c r="P1050" s="202"/>
      <c r="Q1050" s="202"/>
      <c r="R1050" s="202"/>
      <c r="S1050" s="202"/>
    </row>
    <row r="1051" spans="5:19" x14ac:dyDescent="0.25">
      <c r="F1051" t="s">
        <v>929</v>
      </c>
      <c r="G1051" t="s">
        <v>169</v>
      </c>
      <c r="H1051" t="s">
        <v>479</v>
      </c>
      <c r="J1051" s="197">
        <f t="shared" ref="J1051" si="207">CHOOSE(year_selection, L1051,M1051,N1051,O1051,P1051,Q1051,R1051,S1051)</f>
        <v>12</v>
      </c>
      <c r="K1051" s="198"/>
      <c r="L1051" s="281"/>
      <c r="M1051" s="281">
        <v>8</v>
      </c>
      <c r="N1051" s="281">
        <v>15</v>
      </c>
      <c r="O1051" s="281">
        <v>12</v>
      </c>
      <c r="P1051" s="281">
        <f t="shared" ref="P1051:S1051" si="208">$O1051</f>
        <v>12</v>
      </c>
      <c r="Q1051" s="281">
        <f t="shared" si="208"/>
        <v>12</v>
      </c>
      <c r="R1051" s="281">
        <f t="shared" si="208"/>
        <v>12</v>
      </c>
      <c r="S1051" s="281">
        <f t="shared" si="208"/>
        <v>12</v>
      </c>
    </row>
    <row r="1052" spans="5:19" x14ac:dyDescent="0.25">
      <c r="F1052" t="s">
        <v>930</v>
      </c>
      <c r="G1052" t="s">
        <v>169</v>
      </c>
      <c r="H1052" t="s">
        <v>479</v>
      </c>
      <c r="J1052" s="202"/>
      <c r="K1052" s="198"/>
      <c r="L1052" s="202"/>
      <c r="M1052" s="202"/>
      <c r="N1052" s="202"/>
      <c r="O1052" s="202"/>
      <c r="P1052" s="202"/>
      <c r="Q1052" s="202"/>
      <c r="R1052" s="202"/>
      <c r="S1052" s="202"/>
    </row>
    <row r="1053" spans="5:19" x14ac:dyDescent="0.25">
      <c r="F1053" t="s">
        <v>931</v>
      </c>
      <c r="G1053" t="s">
        <v>169</v>
      </c>
      <c r="H1053" t="s">
        <v>479</v>
      </c>
      <c r="J1053" s="202"/>
      <c r="K1053" s="198"/>
      <c r="L1053" s="202"/>
      <c r="M1053" s="202"/>
      <c r="N1053" s="202"/>
      <c r="O1053" s="202"/>
      <c r="P1053" s="202"/>
      <c r="Q1053" s="202"/>
      <c r="R1053" s="202"/>
      <c r="S1053" s="202"/>
    </row>
    <row r="1054" spans="5:19" x14ac:dyDescent="0.25">
      <c r="F1054" t="s">
        <v>932</v>
      </c>
      <c r="G1054" t="s">
        <v>169</v>
      </c>
      <c r="H1054" t="s">
        <v>479</v>
      </c>
      <c r="J1054" s="202"/>
      <c r="K1054" s="198"/>
      <c r="L1054" s="202"/>
      <c r="M1054" s="202"/>
      <c r="N1054" s="202"/>
      <c r="O1054" s="202"/>
      <c r="P1054" s="202"/>
      <c r="Q1054" s="202"/>
      <c r="R1054" s="202"/>
      <c r="S1054" s="202"/>
    </row>
    <row r="1055" spans="5:19" x14ac:dyDescent="0.25">
      <c r="F1055" t="s">
        <v>933</v>
      </c>
      <c r="G1055" t="s">
        <v>169</v>
      </c>
      <c r="H1055" t="s">
        <v>479</v>
      </c>
      <c r="J1055" s="202"/>
      <c r="K1055" s="198"/>
      <c r="L1055" s="202"/>
      <c r="M1055" s="202"/>
      <c r="N1055" s="202"/>
      <c r="O1055" s="202"/>
      <c r="P1055" s="202"/>
      <c r="Q1055" s="202"/>
      <c r="R1055" s="202"/>
      <c r="S1055" s="202"/>
    </row>
    <row r="1056" spans="5:19" x14ac:dyDescent="0.25">
      <c r="F1056" t="s">
        <v>934</v>
      </c>
      <c r="G1056" t="s">
        <v>169</v>
      </c>
      <c r="H1056" t="s">
        <v>479</v>
      </c>
      <c r="J1056" s="202"/>
      <c r="K1056" s="198"/>
      <c r="L1056" s="202"/>
      <c r="M1056" s="202"/>
      <c r="N1056" s="202"/>
      <c r="O1056" s="202"/>
      <c r="P1056" s="202"/>
      <c r="Q1056" s="202"/>
      <c r="R1056" s="202"/>
      <c r="S1056" s="202"/>
    </row>
    <row r="1057" spans="5:19" x14ac:dyDescent="0.25">
      <c r="F1057" t="s">
        <v>935</v>
      </c>
      <c r="G1057" t="s">
        <v>169</v>
      </c>
      <c r="H1057" t="s">
        <v>479</v>
      </c>
      <c r="J1057" s="202"/>
      <c r="K1057" s="198"/>
      <c r="L1057" s="202"/>
      <c r="M1057" s="202"/>
      <c r="N1057" s="202"/>
      <c r="O1057" s="202"/>
      <c r="P1057" s="202"/>
      <c r="Q1057" s="202"/>
      <c r="R1057" s="202"/>
      <c r="S1057" s="202"/>
    </row>
    <row r="1058" spans="5:19" x14ac:dyDescent="0.25">
      <c r="F1058" t="s">
        <v>936</v>
      </c>
      <c r="G1058" t="s">
        <v>169</v>
      </c>
      <c r="H1058" t="s">
        <v>479</v>
      </c>
      <c r="J1058" s="202"/>
      <c r="K1058" s="198"/>
      <c r="L1058" s="202"/>
      <c r="M1058" s="202"/>
      <c r="N1058" s="202"/>
      <c r="O1058" s="202"/>
      <c r="P1058" s="202"/>
      <c r="Q1058" s="202"/>
      <c r="R1058" s="202"/>
      <c r="S1058" s="202"/>
    </row>
    <row r="1059" spans="5:19" x14ac:dyDescent="0.25">
      <c r="F1059" t="s">
        <v>937</v>
      </c>
      <c r="G1059" t="s">
        <v>169</v>
      </c>
      <c r="H1059" t="s">
        <v>479</v>
      </c>
      <c r="J1059" s="202"/>
      <c r="K1059" s="198"/>
      <c r="L1059" s="202"/>
      <c r="M1059" s="202"/>
      <c r="N1059" s="202"/>
      <c r="O1059" s="202"/>
      <c r="P1059" s="202"/>
      <c r="Q1059" s="202"/>
      <c r="R1059" s="202"/>
      <c r="S1059" s="202"/>
    </row>
    <row r="1060" spans="5:19" x14ac:dyDescent="0.25">
      <c r="F1060" t="s">
        <v>938</v>
      </c>
      <c r="G1060" t="s">
        <v>169</v>
      </c>
      <c r="H1060" t="s">
        <v>479</v>
      </c>
      <c r="J1060" s="202"/>
      <c r="K1060" s="198"/>
      <c r="L1060" s="202"/>
      <c r="M1060" s="202"/>
      <c r="N1060" s="202"/>
      <c r="O1060" s="202"/>
      <c r="P1060" s="202"/>
      <c r="Q1060" s="202"/>
      <c r="R1060" s="202"/>
      <c r="S1060" s="202"/>
    </row>
    <row r="1061" spans="5:19" x14ac:dyDescent="0.25">
      <c r="F1061" t="s">
        <v>939</v>
      </c>
      <c r="G1061" t="s">
        <v>169</v>
      </c>
      <c r="H1061" t="s">
        <v>479</v>
      </c>
      <c r="J1061" s="202"/>
      <c r="K1061" s="198"/>
      <c r="L1061" s="202"/>
      <c r="M1061" s="202"/>
      <c r="N1061" s="202"/>
      <c r="O1061" s="202"/>
      <c r="P1061" s="202"/>
      <c r="Q1061" s="202"/>
      <c r="R1061" s="202"/>
      <c r="S1061" s="202"/>
    </row>
    <row r="1062" spans="5:19" x14ac:dyDescent="0.25">
      <c r="F1062" s="17" t="s">
        <v>940</v>
      </c>
      <c r="G1062" s="17" t="s">
        <v>169</v>
      </c>
      <c r="H1062" s="17" t="s">
        <v>479</v>
      </c>
      <c r="I1062" s="122"/>
      <c r="J1062" s="203"/>
      <c r="K1062" s="200"/>
      <c r="L1062" s="203"/>
      <c r="M1062" s="203"/>
      <c r="N1062" s="203"/>
      <c r="O1062" s="203"/>
      <c r="P1062" s="203"/>
      <c r="Q1062" s="203"/>
      <c r="R1062" s="203"/>
      <c r="S1062" s="203"/>
    </row>
    <row r="1063" spans="5:19" x14ac:dyDescent="0.25">
      <c r="J1063" s="198"/>
      <c r="K1063" s="198"/>
      <c r="L1063" s="198"/>
      <c r="M1063" s="198"/>
      <c r="N1063" s="198"/>
      <c r="O1063" s="198"/>
      <c r="P1063" s="198"/>
      <c r="Q1063" s="198"/>
      <c r="R1063" s="198"/>
      <c r="S1063" s="198"/>
    </row>
    <row r="1064" spans="5:19" x14ac:dyDescent="0.25">
      <c r="E1064" s="121" t="s">
        <v>204</v>
      </c>
      <c r="J1064" s="198"/>
      <c r="K1064" s="198"/>
      <c r="L1064" s="198"/>
      <c r="M1064" s="198"/>
      <c r="N1064" s="198"/>
      <c r="O1064" s="198"/>
      <c r="P1064" s="198"/>
      <c r="Q1064" s="198"/>
      <c r="R1064" s="198"/>
      <c r="S1064" s="198"/>
    </row>
    <row r="1065" spans="5:19" x14ac:dyDescent="0.25">
      <c r="F1065" s="80" t="s">
        <v>925</v>
      </c>
      <c r="G1065" s="80" t="s">
        <v>170</v>
      </c>
      <c r="H1065" s="80" t="s">
        <v>479</v>
      </c>
      <c r="I1065" s="94"/>
      <c r="J1065" s="201"/>
      <c r="K1065" s="196"/>
      <c r="L1065" s="201"/>
      <c r="M1065" s="201"/>
      <c r="N1065" s="201"/>
      <c r="O1065" s="201"/>
      <c r="P1065" s="201"/>
      <c r="Q1065" s="201"/>
      <c r="R1065" s="201"/>
      <c r="S1065" s="201"/>
    </row>
    <row r="1066" spans="5:19" x14ac:dyDescent="0.25">
      <c r="F1066" t="s">
        <v>926</v>
      </c>
      <c r="G1066" t="s">
        <v>170</v>
      </c>
      <c r="H1066" t="s">
        <v>479</v>
      </c>
      <c r="J1066" s="202"/>
      <c r="K1066" s="198"/>
      <c r="L1066" s="202"/>
      <c r="M1066" s="202"/>
      <c r="N1066" s="202"/>
      <c r="O1066" s="202"/>
      <c r="P1066" s="202"/>
      <c r="Q1066" s="202"/>
      <c r="R1066" s="202"/>
      <c r="S1066" s="202"/>
    </row>
    <row r="1067" spans="5:19" x14ac:dyDescent="0.25">
      <c r="F1067" t="s">
        <v>927</v>
      </c>
      <c r="G1067" t="s">
        <v>170</v>
      </c>
      <c r="H1067" t="s">
        <v>479</v>
      </c>
      <c r="J1067" s="202"/>
      <c r="K1067" s="198"/>
      <c r="L1067" s="202"/>
      <c r="M1067" s="202"/>
      <c r="N1067" s="202"/>
      <c r="O1067" s="202"/>
      <c r="P1067" s="202"/>
      <c r="Q1067" s="202"/>
      <c r="R1067" s="202"/>
      <c r="S1067" s="202"/>
    </row>
    <row r="1068" spans="5:19" x14ac:dyDescent="0.25">
      <c r="F1068" t="s">
        <v>928</v>
      </c>
      <c r="G1068" t="s">
        <v>170</v>
      </c>
      <c r="H1068" t="s">
        <v>479</v>
      </c>
      <c r="J1068" s="202"/>
      <c r="K1068" s="198"/>
      <c r="L1068" s="202"/>
      <c r="M1068" s="202"/>
      <c r="N1068" s="202"/>
      <c r="O1068" s="202"/>
      <c r="P1068" s="202"/>
      <c r="Q1068" s="202"/>
      <c r="R1068" s="202"/>
      <c r="S1068" s="202"/>
    </row>
    <row r="1069" spans="5:19" x14ac:dyDescent="0.25">
      <c r="F1069" t="s">
        <v>929</v>
      </c>
      <c r="G1069" t="s">
        <v>170</v>
      </c>
      <c r="H1069" t="s">
        <v>479</v>
      </c>
      <c r="J1069" s="197">
        <f t="shared" ref="J1069" si="209">CHOOSE(year_selection, L1069,M1069,N1069,O1069,P1069,Q1069,R1069,S1069)</f>
        <v>242.67099999999999</v>
      </c>
      <c r="K1069" s="198"/>
      <c r="L1069" s="281"/>
      <c r="M1069" s="281">
        <v>222.25727486422957</v>
      </c>
      <c r="N1069" s="281">
        <v>292.44900000000001</v>
      </c>
      <c r="O1069" s="281">
        <v>242.67099999999999</v>
      </c>
      <c r="P1069" s="281">
        <f t="shared" ref="P1069:S1069" si="210">$O1069</f>
        <v>242.67099999999999</v>
      </c>
      <c r="Q1069" s="281">
        <f t="shared" si="210"/>
        <v>242.67099999999999</v>
      </c>
      <c r="R1069" s="281">
        <f t="shared" si="210"/>
        <v>242.67099999999999</v>
      </c>
      <c r="S1069" s="281">
        <f t="shared" si="210"/>
        <v>242.67099999999999</v>
      </c>
    </row>
    <row r="1070" spans="5:19" x14ac:dyDescent="0.25">
      <c r="F1070" t="s">
        <v>930</v>
      </c>
      <c r="G1070" t="s">
        <v>170</v>
      </c>
      <c r="H1070" t="s">
        <v>479</v>
      </c>
      <c r="J1070" s="202"/>
      <c r="K1070" s="198"/>
      <c r="L1070" s="202"/>
      <c r="M1070" s="202"/>
      <c r="N1070" s="202"/>
      <c r="O1070" s="202"/>
      <c r="P1070" s="202"/>
      <c r="Q1070" s="202"/>
      <c r="R1070" s="202"/>
      <c r="S1070" s="202"/>
    </row>
    <row r="1071" spans="5:19" x14ac:dyDescent="0.25">
      <c r="F1071" t="s">
        <v>931</v>
      </c>
      <c r="G1071" t="s">
        <v>170</v>
      </c>
      <c r="H1071" t="s">
        <v>479</v>
      </c>
      <c r="J1071" s="202"/>
      <c r="K1071" s="198"/>
      <c r="L1071" s="202"/>
      <c r="M1071" s="202"/>
      <c r="N1071" s="202"/>
      <c r="O1071" s="202"/>
      <c r="P1071" s="202"/>
      <c r="Q1071" s="202"/>
      <c r="R1071" s="202"/>
      <c r="S1071" s="202"/>
    </row>
    <row r="1072" spans="5:19" x14ac:dyDescent="0.25">
      <c r="F1072" t="s">
        <v>932</v>
      </c>
      <c r="G1072" t="s">
        <v>170</v>
      </c>
      <c r="H1072" t="s">
        <v>479</v>
      </c>
      <c r="J1072" s="202"/>
      <c r="K1072" s="198"/>
      <c r="L1072" s="202"/>
      <c r="M1072" s="202"/>
      <c r="N1072" s="202"/>
      <c r="O1072" s="202"/>
      <c r="P1072" s="202"/>
      <c r="Q1072" s="202"/>
      <c r="R1072" s="202"/>
      <c r="S1072" s="202"/>
    </row>
    <row r="1073" spans="3:21" x14ac:dyDescent="0.25">
      <c r="F1073" t="s">
        <v>933</v>
      </c>
      <c r="G1073" t="s">
        <v>170</v>
      </c>
      <c r="H1073" t="s">
        <v>479</v>
      </c>
      <c r="J1073" s="202"/>
      <c r="K1073" s="198"/>
      <c r="L1073" s="202"/>
      <c r="M1073" s="202"/>
      <c r="N1073" s="202"/>
      <c r="O1073" s="202"/>
      <c r="P1073" s="202"/>
      <c r="Q1073" s="202"/>
      <c r="R1073" s="202"/>
      <c r="S1073" s="202"/>
    </row>
    <row r="1074" spans="3:21" x14ac:dyDescent="0.25">
      <c r="F1074" t="s">
        <v>934</v>
      </c>
      <c r="G1074" t="s">
        <v>170</v>
      </c>
      <c r="H1074" t="s">
        <v>479</v>
      </c>
      <c r="J1074" s="202"/>
      <c r="K1074" s="198"/>
      <c r="L1074" s="202"/>
      <c r="M1074" s="202"/>
      <c r="N1074" s="202"/>
      <c r="O1074" s="202"/>
      <c r="P1074" s="202"/>
      <c r="Q1074" s="202"/>
      <c r="R1074" s="202"/>
      <c r="S1074" s="202"/>
    </row>
    <row r="1075" spans="3:21" x14ac:dyDescent="0.25">
      <c r="F1075" t="s">
        <v>935</v>
      </c>
      <c r="G1075" t="s">
        <v>170</v>
      </c>
      <c r="H1075" t="s">
        <v>479</v>
      </c>
      <c r="J1075" s="202"/>
      <c r="K1075" s="198"/>
      <c r="L1075" s="202"/>
      <c r="M1075" s="202"/>
      <c r="N1075" s="202"/>
      <c r="O1075" s="202"/>
      <c r="P1075" s="202"/>
      <c r="Q1075" s="202"/>
      <c r="R1075" s="202"/>
      <c r="S1075" s="202"/>
    </row>
    <row r="1076" spans="3:21" x14ac:dyDescent="0.25">
      <c r="F1076" t="s">
        <v>936</v>
      </c>
      <c r="G1076" t="s">
        <v>170</v>
      </c>
      <c r="H1076" t="s">
        <v>479</v>
      </c>
      <c r="J1076" s="202"/>
      <c r="K1076" s="198"/>
      <c r="L1076" s="202"/>
      <c r="M1076" s="202"/>
      <c r="N1076" s="202"/>
      <c r="O1076" s="202"/>
      <c r="P1076" s="202"/>
      <c r="Q1076" s="202"/>
      <c r="R1076" s="202"/>
      <c r="S1076" s="202"/>
    </row>
    <row r="1077" spans="3:21" x14ac:dyDescent="0.25">
      <c r="F1077" t="s">
        <v>937</v>
      </c>
      <c r="G1077" t="s">
        <v>170</v>
      </c>
      <c r="H1077" t="s">
        <v>479</v>
      </c>
      <c r="J1077" s="202"/>
      <c r="K1077" s="198"/>
      <c r="L1077" s="202"/>
      <c r="M1077" s="202"/>
      <c r="N1077" s="202"/>
      <c r="O1077" s="202"/>
      <c r="P1077" s="202"/>
      <c r="Q1077" s="202"/>
      <c r="R1077" s="202"/>
      <c r="S1077" s="202"/>
    </row>
    <row r="1078" spans="3:21" x14ac:dyDescent="0.25">
      <c r="F1078" t="s">
        <v>938</v>
      </c>
      <c r="G1078" t="s">
        <v>170</v>
      </c>
      <c r="H1078" t="s">
        <v>479</v>
      </c>
      <c r="J1078" s="202"/>
      <c r="K1078" s="198"/>
      <c r="L1078" s="202"/>
      <c r="M1078" s="202"/>
      <c r="N1078" s="202"/>
      <c r="O1078" s="202"/>
      <c r="P1078" s="202"/>
      <c r="Q1078" s="202"/>
      <c r="R1078" s="202"/>
      <c r="S1078" s="202"/>
    </row>
    <row r="1079" spans="3:21" x14ac:dyDescent="0.25">
      <c r="F1079" t="s">
        <v>939</v>
      </c>
      <c r="G1079" t="s">
        <v>170</v>
      </c>
      <c r="H1079" t="s">
        <v>479</v>
      </c>
      <c r="J1079" s="202"/>
      <c r="K1079" s="198"/>
      <c r="L1079" s="202"/>
      <c r="M1079" s="202"/>
      <c r="N1079" s="202"/>
      <c r="O1079" s="202"/>
      <c r="P1079" s="202"/>
      <c r="Q1079" s="202"/>
      <c r="R1079" s="202"/>
      <c r="S1079" s="202"/>
    </row>
    <row r="1080" spans="3:21" x14ac:dyDescent="0.25">
      <c r="F1080" s="17" t="s">
        <v>940</v>
      </c>
      <c r="G1080" s="17" t="s">
        <v>170</v>
      </c>
      <c r="H1080" s="17" t="s">
        <v>479</v>
      </c>
      <c r="I1080" s="122"/>
      <c r="J1080" s="203"/>
      <c r="K1080" s="200"/>
      <c r="L1080" s="203"/>
      <c r="M1080" s="203"/>
      <c r="N1080" s="203"/>
      <c r="O1080" s="203"/>
      <c r="P1080" s="203"/>
      <c r="Q1080" s="203"/>
      <c r="R1080" s="203"/>
      <c r="S1080" s="203"/>
    </row>
    <row r="1081" spans="3:21" x14ac:dyDescent="0.25">
      <c r="J1081" s="198"/>
      <c r="K1081" s="198"/>
      <c r="L1081" s="198"/>
      <c r="M1081" s="198"/>
      <c r="N1081" s="198"/>
      <c r="O1081" s="198"/>
      <c r="P1081" s="198"/>
      <c r="Q1081" s="198"/>
      <c r="R1081" s="198"/>
      <c r="S1081" s="198"/>
    </row>
    <row r="1082" spans="3:21" x14ac:dyDescent="0.25">
      <c r="C1082" s="5" t="str">
        <f ca="1">INDEX('Version control'!$H$36:$H$62,MATCH($A$1,'Version control'!$F$36:$F$62,0),1)&amp;"-K: LDNO LV volumes - Residual band 3"</f>
        <v>Input 501-K: LDNO LV volumes - Residual band 3</v>
      </c>
      <c r="D1082" s="5"/>
      <c r="E1082" s="5"/>
      <c r="F1082" s="5"/>
      <c r="G1082" s="5"/>
      <c r="H1082" s="5"/>
      <c r="I1082" s="143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</row>
    <row r="1083" spans="3:21" x14ac:dyDescent="0.25">
      <c r="D1083" s="52"/>
    </row>
    <row r="1084" spans="3:21" x14ac:dyDescent="0.25">
      <c r="E1084" s="121" t="s">
        <v>199</v>
      </c>
      <c r="I1084" s="59" t="s">
        <v>359</v>
      </c>
      <c r="U1084" t="s">
        <v>691</v>
      </c>
    </row>
    <row r="1085" spans="3:21" x14ac:dyDescent="0.25">
      <c r="F1085" s="80" t="s">
        <v>925</v>
      </c>
      <c r="G1085" s="80" t="s">
        <v>120</v>
      </c>
      <c r="H1085" s="80" t="s">
        <v>479</v>
      </c>
      <c r="I1085" s="94"/>
      <c r="J1085" s="201"/>
      <c r="K1085" s="196"/>
      <c r="L1085" s="201"/>
      <c r="M1085" s="201"/>
      <c r="N1085" s="201"/>
      <c r="O1085" s="201"/>
      <c r="P1085" s="201"/>
      <c r="Q1085" s="201"/>
      <c r="R1085" s="201"/>
      <c r="S1085" s="201"/>
    </row>
    <row r="1086" spans="3:21" x14ac:dyDescent="0.25">
      <c r="F1086" t="s">
        <v>926</v>
      </c>
      <c r="G1086" t="s">
        <v>120</v>
      </c>
      <c r="H1086" t="s">
        <v>479</v>
      </c>
      <c r="J1086" s="202"/>
      <c r="K1086" s="198"/>
      <c r="L1086" s="202"/>
      <c r="M1086" s="202"/>
      <c r="N1086" s="202"/>
      <c r="O1086" s="202"/>
      <c r="P1086" s="202"/>
      <c r="Q1086" s="202"/>
      <c r="R1086" s="202"/>
      <c r="S1086" s="202"/>
    </row>
    <row r="1087" spans="3:21" x14ac:dyDescent="0.25">
      <c r="F1087" t="s">
        <v>927</v>
      </c>
      <c r="G1087" t="s">
        <v>120</v>
      </c>
      <c r="H1087" t="s">
        <v>479</v>
      </c>
      <c r="J1087" s="197">
        <f t="shared" ref="J1087" si="211">CHOOSE(year_selection, L1087,M1087,N1087,O1087,P1087,Q1087,R1087,S1087)</f>
        <v>163.62443809251536</v>
      </c>
      <c r="K1087" s="198"/>
      <c r="L1087" s="281"/>
      <c r="M1087" s="281">
        <v>117.98859146472792</v>
      </c>
      <c r="N1087" s="281">
        <v>128.7913544685446</v>
      </c>
      <c r="O1087" s="281">
        <v>163.62443809251536</v>
      </c>
      <c r="P1087" s="281">
        <f t="shared" ref="P1087:S1087" si="212">$O1087</f>
        <v>163.62443809251536</v>
      </c>
      <c r="Q1087" s="281">
        <f t="shared" si="212"/>
        <v>163.62443809251536</v>
      </c>
      <c r="R1087" s="281">
        <f t="shared" si="212"/>
        <v>163.62443809251536</v>
      </c>
      <c r="S1087" s="281">
        <f t="shared" si="212"/>
        <v>163.62443809251536</v>
      </c>
    </row>
    <row r="1088" spans="3:21" x14ac:dyDescent="0.25">
      <c r="F1088" t="s">
        <v>928</v>
      </c>
      <c r="G1088" t="s">
        <v>120</v>
      </c>
      <c r="H1088" t="s">
        <v>479</v>
      </c>
      <c r="J1088" s="202"/>
      <c r="K1088" s="198"/>
      <c r="L1088" s="202"/>
      <c r="M1088" s="202"/>
      <c r="N1088" s="202"/>
      <c r="O1088" s="202"/>
      <c r="P1088" s="202"/>
      <c r="Q1088" s="202"/>
      <c r="R1088" s="202"/>
      <c r="S1088" s="202"/>
    </row>
    <row r="1089" spans="5:19" x14ac:dyDescent="0.25">
      <c r="F1089" t="s">
        <v>929</v>
      </c>
      <c r="G1089" t="s">
        <v>120</v>
      </c>
      <c r="H1089" t="s">
        <v>479</v>
      </c>
      <c r="J1089" s="197">
        <f t="shared" ref="J1089" si="213">CHOOSE(year_selection, L1089,M1089,N1089,O1089,P1089,Q1089,R1089,S1089)</f>
        <v>842.48882400362993</v>
      </c>
      <c r="K1089" s="198"/>
      <c r="L1089" s="281"/>
      <c r="M1089" s="281">
        <v>756.76034430892571</v>
      </c>
      <c r="N1089" s="281">
        <v>865.89938943990069</v>
      </c>
      <c r="O1089" s="281">
        <v>842.48882400362993</v>
      </c>
      <c r="P1089" s="281">
        <f t="shared" ref="P1089:S1089" si="214">$O1089</f>
        <v>842.48882400362993</v>
      </c>
      <c r="Q1089" s="281">
        <f t="shared" si="214"/>
        <v>842.48882400362993</v>
      </c>
      <c r="R1089" s="281">
        <f t="shared" si="214"/>
        <v>842.48882400362993</v>
      </c>
      <c r="S1089" s="281">
        <f t="shared" si="214"/>
        <v>842.48882400362993</v>
      </c>
    </row>
    <row r="1090" spans="5:19" x14ac:dyDescent="0.25">
      <c r="F1090" t="s">
        <v>930</v>
      </c>
      <c r="G1090" t="s">
        <v>120</v>
      </c>
      <c r="H1090" t="s">
        <v>479</v>
      </c>
      <c r="J1090" s="202"/>
      <c r="K1090" s="198"/>
      <c r="L1090" s="202"/>
      <c r="M1090" s="202"/>
      <c r="N1090" s="202"/>
      <c r="O1090" s="202"/>
      <c r="P1090" s="202"/>
      <c r="Q1090" s="202"/>
      <c r="R1090" s="202"/>
      <c r="S1090" s="202"/>
    </row>
    <row r="1091" spans="5:19" x14ac:dyDescent="0.25">
      <c r="F1091" t="s">
        <v>931</v>
      </c>
      <c r="G1091" t="s">
        <v>120</v>
      </c>
      <c r="H1091" t="s">
        <v>479</v>
      </c>
      <c r="J1091" s="202"/>
      <c r="K1091" s="198"/>
      <c r="L1091" s="202"/>
      <c r="M1091" s="202"/>
      <c r="N1091" s="202"/>
      <c r="O1091" s="202"/>
      <c r="P1091" s="202"/>
      <c r="Q1091" s="202"/>
      <c r="R1091" s="202"/>
      <c r="S1091" s="202"/>
    </row>
    <row r="1092" spans="5:19" x14ac:dyDescent="0.25">
      <c r="F1092" t="s">
        <v>932</v>
      </c>
      <c r="G1092" t="s">
        <v>120</v>
      </c>
      <c r="H1092" t="s">
        <v>479</v>
      </c>
      <c r="J1092" s="202"/>
      <c r="K1092" s="198"/>
      <c r="L1092" s="202"/>
      <c r="M1092" s="202"/>
      <c r="N1092" s="202"/>
      <c r="O1092" s="202"/>
      <c r="P1092" s="202"/>
      <c r="Q1092" s="202"/>
      <c r="R1092" s="202"/>
      <c r="S1092" s="202"/>
    </row>
    <row r="1093" spans="5:19" x14ac:dyDescent="0.25">
      <c r="F1093" t="s">
        <v>933</v>
      </c>
      <c r="G1093" t="s">
        <v>120</v>
      </c>
      <c r="H1093" t="s">
        <v>479</v>
      </c>
      <c r="J1093" s="202"/>
      <c r="K1093" s="198"/>
      <c r="L1093" s="202"/>
      <c r="M1093" s="202"/>
      <c r="N1093" s="202"/>
      <c r="O1093" s="202"/>
      <c r="P1093" s="202"/>
      <c r="Q1093" s="202"/>
      <c r="R1093" s="202"/>
      <c r="S1093" s="202"/>
    </row>
    <row r="1094" spans="5:19" x14ac:dyDescent="0.25">
      <c r="F1094" t="s">
        <v>934</v>
      </c>
      <c r="G1094" t="s">
        <v>120</v>
      </c>
      <c r="H1094" t="s">
        <v>479</v>
      </c>
      <c r="J1094" s="202"/>
      <c r="K1094" s="198"/>
      <c r="L1094" s="202"/>
      <c r="M1094" s="202"/>
      <c r="N1094" s="202"/>
      <c r="O1094" s="202"/>
      <c r="P1094" s="202"/>
      <c r="Q1094" s="202"/>
      <c r="R1094" s="202"/>
      <c r="S1094" s="202"/>
    </row>
    <row r="1095" spans="5:19" x14ac:dyDescent="0.25">
      <c r="F1095" t="s">
        <v>935</v>
      </c>
      <c r="G1095" t="s">
        <v>120</v>
      </c>
      <c r="H1095" t="s">
        <v>479</v>
      </c>
      <c r="J1095" s="202"/>
      <c r="K1095" s="198"/>
      <c r="L1095" s="202"/>
      <c r="M1095" s="202"/>
      <c r="N1095" s="202"/>
      <c r="O1095" s="202"/>
      <c r="P1095" s="202"/>
      <c r="Q1095" s="202"/>
      <c r="R1095" s="202"/>
      <c r="S1095" s="202"/>
    </row>
    <row r="1096" spans="5:19" x14ac:dyDescent="0.25">
      <c r="F1096" t="s">
        <v>936</v>
      </c>
      <c r="G1096" t="s">
        <v>120</v>
      </c>
      <c r="H1096" t="s">
        <v>479</v>
      </c>
      <c r="J1096" s="202"/>
      <c r="K1096" s="198"/>
      <c r="L1096" s="202"/>
      <c r="M1096" s="202"/>
      <c r="N1096" s="202"/>
      <c r="O1096" s="202"/>
      <c r="P1096" s="202"/>
      <c r="Q1096" s="202"/>
      <c r="R1096" s="202"/>
      <c r="S1096" s="202"/>
    </row>
    <row r="1097" spans="5:19" x14ac:dyDescent="0.25">
      <c r="F1097" t="s">
        <v>937</v>
      </c>
      <c r="G1097" t="s">
        <v>120</v>
      </c>
      <c r="H1097" t="s">
        <v>479</v>
      </c>
      <c r="J1097" s="202"/>
      <c r="K1097" s="198"/>
      <c r="L1097" s="202"/>
      <c r="M1097" s="202"/>
      <c r="N1097" s="202"/>
      <c r="O1097" s="202"/>
      <c r="P1097" s="202"/>
      <c r="Q1097" s="202"/>
      <c r="R1097" s="202"/>
      <c r="S1097" s="202"/>
    </row>
    <row r="1098" spans="5:19" x14ac:dyDescent="0.25">
      <c r="F1098" t="s">
        <v>938</v>
      </c>
      <c r="G1098" t="s">
        <v>120</v>
      </c>
      <c r="H1098" t="s">
        <v>479</v>
      </c>
      <c r="J1098" s="202"/>
      <c r="K1098" s="198"/>
      <c r="L1098" s="202"/>
      <c r="M1098" s="202"/>
      <c r="N1098" s="202"/>
      <c r="O1098" s="202"/>
      <c r="P1098" s="202"/>
      <c r="Q1098" s="202"/>
      <c r="R1098" s="202"/>
      <c r="S1098" s="202"/>
    </row>
    <row r="1099" spans="5:19" x14ac:dyDescent="0.25">
      <c r="F1099" t="s">
        <v>939</v>
      </c>
      <c r="G1099" t="s">
        <v>120</v>
      </c>
      <c r="H1099" t="s">
        <v>479</v>
      </c>
      <c r="J1099" s="202"/>
      <c r="K1099" s="198"/>
      <c r="L1099" s="202"/>
      <c r="M1099" s="202"/>
      <c r="N1099" s="202"/>
      <c r="O1099" s="202"/>
      <c r="P1099" s="202"/>
      <c r="Q1099" s="202"/>
      <c r="R1099" s="202"/>
      <c r="S1099" s="202"/>
    </row>
    <row r="1100" spans="5:19" x14ac:dyDescent="0.25">
      <c r="F1100" s="17" t="s">
        <v>940</v>
      </c>
      <c r="G1100" s="17" t="s">
        <v>120</v>
      </c>
      <c r="H1100" s="17" t="s">
        <v>479</v>
      </c>
      <c r="I1100" s="122"/>
      <c r="J1100" s="203"/>
      <c r="K1100" s="200"/>
      <c r="L1100" s="203"/>
      <c r="M1100" s="203"/>
      <c r="N1100" s="203"/>
      <c r="O1100" s="203"/>
      <c r="P1100" s="203"/>
      <c r="Q1100" s="203"/>
      <c r="R1100" s="203"/>
      <c r="S1100" s="203"/>
    </row>
    <row r="1101" spans="5:19" x14ac:dyDescent="0.25">
      <c r="J1101" s="198"/>
      <c r="K1101" s="198"/>
      <c r="L1101" s="198"/>
      <c r="M1101" s="198"/>
      <c r="N1101" s="198"/>
      <c r="O1101" s="198"/>
      <c r="P1101" s="198"/>
      <c r="Q1101" s="198"/>
      <c r="R1101" s="198"/>
      <c r="S1101" s="198"/>
    </row>
    <row r="1102" spans="5:19" x14ac:dyDescent="0.25">
      <c r="E1102" s="121" t="s">
        <v>200</v>
      </c>
      <c r="J1102" s="198"/>
      <c r="K1102" s="198"/>
      <c r="L1102" s="198"/>
      <c r="M1102" s="198"/>
      <c r="N1102" s="198"/>
      <c r="O1102" s="198"/>
      <c r="P1102" s="198"/>
      <c r="Q1102" s="198"/>
      <c r="R1102" s="198"/>
      <c r="S1102" s="198"/>
    </row>
    <row r="1103" spans="5:19" x14ac:dyDescent="0.25">
      <c r="F1103" s="80" t="s">
        <v>925</v>
      </c>
      <c r="G1103" s="80" t="s">
        <v>120</v>
      </c>
      <c r="H1103" s="80" t="s">
        <v>479</v>
      </c>
      <c r="I1103" s="94"/>
      <c r="J1103" s="201"/>
      <c r="K1103" s="196"/>
      <c r="L1103" s="201"/>
      <c r="M1103" s="201"/>
      <c r="N1103" s="201"/>
      <c r="O1103" s="201"/>
      <c r="P1103" s="201"/>
      <c r="Q1103" s="201"/>
      <c r="R1103" s="201"/>
      <c r="S1103" s="201"/>
    </row>
    <row r="1104" spans="5:19" x14ac:dyDescent="0.25">
      <c r="F1104" t="s">
        <v>926</v>
      </c>
      <c r="G1104" t="s">
        <v>120</v>
      </c>
      <c r="H1104" t="s">
        <v>479</v>
      </c>
      <c r="J1104" s="202"/>
      <c r="K1104" s="198"/>
      <c r="L1104" s="202"/>
      <c r="M1104" s="202"/>
      <c r="N1104" s="202"/>
      <c r="O1104" s="202"/>
      <c r="P1104" s="202"/>
      <c r="Q1104" s="202"/>
      <c r="R1104" s="202"/>
      <c r="S1104" s="202"/>
    </row>
    <row r="1105" spans="5:19" x14ac:dyDescent="0.25">
      <c r="F1105" t="s">
        <v>927</v>
      </c>
      <c r="G1105" t="s">
        <v>120</v>
      </c>
      <c r="H1105" t="s">
        <v>479</v>
      </c>
      <c r="J1105" s="197">
        <f t="shared" ref="J1105" si="215">CHOOSE(year_selection, L1105,M1105,N1105,O1105,P1105,Q1105,R1105,S1105)</f>
        <v>847.64193261639002</v>
      </c>
      <c r="K1105" s="198"/>
      <c r="L1105" s="281"/>
      <c r="M1105" s="281">
        <v>638.89597000221238</v>
      </c>
      <c r="N1105" s="281">
        <v>697.45046327309069</v>
      </c>
      <c r="O1105" s="281">
        <v>847.64193261639002</v>
      </c>
      <c r="P1105" s="281">
        <f t="shared" ref="P1105:S1105" si="216">$O1105</f>
        <v>847.64193261639002</v>
      </c>
      <c r="Q1105" s="281">
        <f t="shared" si="216"/>
        <v>847.64193261639002</v>
      </c>
      <c r="R1105" s="281">
        <f t="shared" si="216"/>
        <v>847.64193261639002</v>
      </c>
      <c r="S1105" s="281">
        <f t="shared" si="216"/>
        <v>847.64193261639002</v>
      </c>
    </row>
    <row r="1106" spans="5:19" x14ac:dyDescent="0.25">
      <c r="F1106" t="s">
        <v>928</v>
      </c>
      <c r="G1106" t="s">
        <v>120</v>
      </c>
      <c r="H1106" t="s">
        <v>479</v>
      </c>
      <c r="J1106" s="202"/>
      <c r="K1106" s="198"/>
      <c r="L1106" s="202"/>
      <c r="M1106" s="202"/>
      <c r="N1106" s="202"/>
      <c r="O1106" s="202"/>
      <c r="P1106" s="202"/>
      <c r="Q1106" s="202"/>
      <c r="R1106" s="202"/>
      <c r="S1106" s="202"/>
    </row>
    <row r="1107" spans="5:19" x14ac:dyDescent="0.25">
      <c r="F1107" t="s">
        <v>929</v>
      </c>
      <c r="G1107" t="s">
        <v>120</v>
      </c>
      <c r="H1107" t="s">
        <v>479</v>
      </c>
      <c r="J1107" s="197">
        <f t="shared" ref="J1107" si="217">CHOOSE(year_selection, L1107,M1107,N1107,O1107,P1107,Q1107,R1107,S1107)</f>
        <v>3794.9815104340501</v>
      </c>
      <c r="K1107" s="198"/>
      <c r="L1107" s="281"/>
      <c r="M1107" s="281">
        <v>3409.7205028847575</v>
      </c>
      <c r="N1107" s="281">
        <v>3901.5437418781526</v>
      </c>
      <c r="O1107" s="281">
        <v>3794.9815104340501</v>
      </c>
      <c r="P1107" s="281">
        <f t="shared" ref="P1107:S1107" si="218">$O1107</f>
        <v>3794.9815104340501</v>
      </c>
      <c r="Q1107" s="281">
        <f t="shared" si="218"/>
        <v>3794.9815104340501</v>
      </c>
      <c r="R1107" s="281">
        <f t="shared" si="218"/>
        <v>3794.9815104340501</v>
      </c>
      <c r="S1107" s="281">
        <f t="shared" si="218"/>
        <v>3794.9815104340501</v>
      </c>
    </row>
    <row r="1108" spans="5:19" x14ac:dyDescent="0.25">
      <c r="F1108" t="s">
        <v>930</v>
      </c>
      <c r="G1108" t="s">
        <v>120</v>
      </c>
      <c r="H1108" t="s">
        <v>479</v>
      </c>
      <c r="J1108" s="202"/>
      <c r="K1108" s="198"/>
      <c r="L1108" s="202"/>
      <c r="M1108" s="202"/>
      <c r="N1108" s="202"/>
      <c r="O1108" s="202"/>
      <c r="P1108" s="202"/>
      <c r="Q1108" s="202"/>
      <c r="R1108" s="202"/>
      <c r="S1108" s="202"/>
    </row>
    <row r="1109" spans="5:19" x14ac:dyDescent="0.25">
      <c r="F1109" t="s">
        <v>931</v>
      </c>
      <c r="G1109" t="s">
        <v>120</v>
      </c>
      <c r="H1109" t="s">
        <v>479</v>
      </c>
      <c r="J1109" s="202"/>
      <c r="K1109" s="198"/>
      <c r="L1109" s="202"/>
      <c r="M1109" s="202"/>
      <c r="N1109" s="202"/>
      <c r="O1109" s="202"/>
      <c r="P1109" s="202"/>
      <c r="Q1109" s="202"/>
      <c r="R1109" s="202"/>
      <c r="S1109" s="202"/>
    </row>
    <row r="1110" spans="5:19" x14ac:dyDescent="0.25">
      <c r="F1110" t="s">
        <v>932</v>
      </c>
      <c r="G1110" t="s">
        <v>120</v>
      </c>
      <c r="H1110" t="s">
        <v>479</v>
      </c>
      <c r="J1110" s="202"/>
      <c r="K1110" s="198"/>
      <c r="L1110" s="202"/>
      <c r="M1110" s="202"/>
      <c r="N1110" s="202"/>
      <c r="O1110" s="202"/>
      <c r="P1110" s="202"/>
      <c r="Q1110" s="202"/>
      <c r="R1110" s="202"/>
      <c r="S1110" s="202"/>
    </row>
    <row r="1111" spans="5:19" x14ac:dyDescent="0.25">
      <c r="F1111" t="s">
        <v>933</v>
      </c>
      <c r="G1111" t="s">
        <v>120</v>
      </c>
      <c r="H1111" t="s">
        <v>479</v>
      </c>
      <c r="J1111" s="202"/>
      <c r="K1111" s="198"/>
      <c r="L1111" s="202"/>
      <c r="M1111" s="202"/>
      <c r="N1111" s="202"/>
      <c r="O1111" s="202"/>
      <c r="P1111" s="202"/>
      <c r="Q1111" s="202"/>
      <c r="R1111" s="202"/>
      <c r="S1111" s="202"/>
    </row>
    <row r="1112" spans="5:19" x14ac:dyDescent="0.25">
      <c r="F1112" t="s">
        <v>934</v>
      </c>
      <c r="G1112" t="s">
        <v>120</v>
      </c>
      <c r="H1112" t="s">
        <v>479</v>
      </c>
      <c r="J1112" s="202"/>
      <c r="K1112" s="198"/>
      <c r="L1112" s="202"/>
      <c r="M1112" s="202"/>
      <c r="N1112" s="202"/>
      <c r="O1112" s="202"/>
      <c r="P1112" s="202"/>
      <c r="Q1112" s="202"/>
      <c r="R1112" s="202"/>
      <c r="S1112" s="202"/>
    </row>
    <row r="1113" spans="5:19" x14ac:dyDescent="0.25">
      <c r="F1113" t="s">
        <v>935</v>
      </c>
      <c r="G1113" t="s">
        <v>120</v>
      </c>
      <c r="H1113" t="s">
        <v>479</v>
      </c>
      <c r="J1113" s="202"/>
      <c r="K1113" s="198"/>
      <c r="L1113" s="202"/>
      <c r="M1113" s="202"/>
      <c r="N1113" s="202"/>
      <c r="O1113" s="202"/>
      <c r="P1113" s="202"/>
      <c r="Q1113" s="202"/>
      <c r="R1113" s="202"/>
      <c r="S1113" s="202"/>
    </row>
    <row r="1114" spans="5:19" x14ac:dyDescent="0.25">
      <c r="F1114" t="s">
        <v>936</v>
      </c>
      <c r="G1114" t="s">
        <v>120</v>
      </c>
      <c r="H1114" t="s">
        <v>479</v>
      </c>
      <c r="J1114" s="202"/>
      <c r="K1114" s="198"/>
      <c r="L1114" s="202"/>
      <c r="M1114" s="202"/>
      <c r="N1114" s="202"/>
      <c r="O1114" s="202"/>
      <c r="P1114" s="202"/>
      <c r="Q1114" s="202"/>
      <c r="R1114" s="202"/>
      <c r="S1114" s="202"/>
    </row>
    <row r="1115" spans="5:19" x14ac:dyDescent="0.25">
      <c r="F1115" t="s">
        <v>937</v>
      </c>
      <c r="G1115" t="s">
        <v>120</v>
      </c>
      <c r="H1115" t="s">
        <v>479</v>
      </c>
      <c r="J1115" s="202"/>
      <c r="K1115" s="198"/>
      <c r="L1115" s="202"/>
      <c r="M1115" s="202"/>
      <c r="N1115" s="202"/>
      <c r="O1115" s="202"/>
      <c r="P1115" s="202"/>
      <c r="Q1115" s="202"/>
      <c r="R1115" s="202"/>
      <c r="S1115" s="202"/>
    </row>
    <row r="1116" spans="5:19" x14ac:dyDescent="0.25">
      <c r="F1116" t="s">
        <v>938</v>
      </c>
      <c r="G1116" t="s">
        <v>120</v>
      </c>
      <c r="H1116" t="s">
        <v>479</v>
      </c>
      <c r="J1116" s="202"/>
      <c r="K1116" s="198"/>
      <c r="L1116" s="202"/>
      <c r="M1116" s="202"/>
      <c r="N1116" s="202"/>
      <c r="O1116" s="202"/>
      <c r="P1116" s="202"/>
      <c r="Q1116" s="202"/>
      <c r="R1116" s="202"/>
      <c r="S1116" s="202"/>
    </row>
    <row r="1117" spans="5:19" x14ac:dyDescent="0.25">
      <c r="F1117" t="s">
        <v>939</v>
      </c>
      <c r="G1117" t="s">
        <v>120</v>
      </c>
      <c r="H1117" t="s">
        <v>479</v>
      </c>
      <c r="J1117" s="202"/>
      <c r="K1117" s="198"/>
      <c r="L1117" s="202"/>
      <c r="M1117" s="202"/>
      <c r="N1117" s="202"/>
      <c r="O1117" s="202"/>
      <c r="P1117" s="202"/>
      <c r="Q1117" s="202"/>
      <c r="R1117" s="202"/>
      <c r="S1117" s="202"/>
    </row>
    <row r="1118" spans="5:19" x14ac:dyDescent="0.25">
      <c r="F1118" s="17" t="s">
        <v>940</v>
      </c>
      <c r="G1118" s="17" t="s">
        <v>120</v>
      </c>
      <c r="H1118" s="17" t="s">
        <v>479</v>
      </c>
      <c r="I1118" s="122"/>
      <c r="J1118" s="203"/>
      <c r="K1118" s="200"/>
      <c r="L1118" s="203"/>
      <c r="M1118" s="203"/>
      <c r="N1118" s="203"/>
      <c r="O1118" s="203"/>
      <c r="P1118" s="203"/>
      <c r="Q1118" s="203"/>
      <c r="R1118" s="203"/>
      <c r="S1118" s="203"/>
    </row>
    <row r="1119" spans="5:19" x14ac:dyDescent="0.25">
      <c r="J1119" s="198"/>
      <c r="K1119" s="198"/>
      <c r="L1119" s="198"/>
      <c r="M1119" s="198"/>
      <c r="N1119" s="198"/>
      <c r="O1119" s="198"/>
      <c r="P1119" s="198"/>
      <c r="Q1119" s="198"/>
      <c r="R1119" s="198"/>
      <c r="S1119" s="198"/>
    </row>
    <row r="1120" spans="5:19" x14ac:dyDescent="0.25">
      <c r="E1120" s="121" t="s">
        <v>201</v>
      </c>
      <c r="J1120" s="198"/>
      <c r="K1120" s="198"/>
      <c r="L1120" s="198"/>
      <c r="M1120" s="198"/>
      <c r="N1120" s="198"/>
      <c r="O1120" s="198"/>
      <c r="P1120" s="198"/>
      <c r="Q1120" s="198"/>
      <c r="R1120" s="198"/>
      <c r="S1120" s="198"/>
    </row>
    <row r="1121" spans="6:19" x14ac:dyDescent="0.25">
      <c r="F1121" s="80" t="s">
        <v>925</v>
      </c>
      <c r="G1121" s="80" t="s">
        <v>120</v>
      </c>
      <c r="H1121" s="80" t="s">
        <v>479</v>
      </c>
      <c r="I1121" s="94"/>
      <c r="J1121" s="201"/>
      <c r="K1121" s="196"/>
      <c r="L1121" s="201"/>
      <c r="M1121" s="201"/>
      <c r="N1121" s="201"/>
      <c r="O1121" s="201"/>
      <c r="P1121" s="201"/>
      <c r="Q1121" s="201"/>
      <c r="R1121" s="201"/>
      <c r="S1121" s="201"/>
    </row>
    <row r="1122" spans="6:19" x14ac:dyDescent="0.25">
      <c r="F1122" t="s">
        <v>926</v>
      </c>
      <c r="G1122" t="s">
        <v>120</v>
      </c>
      <c r="H1122" t="s">
        <v>479</v>
      </c>
      <c r="J1122" s="202"/>
      <c r="K1122" s="198"/>
      <c r="L1122" s="202"/>
      <c r="M1122" s="202"/>
      <c r="N1122" s="202"/>
      <c r="O1122" s="202"/>
      <c r="P1122" s="202"/>
      <c r="Q1122" s="202"/>
      <c r="R1122" s="202"/>
      <c r="S1122" s="202"/>
    </row>
    <row r="1123" spans="6:19" x14ac:dyDescent="0.25">
      <c r="F1123" t="s">
        <v>927</v>
      </c>
      <c r="G1123" t="s">
        <v>120</v>
      </c>
      <c r="H1123" t="s">
        <v>479</v>
      </c>
      <c r="J1123" s="197">
        <f t="shared" ref="J1123" si="219">CHOOSE(year_selection, L1123,M1123,N1123,O1123,P1123,Q1123,R1123,S1123)</f>
        <v>643.56936891302064</v>
      </c>
      <c r="K1123" s="198"/>
      <c r="L1123" s="281"/>
      <c r="M1123" s="281">
        <v>617.57183511853623</v>
      </c>
      <c r="N1123" s="281">
        <v>674.23737280259809</v>
      </c>
      <c r="O1123" s="281">
        <v>643.56936891302064</v>
      </c>
      <c r="P1123" s="281">
        <f t="shared" ref="P1123:S1123" si="220">$O1123</f>
        <v>643.56936891302064</v>
      </c>
      <c r="Q1123" s="281">
        <f t="shared" si="220"/>
        <v>643.56936891302064</v>
      </c>
      <c r="R1123" s="281">
        <f t="shared" si="220"/>
        <v>643.56936891302064</v>
      </c>
      <c r="S1123" s="281">
        <f t="shared" si="220"/>
        <v>643.56936891302064</v>
      </c>
    </row>
    <row r="1124" spans="6:19" x14ac:dyDescent="0.25">
      <c r="F1124" t="s">
        <v>928</v>
      </c>
      <c r="G1124" t="s">
        <v>120</v>
      </c>
      <c r="H1124" t="s">
        <v>479</v>
      </c>
      <c r="J1124" s="202"/>
      <c r="K1124" s="198"/>
      <c r="L1124" s="202"/>
      <c r="M1124" s="202"/>
      <c r="N1124" s="202"/>
      <c r="O1124" s="202"/>
      <c r="P1124" s="202"/>
      <c r="Q1124" s="202"/>
      <c r="R1124" s="202"/>
      <c r="S1124" s="202"/>
    </row>
    <row r="1125" spans="6:19" x14ac:dyDescent="0.25">
      <c r="F1125" t="s">
        <v>929</v>
      </c>
      <c r="G1125" t="s">
        <v>120</v>
      </c>
      <c r="H1125" t="s">
        <v>479</v>
      </c>
      <c r="J1125" s="197">
        <f t="shared" ref="J1125" si="221">CHOOSE(year_selection, L1125,M1125,N1125,O1125,P1125,Q1125,R1125,S1125)</f>
        <v>3385.479841914982</v>
      </c>
      <c r="K1125" s="198"/>
      <c r="L1125" s="281"/>
      <c r="M1125" s="281">
        <v>3123.5241867172135</v>
      </c>
      <c r="N1125" s="281">
        <v>3574.2624427933893</v>
      </c>
      <c r="O1125" s="281">
        <v>3385.479841914982</v>
      </c>
      <c r="P1125" s="281">
        <f t="shared" ref="P1125:S1125" si="222">$O1125</f>
        <v>3385.479841914982</v>
      </c>
      <c r="Q1125" s="281">
        <f t="shared" si="222"/>
        <v>3385.479841914982</v>
      </c>
      <c r="R1125" s="281">
        <f t="shared" si="222"/>
        <v>3385.479841914982</v>
      </c>
      <c r="S1125" s="281">
        <f t="shared" si="222"/>
        <v>3385.479841914982</v>
      </c>
    </row>
    <row r="1126" spans="6:19" x14ac:dyDescent="0.25">
      <c r="F1126" t="s">
        <v>930</v>
      </c>
      <c r="G1126" t="s">
        <v>120</v>
      </c>
      <c r="H1126" t="s">
        <v>479</v>
      </c>
      <c r="J1126" s="202"/>
      <c r="K1126" s="198"/>
      <c r="L1126" s="202"/>
      <c r="M1126" s="202"/>
      <c r="N1126" s="202"/>
      <c r="O1126" s="202"/>
      <c r="P1126" s="202"/>
      <c r="Q1126" s="202"/>
      <c r="R1126" s="202"/>
      <c r="S1126" s="202"/>
    </row>
    <row r="1127" spans="6:19" x14ac:dyDescent="0.25">
      <c r="F1127" t="s">
        <v>931</v>
      </c>
      <c r="G1127" t="s">
        <v>120</v>
      </c>
      <c r="H1127" t="s">
        <v>479</v>
      </c>
      <c r="J1127" s="202"/>
      <c r="K1127" s="198"/>
      <c r="L1127" s="202"/>
      <c r="M1127" s="202"/>
      <c r="N1127" s="202"/>
      <c r="O1127" s="202"/>
      <c r="P1127" s="202"/>
      <c r="Q1127" s="202"/>
      <c r="R1127" s="202"/>
      <c r="S1127" s="202"/>
    </row>
    <row r="1128" spans="6:19" x14ac:dyDescent="0.25">
      <c r="F1128" t="s">
        <v>932</v>
      </c>
      <c r="G1128" t="s">
        <v>120</v>
      </c>
      <c r="H1128" t="s">
        <v>479</v>
      </c>
      <c r="J1128" s="202"/>
      <c r="K1128" s="198"/>
      <c r="L1128" s="202"/>
      <c r="M1128" s="202"/>
      <c r="N1128" s="202"/>
      <c r="O1128" s="202"/>
      <c r="P1128" s="202"/>
      <c r="Q1128" s="202"/>
      <c r="R1128" s="202"/>
      <c r="S1128" s="202"/>
    </row>
    <row r="1129" spans="6:19" x14ac:dyDescent="0.25">
      <c r="F1129" t="s">
        <v>933</v>
      </c>
      <c r="G1129" t="s">
        <v>120</v>
      </c>
      <c r="H1129" t="s">
        <v>479</v>
      </c>
      <c r="J1129" s="202"/>
      <c r="K1129" s="198"/>
      <c r="L1129" s="202"/>
      <c r="M1129" s="202"/>
      <c r="N1129" s="202"/>
      <c r="O1129" s="202"/>
      <c r="P1129" s="202"/>
      <c r="Q1129" s="202"/>
      <c r="R1129" s="202"/>
      <c r="S1129" s="202"/>
    </row>
    <row r="1130" spans="6:19" x14ac:dyDescent="0.25">
      <c r="F1130" t="s">
        <v>934</v>
      </c>
      <c r="G1130" t="s">
        <v>120</v>
      </c>
      <c r="H1130" t="s">
        <v>479</v>
      </c>
      <c r="J1130" s="202"/>
      <c r="K1130" s="198"/>
      <c r="L1130" s="202"/>
      <c r="M1130" s="202"/>
      <c r="N1130" s="202"/>
      <c r="O1130" s="202"/>
      <c r="P1130" s="202"/>
      <c r="Q1130" s="202"/>
      <c r="R1130" s="202"/>
      <c r="S1130" s="202"/>
    </row>
    <row r="1131" spans="6:19" x14ac:dyDescent="0.25">
      <c r="F1131" t="s">
        <v>935</v>
      </c>
      <c r="G1131" t="s">
        <v>120</v>
      </c>
      <c r="H1131" t="s">
        <v>479</v>
      </c>
      <c r="J1131" s="202"/>
      <c r="K1131" s="198"/>
      <c r="L1131" s="202"/>
      <c r="M1131" s="202"/>
      <c r="N1131" s="202"/>
      <c r="O1131" s="202"/>
      <c r="P1131" s="202"/>
      <c r="Q1131" s="202"/>
      <c r="R1131" s="202"/>
      <c r="S1131" s="202"/>
    </row>
    <row r="1132" spans="6:19" x14ac:dyDescent="0.25">
      <c r="F1132" t="s">
        <v>936</v>
      </c>
      <c r="G1132" t="s">
        <v>120</v>
      </c>
      <c r="H1132" t="s">
        <v>479</v>
      </c>
      <c r="J1132" s="202"/>
      <c r="K1132" s="198"/>
      <c r="L1132" s="202"/>
      <c r="M1132" s="202"/>
      <c r="N1132" s="202"/>
      <c r="O1132" s="202"/>
      <c r="P1132" s="202"/>
      <c r="Q1132" s="202"/>
      <c r="R1132" s="202"/>
      <c r="S1132" s="202"/>
    </row>
    <row r="1133" spans="6:19" x14ac:dyDescent="0.25">
      <c r="F1133" t="s">
        <v>937</v>
      </c>
      <c r="G1133" t="s">
        <v>120</v>
      </c>
      <c r="H1133" t="s">
        <v>479</v>
      </c>
      <c r="J1133" s="202"/>
      <c r="K1133" s="198"/>
      <c r="L1133" s="202"/>
      <c r="M1133" s="202"/>
      <c r="N1133" s="202"/>
      <c r="O1133" s="202"/>
      <c r="P1133" s="202"/>
      <c r="Q1133" s="202"/>
      <c r="R1133" s="202"/>
      <c r="S1133" s="202"/>
    </row>
    <row r="1134" spans="6:19" x14ac:dyDescent="0.25">
      <c r="F1134" t="s">
        <v>938</v>
      </c>
      <c r="G1134" t="s">
        <v>120</v>
      </c>
      <c r="H1134" t="s">
        <v>479</v>
      </c>
      <c r="J1134" s="202"/>
      <c r="K1134" s="198"/>
      <c r="L1134" s="202"/>
      <c r="M1134" s="202"/>
      <c r="N1134" s="202"/>
      <c r="O1134" s="202"/>
      <c r="P1134" s="202"/>
      <c r="Q1134" s="202"/>
      <c r="R1134" s="202"/>
      <c r="S1134" s="202"/>
    </row>
    <row r="1135" spans="6:19" x14ac:dyDescent="0.25">
      <c r="F1135" t="s">
        <v>939</v>
      </c>
      <c r="G1135" t="s">
        <v>120</v>
      </c>
      <c r="H1135" t="s">
        <v>479</v>
      </c>
      <c r="J1135" s="202"/>
      <c r="K1135" s="198"/>
      <c r="L1135" s="202"/>
      <c r="M1135" s="202"/>
      <c r="N1135" s="202"/>
      <c r="O1135" s="202"/>
      <c r="P1135" s="202"/>
      <c r="Q1135" s="202"/>
      <c r="R1135" s="202"/>
      <c r="S1135" s="202"/>
    </row>
    <row r="1136" spans="6:19" x14ac:dyDescent="0.25">
      <c r="F1136" s="17" t="s">
        <v>940</v>
      </c>
      <c r="G1136" s="17" t="s">
        <v>120</v>
      </c>
      <c r="H1136" s="17" t="s">
        <v>479</v>
      </c>
      <c r="I1136" s="122"/>
      <c r="J1136" s="203"/>
      <c r="K1136" s="200"/>
      <c r="L1136" s="203"/>
      <c r="M1136" s="203"/>
      <c r="N1136" s="203"/>
      <c r="O1136" s="203"/>
      <c r="P1136" s="203"/>
      <c r="Q1136" s="203"/>
      <c r="R1136" s="203"/>
      <c r="S1136" s="203"/>
    </row>
    <row r="1137" spans="5:19" x14ac:dyDescent="0.25">
      <c r="J1137" s="198"/>
      <c r="K1137" s="198"/>
      <c r="L1137" s="198"/>
      <c r="M1137" s="198"/>
      <c r="N1137" s="198"/>
      <c r="O1137" s="198"/>
      <c r="P1137" s="198"/>
      <c r="Q1137" s="198"/>
      <c r="R1137" s="198"/>
      <c r="S1137" s="198"/>
    </row>
    <row r="1138" spans="5:19" x14ac:dyDescent="0.25">
      <c r="E1138" s="121" t="s">
        <v>74</v>
      </c>
      <c r="J1138" s="198"/>
      <c r="K1138" s="198"/>
      <c r="L1138" s="198"/>
      <c r="M1138" s="198"/>
      <c r="N1138" s="198"/>
      <c r="O1138" s="198"/>
      <c r="P1138" s="198"/>
      <c r="Q1138" s="198"/>
      <c r="R1138" s="198"/>
      <c r="S1138" s="198"/>
    </row>
    <row r="1139" spans="5:19" x14ac:dyDescent="0.25">
      <c r="F1139" s="80" t="s">
        <v>925</v>
      </c>
      <c r="G1139" s="80" t="s">
        <v>74</v>
      </c>
      <c r="H1139" s="80" t="s">
        <v>479</v>
      </c>
      <c r="I1139" s="94"/>
      <c r="J1139" s="201"/>
      <c r="K1139" s="196"/>
      <c r="L1139" s="201"/>
      <c r="M1139" s="201"/>
      <c r="N1139" s="201"/>
      <c r="O1139" s="201"/>
      <c r="P1139" s="201"/>
      <c r="Q1139" s="201"/>
      <c r="R1139" s="201"/>
      <c r="S1139" s="201"/>
    </row>
    <row r="1140" spans="5:19" x14ac:dyDescent="0.25">
      <c r="F1140" t="s">
        <v>926</v>
      </c>
      <c r="G1140" t="s">
        <v>74</v>
      </c>
      <c r="H1140" t="s">
        <v>479</v>
      </c>
      <c r="J1140" s="202"/>
      <c r="K1140" s="198"/>
      <c r="L1140" s="202"/>
      <c r="M1140" s="202"/>
      <c r="N1140" s="202"/>
      <c r="O1140" s="202"/>
      <c r="P1140" s="202"/>
      <c r="Q1140" s="202"/>
      <c r="R1140" s="202"/>
      <c r="S1140" s="202"/>
    </row>
    <row r="1141" spans="5:19" x14ac:dyDescent="0.25">
      <c r="F1141" t="s">
        <v>927</v>
      </c>
      <c r="G1141" t="s">
        <v>74</v>
      </c>
      <c r="H1141" t="s">
        <v>479</v>
      </c>
      <c r="J1141" s="197">
        <f t="shared" ref="J1141" si="223">CHOOSE(year_selection, L1141,M1141,N1141,O1141,P1141,Q1141,R1141,S1141)</f>
        <v>160</v>
      </c>
      <c r="K1141" s="198"/>
      <c r="L1141" s="281"/>
      <c r="M1141" s="281">
        <v>192</v>
      </c>
      <c r="N1141" s="281">
        <v>213</v>
      </c>
      <c r="O1141" s="281">
        <v>160</v>
      </c>
      <c r="P1141" s="281">
        <f t="shared" ref="P1141:S1141" si="224">$O1141</f>
        <v>160</v>
      </c>
      <c r="Q1141" s="281">
        <f t="shared" si="224"/>
        <v>160</v>
      </c>
      <c r="R1141" s="281">
        <f t="shared" si="224"/>
        <v>160</v>
      </c>
      <c r="S1141" s="281">
        <f t="shared" si="224"/>
        <v>160</v>
      </c>
    </row>
    <row r="1142" spans="5:19" x14ac:dyDescent="0.25">
      <c r="F1142" t="s">
        <v>928</v>
      </c>
      <c r="G1142" t="s">
        <v>74</v>
      </c>
      <c r="H1142" t="s">
        <v>479</v>
      </c>
      <c r="J1142" s="202"/>
      <c r="K1142" s="198"/>
      <c r="L1142" s="202"/>
      <c r="M1142" s="202"/>
      <c r="N1142" s="202"/>
      <c r="O1142" s="202"/>
      <c r="P1142" s="202"/>
      <c r="Q1142" s="202"/>
      <c r="R1142" s="202"/>
      <c r="S1142" s="202"/>
    </row>
    <row r="1143" spans="5:19" x14ac:dyDescent="0.25">
      <c r="F1143" t="s">
        <v>929</v>
      </c>
      <c r="G1143" t="s">
        <v>74</v>
      </c>
      <c r="H1143" t="s">
        <v>479</v>
      </c>
      <c r="J1143" s="197">
        <f t="shared" ref="J1143" si="225">CHOOSE(year_selection, L1143,M1143,N1143,O1143,P1143,Q1143,R1143,S1143)</f>
        <v>36</v>
      </c>
      <c r="K1143" s="198"/>
      <c r="L1143" s="281"/>
      <c r="M1143" s="281">
        <v>26</v>
      </c>
      <c r="N1143" s="281">
        <v>29</v>
      </c>
      <c r="O1143" s="281">
        <v>36</v>
      </c>
      <c r="P1143" s="281">
        <f t="shared" ref="P1143:S1143" si="226">$O1143</f>
        <v>36</v>
      </c>
      <c r="Q1143" s="281">
        <f t="shared" si="226"/>
        <v>36</v>
      </c>
      <c r="R1143" s="281">
        <f t="shared" si="226"/>
        <v>36</v>
      </c>
      <c r="S1143" s="281">
        <f t="shared" si="226"/>
        <v>36</v>
      </c>
    </row>
    <row r="1144" spans="5:19" x14ac:dyDescent="0.25">
      <c r="F1144" t="s">
        <v>930</v>
      </c>
      <c r="G1144" t="s">
        <v>74</v>
      </c>
      <c r="H1144" t="s">
        <v>479</v>
      </c>
      <c r="J1144" s="202"/>
      <c r="K1144" s="198"/>
      <c r="L1144" s="202"/>
      <c r="M1144" s="202"/>
      <c r="N1144" s="202"/>
      <c r="O1144" s="202"/>
      <c r="P1144" s="202"/>
      <c r="Q1144" s="202"/>
      <c r="R1144" s="202"/>
      <c r="S1144" s="202"/>
    </row>
    <row r="1145" spans="5:19" x14ac:dyDescent="0.25">
      <c r="F1145" t="s">
        <v>931</v>
      </c>
      <c r="G1145" t="s">
        <v>74</v>
      </c>
      <c r="H1145" t="s">
        <v>479</v>
      </c>
      <c r="J1145" s="202"/>
      <c r="K1145" s="198"/>
      <c r="L1145" s="202"/>
      <c r="M1145" s="202"/>
      <c r="N1145" s="202"/>
      <c r="O1145" s="202"/>
      <c r="P1145" s="202"/>
      <c r="Q1145" s="202"/>
      <c r="R1145" s="202"/>
      <c r="S1145" s="202"/>
    </row>
    <row r="1146" spans="5:19" x14ac:dyDescent="0.25">
      <c r="F1146" t="s">
        <v>932</v>
      </c>
      <c r="G1146" t="s">
        <v>74</v>
      </c>
      <c r="H1146" t="s">
        <v>479</v>
      </c>
      <c r="J1146" s="202"/>
      <c r="K1146" s="198"/>
      <c r="L1146" s="202"/>
      <c r="M1146" s="202"/>
      <c r="N1146" s="202"/>
      <c r="O1146" s="202"/>
      <c r="P1146" s="202"/>
      <c r="Q1146" s="202"/>
      <c r="R1146" s="202"/>
      <c r="S1146" s="202"/>
    </row>
    <row r="1147" spans="5:19" x14ac:dyDescent="0.25">
      <c r="F1147" t="s">
        <v>933</v>
      </c>
      <c r="G1147" t="s">
        <v>74</v>
      </c>
      <c r="H1147" t="s">
        <v>479</v>
      </c>
      <c r="J1147" s="202"/>
      <c r="K1147" s="198"/>
      <c r="L1147" s="202"/>
      <c r="M1147" s="202"/>
      <c r="N1147" s="202"/>
      <c r="O1147" s="202"/>
      <c r="P1147" s="202"/>
      <c r="Q1147" s="202"/>
      <c r="R1147" s="202"/>
      <c r="S1147" s="202"/>
    </row>
    <row r="1148" spans="5:19" x14ac:dyDescent="0.25">
      <c r="F1148" t="s">
        <v>934</v>
      </c>
      <c r="G1148" t="s">
        <v>74</v>
      </c>
      <c r="H1148" t="s">
        <v>479</v>
      </c>
      <c r="J1148" s="202"/>
      <c r="K1148" s="198"/>
      <c r="L1148" s="202"/>
      <c r="M1148" s="202"/>
      <c r="N1148" s="202"/>
      <c r="O1148" s="202"/>
      <c r="P1148" s="202"/>
      <c r="Q1148" s="202"/>
      <c r="R1148" s="202"/>
      <c r="S1148" s="202"/>
    </row>
    <row r="1149" spans="5:19" x14ac:dyDescent="0.25">
      <c r="F1149" t="s">
        <v>935</v>
      </c>
      <c r="G1149" t="s">
        <v>74</v>
      </c>
      <c r="H1149" t="s">
        <v>479</v>
      </c>
      <c r="J1149" s="202"/>
      <c r="K1149" s="198"/>
      <c r="L1149" s="202"/>
      <c r="M1149" s="202"/>
      <c r="N1149" s="202"/>
      <c r="O1149" s="202"/>
      <c r="P1149" s="202"/>
      <c r="Q1149" s="202"/>
      <c r="R1149" s="202"/>
      <c r="S1149" s="202"/>
    </row>
    <row r="1150" spans="5:19" x14ac:dyDescent="0.25">
      <c r="F1150" t="s">
        <v>936</v>
      </c>
      <c r="G1150" t="s">
        <v>74</v>
      </c>
      <c r="H1150" t="s">
        <v>479</v>
      </c>
      <c r="J1150" s="202"/>
      <c r="K1150" s="198"/>
      <c r="L1150" s="202"/>
      <c r="M1150" s="202"/>
      <c r="N1150" s="202"/>
      <c r="O1150" s="202"/>
      <c r="P1150" s="202"/>
      <c r="Q1150" s="202"/>
      <c r="R1150" s="202"/>
      <c r="S1150" s="202"/>
    </row>
    <row r="1151" spans="5:19" x14ac:dyDescent="0.25">
      <c r="F1151" t="s">
        <v>937</v>
      </c>
      <c r="G1151" t="s">
        <v>74</v>
      </c>
      <c r="H1151" t="s">
        <v>479</v>
      </c>
      <c r="J1151" s="202"/>
      <c r="K1151" s="198"/>
      <c r="L1151" s="202"/>
      <c r="M1151" s="202"/>
      <c r="N1151" s="202"/>
      <c r="O1151" s="202"/>
      <c r="P1151" s="202"/>
      <c r="Q1151" s="202"/>
      <c r="R1151" s="202"/>
      <c r="S1151" s="202"/>
    </row>
    <row r="1152" spans="5:19" x14ac:dyDescent="0.25">
      <c r="F1152" t="s">
        <v>938</v>
      </c>
      <c r="G1152" t="s">
        <v>74</v>
      </c>
      <c r="H1152" t="s">
        <v>479</v>
      </c>
      <c r="J1152" s="202"/>
      <c r="K1152" s="198"/>
      <c r="L1152" s="202"/>
      <c r="M1152" s="202"/>
      <c r="N1152" s="202"/>
      <c r="O1152" s="202"/>
      <c r="P1152" s="202"/>
      <c r="Q1152" s="202"/>
      <c r="R1152" s="202"/>
      <c r="S1152" s="202"/>
    </row>
    <row r="1153" spans="5:19" x14ac:dyDescent="0.25">
      <c r="F1153" t="s">
        <v>939</v>
      </c>
      <c r="G1153" t="s">
        <v>74</v>
      </c>
      <c r="H1153" t="s">
        <v>479</v>
      </c>
      <c r="J1153" s="202"/>
      <c r="K1153" s="198"/>
      <c r="L1153" s="202"/>
      <c r="M1153" s="202"/>
      <c r="N1153" s="202"/>
      <c r="O1153" s="202"/>
      <c r="P1153" s="202"/>
      <c r="Q1153" s="202"/>
      <c r="R1153" s="202"/>
      <c r="S1153" s="202"/>
    </row>
    <row r="1154" spans="5:19" x14ac:dyDescent="0.25">
      <c r="F1154" s="17" t="s">
        <v>940</v>
      </c>
      <c r="G1154" s="17" t="s">
        <v>74</v>
      </c>
      <c r="H1154" s="17" t="s">
        <v>479</v>
      </c>
      <c r="I1154" s="122"/>
      <c r="J1154" s="203"/>
      <c r="K1154" s="200"/>
      <c r="L1154" s="203"/>
      <c r="M1154" s="203"/>
      <c r="N1154" s="203"/>
      <c r="O1154" s="203"/>
      <c r="P1154" s="203"/>
      <c r="Q1154" s="203"/>
      <c r="R1154" s="203"/>
      <c r="S1154" s="203"/>
    </row>
    <row r="1155" spans="5:19" x14ac:dyDescent="0.25">
      <c r="J1155" s="198"/>
      <c r="K1155" s="198"/>
      <c r="L1155" s="198"/>
      <c r="M1155" s="198"/>
      <c r="N1155" s="198"/>
      <c r="O1155" s="198"/>
      <c r="P1155" s="198"/>
      <c r="Q1155" s="198"/>
      <c r="R1155" s="198"/>
      <c r="S1155" s="198"/>
    </row>
    <row r="1156" spans="5:19" x14ac:dyDescent="0.25">
      <c r="E1156" s="121" t="s">
        <v>202</v>
      </c>
      <c r="J1156" s="198"/>
      <c r="K1156" s="198"/>
      <c r="L1156" s="198"/>
      <c r="M1156" s="198"/>
      <c r="N1156" s="198"/>
      <c r="O1156" s="198"/>
      <c r="P1156" s="198"/>
      <c r="Q1156" s="198"/>
      <c r="R1156" s="198"/>
      <c r="S1156" s="198"/>
    </row>
    <row r="1157" spans="5:19" x14ac:dyDescent="0.25">
      <c r="F1157" s="80" t="s">
        <v>925</v>
      </c>
      <c r="G1157" s="80" t="s">
        <v>169</v>
      </c>
      <c r="H1157" s="80" t="s">
        <v>479</v>
      </c>
      <c r="I1157" s="94"/>
      <c r="J1157" s="201"/>
      <c r="K1157" s="196"/>
      <c r="L1157" s="201"/>
      <c r="M1157" s="201"/>
      <c r="N1157" s="201"/>
      <c r="O1157" s="201"/>
      <c r="P1157" s="201"/>
      <c r="Q1157" s="201"/>
      <c r="R1157" s="201"/>
      <c r="S1157" s="201"/>
    </row>
    <row r="1158" spans="5:19" x14ac:dyDescent="0.25">
      <c r="F1158" t="s">
        <v>926</v>
      </c>
      <c r="G1158" t="s">
        <v>169</v>
      </c>
      <c r="H1158" t="s">
        <v>479</v>
      </c>
      <c r="J1158" s="202"/>
      <c r="K1158" s="198"/>
      <c r="L1158" s="202"/>
      <c r="M1158" s="202"/>
      <c r="N1158" s="202"/>
      <c r="O1158" s="202"/>
      <c r="P1158" s="202"/>
      <c r="Q1158" s="202"/>
      <c r="R1158" s="202"/>
      <c r="S1158" s="202"/>
    </row>
    <row r="1159" spans="5:19" x14ac:dyDescent="0.25">
      <c r="F1159" t="s">
        <v>927</v>
      </c>
      <c r="G1159" t="s">
        <v>169</v>
      </c>
      <c r="H1159" t="s">
        <v>479</v>
      </c>
      <c r="J1159" s="202"/>
      <c r="K1159" s="198"/>
      <c r="L1159" s="202"/>
      <c r="M1159" s="202"/>
      <c r="N1159" s="202"/>
      <c r="O1159" s="202"/>
      <c r="P1159" s="202"/>
      <c r="Q1159" s="202"/>
      <c r="R1159" s="202"/>
      <c r="S1159" s="202"/>
    </row>
    <row r="1160" spans="5:19" x14ac:dyDescent="0.25">
      <c r="F1160" t="s">
        <v>928</v>
      </c>
      <c r="G1160" t="s">
        <v>169</v>
      </c>
      <c r="H1160" t="s">
        <v>479</v>
      </c>
      <c r="J1160" s="202"/>
      <c r="K1160" s="198"/>
      <c r="L1160" s="202"/>
      <c r="M1160" s="202"/>
      <c r="N1160" s="202"/>
      <c r="O1160" s="202"/>
      <c r="P1160" s="202"/>
      <c r="Q1160" s="202"/>
      <c r="R1160" s="202"/>
      <c r="S1160" s="202"/>
    </row>
    <row r="1161" spans="5:19" x14ac:dyDescent="0.25">
      <c r="F1161" t="s">
        <v>929</v>
      </c>
      <c r="G1161" t="s">
        <v>169</v>
      </c>
      <c r="H1161" t="s">
        <v>479</v>
      </c>
      <c r="J1161" s="197">
        <f t="shared" ref="J1161" si="227">CHOOSE(year_selection, L1161,M1161,N1161,O1161,P1161,Q1161,R1161,S1161)</f>
        <v>6733</v>
      </c>
      <c r="K1161" s="198"/>
      <c r="L1161" s="281"/>
      <c r="M1161" s="281">
        <v>4958</v>
      </c>
      <c r="N1161" s="281">
        <v>5516</v>
      </c>
      <c r="O1161" s="281">
        <v>6733</v>
      </c>
      <c r="P1161" s="281">
        <f t="shared" ref="P1161:S1161" si="228">$O1161</f>
        <v>6733</v>
      </c>
      <c r="Q1161" s="281">
        <f t="shared" si="228"/>
        <v>6733</v>
      </c>
      <c r="R1161" s="281">
        <f t="shared" si="228"/>
        <v>6733</v>
      </c>
      <c r="S1161" s="281">
        <f t="shared" si="228"/>
        <v>6733</v>
      </c>
    </row>
    <row r="1162" spans="5:19" x14ac:dyDescent="0.25">
      <c r="F1162" t="s">
        <v>930</v>
      </c>
      <c r="G1162" t="s">
        <v>169</v>
      </c>
      <c r="H1162" t="s">
        <v>479</v>
      </c>
      <c r="J1162" s="202"/>
      <c r="K1162" s="198"/>
      <c r="L1162" s="202"/>
      <c r="M1162" s="202"/>
      <c r="N1162" s="202"/>
      <c r="O1162" s="202"/>
      <c r="P1162" s="202"/>
      <c r="Q1162" s="202"/>
      <c r="R1162" s="202"/>
      <c r="S1162" s="202"/>
    </row>
    <row r="1163" spans="5:19" x14ac:dyDescent="0.25">
      <c r="F1163" t="s">
        <v>931</v>
      </c>
      <c r="G1163" t="s">
        <v>169</v>
      </c>
      <c r="H1163" t="s">
        <v>479</v>
      </c>
      <c r="J1163" s="202"/>
      <c r="K1163" s="198"/>
      <c r="L1163" s="202"/>
      <c r="M1163" s="202"/>
      <c r="N1163" s="202"/>
      <c r="O1163" s="202"/>
      <c r="P1163" s="202"/>
      <c r="Q1163" s="202"/>
      <c r="R1163" s="202"/>
      <c r="S1163" s="202"/>
    </row>
    <row r="1164" spans="5:19" x14ac:dyDescent="0.25">
      <c r="F1164" t="s">
        <v>932</v>
      </c>
      <c r="G1164" t="s">
        <v>169</v>
      </c>
      <c r="H1164" t="s">
        <v>479</v>
      </c>
      <c r="J1164" s="202"/>
      <c r="K1164" s="198"/>
      <c r="L1164" s="202"/>
      <c r="M1164" s="202"/>
      <c r="N1164" s="202"/>
      <c r="O1164" s="202"/>
      <c r="P1164" s="202"/>
      <c r="Q1164" s="202"/>
      <c r="R1164" s="202"/>
      <c r="S1164" s="202"/>
    </row>
    <row r="1165" spans="5:19" x14ac:dyDescent="0.25">
      <c r="F1165" t="s">
        <v>933</v>
      </c>
      <c r="G1165" t="s">
        <v>169</v>
      </c>
      <c r="H1165" t="s">
        <v>479</v>
      </c>
      <c r="J1165" s="202"/>
      <c r="K1165" s="198"/>
      <c r="L1165" s="202"/>
      <c r="M1165" s="202"/>
      <c r="N1165" s="202"/>
      <c r="O1165" s="202"/>
      <c r="P1165" s="202"/>
      <c r="Q1165" s="202"/>
      <c r="R1165" s="202"/>
      <c r="S1165" s="202"/>
    </row>
    <row r="1166" spans="5:19" x14ac:dyDescent="0.25">
      <c r="F1166" t="s">
        <v>934</v>
      </c>
      <c r="G1166" t="s">
        <v>169</v>
      </c>
      <c r="H1166" t="s">
        <v>479</v>
      </c>
      <c r="J1166" s="202"/>
      <c r="K1166" s="198"/>
      <c r="L1166" s="202"/>
      <c r="M1166" s="202"/>
      <c r="N1166" s="202"/>
      <c r="O1166" s="202"/>
      <c r="P1166" s="202"/>
      <c r="Q1166" s="202"/>
      <c r="R1166" s="202"/>
      <c r="S1166" s="202"/>
    </row>
    <row r="1167" spans="5:19" x14ac:dyDescent="0.25">
      <c r="F1167" t="s">
        <v>935</v>
      </c>
      <c r="G1167" t="s">
        <v>169</v>
      </c>
      <c r="H1167" t="s">
        <v>479</v>
      </c>
      <c r="J1167" s="202"/>
      <c r="K1167" s="198"/>
      <c r="L1167" s="202"/>
      <c r="M1167" s="202"/>
      <c r="N1167" s="202"/>
      <c r="O1167" s="202"/>
      <c r="P1167" s="202"/>
      <c r="Q1167" s="202"/>
      <c r="R1167" s="202"/>
      <c r="S1167" s="202"/>
    </row>
    <row r="1168" spans="5:19" x14ac:dyDescent="0.25">
      <c r="F1168" t="s">
        <v>936</v>
      </c>
      <c r="G1168" t="s">
        <v>169</v>
      </c>
      <c r="H1168" t="s">
        <v>479</v>
      </c>
      <c r="J1168" s="202"/>
      <c r="K1168" s="198"/>
      <c r="L1168" s="202"/>
      <c r="M1168" s="202"/>
      <c r="N1168" s="202"/>
      <c r="O1168" s="202"/>
      <c r="P1168" s="202"/>
      <c r="Q1168" s="202"/>
      <c r="R1168" s="202"/>
      <c r="S1168" s="202"/>
    </row>
    <row r="1169" spans="5:19" x14ac:dyDescent="0.25">
      <c r="F1169" t="s">
        <v>937</v>
      </c>
      <c r="G1169" t="s">
        <v>169</v>
      </c>
      <c r="H1169" t="s">
        <v>479</v>
      </c>
      <c r="J1169" s="202"/>
      <c r="K1169" s="198"/>
      <c r="L1169" s="202"/>
      <c r="M1169" s="202"/>
      <c r="N1169" s="202"/>
      <c r="O1169" s="202"/>
      <c r="P1169" s="202"/>
      <c r="Q1169" s="202"/>
      <c r="R1169" s="202"/>
      <c r="S1169" s="202"/>
    </row>
    <row r="1170" spans="5:19" x14ac:dyDescent="0.25">
      <c r="F1170" t="s">
        <v>938</v>
      </c>
      <c r="G1170" t="s">
        <v>169</v>
      </c>
      <c r="H1170" t="s">
        <v>479</v>
      </c>
      <c r="J1170" s="202"/>
      <c r="K1170" s="198"/>
      <c r="L1170" s="202"/>
      <c r="M1170" s="202"/>
      <c r="N1170" s="202"/>
      <c r="O1170" s="202"/>
      <c r="P1170" s="202"/>
      <c r="Q1170" s="202"/>
      <c r="R1170" s="202"/>
      <c r="S1170" s="202"/>
    </row>
    <row r="1171" spans="5:19" x14ac:dyDescent="0.25">
      <c r="F1171" t="s">
        <v>939</v>
      </c>
      <c r="G1171" t="s">
        <v>169</v>
      </c>
      <c r="H1171" t="s">
        <v>479</v>
      </c>
      <c r="J1171" s="202"/>
      <c r="K1171" s="198"/>
      <c r="L1171" s="202"/>
      <c r="M1171" s="202"/>
      <c r="N1171" s="202"/>
      <c r="O1171" s="202"/>
      <c r="P1171" s="202"/>
      <c r="Q1171" s="202"/>
      <c r="R1171" s="202"/>
      <c r="S1171" s="202"/>
    </row>
    <row r="1172" spans="5:19" x14ac:dyDescent="0.25">
      <c r="F1172" s="17" t="s">
        <v>940</v>
      </c>
      <c r="G1172" s="17" t="s">
        <v>169</v>
      </c>
      <c r="H1172" s="17" t="s">
        <v>479</v>
      </c>
      <c r="I1172" s="122"/>
      <c r="J1172" s="203"/>
      <c r="K1172" s="200"/>
      <c r="L1172" s="203"/>
      <c r="M1172" s="203"/>
      <c r="N1172" s="203"/>
      <c r="O1172" s="203"/>
      <c r="P1172" s="203"/>
      <c r="Q1172" s="203"/>
      <c r="R1172" s="203"/>
      <c r="S1172" s="203"/>
    </row>
    <row r="1173" spans="5:19" x14ac:dyDescent="0.25">
      <c r="J1173" s="198"/>
      <c r="K1173" s="198"/>
      <c r="L1173" s="198"/>
      <c r="M1173" s="198"/>
      <c r="N1173" s="198"/>
      <c r="O1173" s="198"/>
      <c r="P1173" s="198"/>
      <c r="Q1173" s="198"/>
      <c r="R1173" s="198"/>
      <c r="S1173" s="198"/>
    </row>
    <row r="1174" spans="5:19" x14ac:dyDescent="0.25">
      <c r="E1174" s="121" t="s">
        <v>203</v>
      </c>
      <c r="J1174" s="198"/>
      <c r="K1174" s="198"/>
      <c r="L1174" s="198"/>
      <c r="M1174" s="198"/>
      <c r="N1174" s="198"/>
      <c r="O1174" s="198"/>
      <c r="P1174" s="198"/>
      <c r="Q1174" s="198"/>
      <c r="R1174" s="198"/>
      <c r="S1174" s="198"/>
    </row>
    <row r="1175" spans="5:19" x14ac:dyDescent="0.25">
      <c r="F1175" s="80" t="s">
        <v>925</v>
      </c>
      <c r="G1175" s="80" t="s">
        <v>169</v>
      </c>
      <c r="H1175" s="80" t="s">
        <v>479</v>
      </c>
      <c r="I1175" s="94"/>
      <c r="J1175" s="201"/>
      <c r="K1175" s="196"/>
      <c r="L1175" s="201"/>
      <c r="M1175" s="201"/>
      <c r="N1175" s="201"/>
      <c r="O1175" s="201"/>
      <c r="P1175" s="201"/>
      <c r="Q1175" s="201"/>
      <c r="R1175" s="201"/>
      <c r="S1175" s="201"/>
    </row>
    <row r="1176" spans="5:19" x14ac:dyDescent="0.25">
      <c r="F1176" t="s">
        <v>926</v>
      </c>
      <c r="G1176" t="s">
        <v>169</v>
      </c>
      <c r="H1176" t="s">
        <v>479</v>
      </c>
      <c r="J1176" s="202"/>
      <c r="K1176" s="198"/>
      <c r="L1176" s="202"/>
      <c r="M1176" s="202"/>
      <c r="N1176" s="202"/>
      <c r="O1176" s="202"/>
      <c r="P1176" s="202"/>
      <c r="Q1176" s="202"/>
      <c r="R1176" s="202"/>
      <c r="S1176" s="202"/>
    </row>
    <row r="1177" spans="5:19" x14ac:dyDescent="0.25">
      <c r="F1177" t="s">
        <v>927</v>
      </c>
      <c r="G1177" t="s">
        <v>169</v>
      </c>
      <c r="H1177" t="s">
        <v>479</v>
      </c>
      <c r="J1177" s="202"/>
      <c r="K1177" s="198"/>
      <c r="L1177" s="202"/>
      <c r="M1177" s="202"/>
      <c r="N1177" s="202"/>
      <c r="O1177" s="202"/>
      <c r="P1177" s="202"/>
      <c r="Q1177" s="202"/>
      <c r="R1177" s="202"/>
      <c r="S1177" s="202"/>
    </row>
    <row r="1178" spans="5:19" x14ac:dyDescent="0.25">
      <c r="F1178" t="s">
        <v>928</v>
      </c>
      <c r="G1178" t="s">
        <v>169</v>
      </c>
      <c r="H1178" t="s">
        <v>479</v>
      </c>
      <c r="J1178" s="202"/>
      <c r="K1178" s="198"/>
      <c r="L1178" s="202"/>
      <c r="M1178" s="202"/>
      <c r="N1178" s="202"/>
      <c r="O1178" s="202"/>
      <c r="P1178" s="202"/>
      <c r="Q1178" s="202"/>
      <c r="R1178" s="202"/>
      <c r="S1178" s="202"/>
    </row>
    <row r="1179" spans="5:19" x14ac:dyDescent="0.25">
      <c r="F1179" t="s">
        <v>929</v>
      </c>
      <c r="G1179" t="s">
        <v>169</v>
      </c>
      <c r="H1179" t="s">
        <v>479</v>
      </c>
      <c r="J1179" s="197">
        <f t="shared" ref="J1179" si="229">CHOOSE(year_selection, L1179,M1179,N1179,O1179,P1179,Q1179,R1179,S1179)</f>
        <v>22</v>
      </c>
      <c r="K1179" s="198"/>
      <c r="L1179" s="281"/>
      <c r="M1179" s="281">
        <v>15</v>
      </c>
      <c r="N1179" s="281">
        <v>24</v>
      </c>
      <c r="O1179" s="281">
        <v>22</v>
      </c>
      <c r="P1179" s="281">
        <f t="shared" ref="P1179:S1179" si="230">$O1179</f>
        <v>22</v>
      </c>
      <c r="Q1179" s="281">
        <f t="shared" si="230"/>
        <v>22</v>
      </c>
      <c r="R1179" s="281">
        <f t="shared" si="230"/>
        <v>22</v>
      </c>
      <c r="S1179" s="281">
        <f t="shared" si="230"/>
        <v>22</v>
      </c>
    </row>
    <row r="1180" spans="5:19" x14ac:dyDescent="0.25">
      <c r="F1180" t="s">
        <v>930</v>
      </c>
      <c r="G1180" t="s">
        <v>169</v>
      </c>
      <c r="H1180" t="s">
        <v>479</v>
      </c>
      <c r="J1180" s="202"/>
      <c r="K1180" s="198"/>
      <c r="L1180" s="202"/>
      <c r="M1180" s="202"/>
      <c r="N1180" s="202"/>
      <c r="O1180" s="202"/>
      <c r="P1180" s="202"/>
      <c r="Q1180" s="202"/>
      <c r="R1180" s="202"/>
      <c r="S1180" s="202"/>
    </row>
    <row r="1181" spans="5:19" x14ac:dyDescent="0.25">
      <c r="F1181" t="s">
        <v>931</v>
      </c>
      <c r="G1181" t="s">
        <v>169</v>
      </c>
      <c r="H1181" t="s">
        <v>479</v>
      </c>
      <c r="J1181" s="202"/>
      <c r="K1181" s="198"/>
      <c r="L1181" s="202"/>
      <c r="M1181" s="202"/>
      <c r="N1181" s="202"/>
      <c r="O1181" s="202"/>
      <c r="P1181" s="202"/>
      <c r="Q1181" s="202"/>
      <c r="R1181" s="202"/>
      <c r="S1181" s="202"/>
    </row>
    <row r="1182" spans="5:19" x14ac:dyDescent="0.25">
      <c r="F1182" t="s">
        <v>932</v>
      </c>
      <c r="G1182" t="s">
        <v>169</v>
      </c>
      <c r="H1182" t="s">
        <v>479</v>
      </c>
      <c r="J1182" s="202"/>
      <c r="K1182" s="198"/>
      <c r="L1182" s="202"/>
      <c r="M1182" s="202"/>
      <c r="N1182" s="202"/>
      <c r="O1182" s="202"/>
      <c r="P1182" s="202"/>
      <c r="Q1182" s="202"/>
      <c r="R1182" s="202"/>
      <c r="S1182" s="202"/>
    </row>
    <row r="1183" spans="5:19" x14ac:dyDescent="0.25">
      <c r="F1183" t="s">
        <v>933</v>
      </c>
      <c r="G1183" t="s">
        <v>169</v>
      </c>
      <c r="H1183" t="s">
        <v>479</v>
      </c>
      <c r="J1183" s="202"/>
      <c r="K1183" s="198"/>
      <c r="L1183" s="202"/>
      <c r="M1183" s="202"/>
      <c r="N1183" s="202"/>
      <c r="O1183" s="202"/>
      <c r="P1183" s="202"/>
      <c r="Q1183" s="202"/>
      <c r="R1183" s="202"/>
      <c r="S1183" s="202"/>
    </row>
    <row r="1184" spans="5:19" x14ac:dyDescent="0.25">
      <c r="F1184" t="s">
        <v>934</v>
      </c>
      <c r="G1184" t="s">
        <v>169</v>
      </c>
      <c r="H1184" t="s">
        <v>479</v>
      </c>
      <c r="J1184" s="202"/>
      <c r="K1184" s="198"/>
      <c r="L1184" s="202"/>
      <c r="M1184" s="202"/>
      <c r="N1184" s="202"/>
      <c r="O1184" s="202"/>
      <c r="P1184" s="202"/>
      <c r="Q1184" s="202"/>
      <c r="R1184" s="202"/>
      <c r="S1184" s="202"/>
    </row>
    <row r="1185" spans="5:19" x14ac:dyDescent="0.25">
      <c r="F1185" t="s">
        <v>935</v>
      </c>
      <c r="G1185" t="s">
        <v>169</v>
      </c>
      <c r="H1185" t="s">
        <v>479</v>
      </c>
      <c r="J1185" s="202"/>
      <c r="K1185" s="198"/>
      <c r="L1185" s="202"/>
      <c r="M1185" s="202"/>
      <c r="N1185" s="202"/>
      <c r="O1185" s="202"/>
      <c r="P1185" s="202"/>
      <c r="Q1185" s="202"/>
      <c r="R1185" s="202"/>
      <c r="S1185" s="202"/>
    </row>
    <row r="1186" spans="5:19" x14ac:dyDescent="0.25">
      <c r="F1186" t="s">
        <v>936</v>
      </c>
      <c r="G1186" t="s">
        <v>169</v>
      </c>
      <c r="H1186" t="s">
        <v>479</v>
      </c>
      <c r="J1186" s="202"/>
      <c r="K1186" s="198"/>
      <c r="L1186" s="202"/>
      <c r="M1186" s="202"/>
      <c r="N1186" s="202"/>
      <c r="O1186" s="202"/>
      <c r="P1186" s="202"/>
      <c r="Q1186" s="202"/>
      <c r="R1186" s="202"/>
      <c r="S1186" s="202"/>
    </row>
    <row r="1187" spans="5:19" x14ac:dyDescent="0.25">
      <c r="F1187" t="s">
        <v>937</v>
      </c>
      <c r="G1187" t="s">
        <v>169</v>
      </c>
      <c r="H1187" t="s">
        <v>479</v>
      </c>
      <c r="J1187" s="202"/>
      <c r="K1187" s="198"/>
      <c r="L1187" s="202"/>
      <c r="M1187" s="202"/>
      <c r="N1187" s="202"/>
      <c r="O1187" s="202"/>
      <c r="P1187" s="202"/>
      <c r="Q1187" s="202"/>
      <c r="R1187" s="202"/>
      <c r="S1187" s="202"/>
    </row>
    <row r="1188" spans="5:19" x14ac:dyDescent="0.25">
      <c r="F1188" t="s">
        <v>938</v>
      </c>
      <c r="G1188" t="s">
        <v>169</v>
      </c>
      <c r="H1188" t="s">
        <v>479</v>
      </c>
      <c r="J1188" s="202"/>
      <c r="K1188" s="198"/>
      <c r="L1188" s="202"/>
      <c r="M1188" s="202"/>
      <c r="N1188" s="202"/>
      <c r="O1188" s="202"/>
      <c r="P1188" s="202"/>
      <c r="Q1188" s="202"/>
      <c r="R1188" s="202"/>
      <c r="S1188" s="202"/>
    </row>
    <row r="1189" spans="5:19" x14ac:dyDescent="0.25">
      <c r="F1189" t="s">
        <v>939</v>
      </c>
      <c r="G1189" t="s">
        <v>169</v>
      </c>
      <c r="H1189" t="s">
        <v>479</v>
      </c>
      <c r="J1189" s="202"/>
      <c r="K1189" s="198"/>
      <c r="L1189" s="202"/>
      <c r="M1189" s="202"/>
      <c r="N1189" s="202"/>
      <c r="O1189" s="202"/>
      <c r="P1189" s="202"/>
      <c r="Q1189" s="202"/>
      <c r="R1189" s="202"/>
      <c r="S1189" s="202"/>
    </row>
    <row r="1190" spans="5:19" x14ac:dyDescent="0.25">
      <c r="F1190" s="17" t="s">
        <v>940</v>
      </c>
      <c r="G1190" s="17" t="s">
        <v>169</v>
      </c>
      <c r="H1190" s="17" t="s">
        <v>479</v>
      </c>
      <c r="I1190" s="122"/>
      <c r="J1190" s="203"/>
      <c r="K1190" s="200"/>
      <c r="L1190" s="203"/>
      <c r="M1190" s="203"/>
      <c r="N1190" s="203"/>
      <c r="O1190" s="203"/>
      <c r="P1190" s="203"/>
      <c r="Q1190" s="203"/>
      <c r="R1190" s="203"/>
      <c r="S1190" s="203"/>
    </row>
    <row r="1191" spans="5:19" x14ac:dyDescent="0.25">
      <c r="J1191" s="198"/>
      <c r="K1191" s="198"/>
      <c r="L1191" s="198"/>
      <c r="M1191" s="198"/>
      <c r="N1191" s="198"/>
      <c r="O1191" s="198"/>
      <c r="P1191" s="198"/>
      <c r="Q1191" s="198"/>
      <c r="R1191" s="198"/>
      <c r="S1191" s="198"/>
    </row>
    <row r="1192" spans="5:19" x14ac:dyDescent="0.25">
      <c r="E1192" s="121" t="s">
        <v>204</v>
      </c>
      <c r="J1192" s="198"/>
      <c r="K1192" s="198"/>
      <c r="L1192" s="198"/>
      <c r="M1192" s="198"/>
      <c r="N1192" s="198"/>
      <c r="O1192" s="198"/>
      <c r="P1192" s="198"/>
      <c r="Q1192" s="198"/>
      <c r="R1192" s="198"/>
      <c r="S1192" s="198"/>
    </row>
    <row r="1193" spans="5:19" x14ac:dyDescent="0.25">
      <c r="F1193" s="80" t="s">
        <v>925</v>
      </c>
      <c r="G1193" s="80" t="s">
        <v>170</v>
      </c>
      <c r="H1193" s="80" t="s">
        <v>479</v>
      </c>
      <c r="I1193" s="94"/>
      <c r="J1193" s="201"/>
      <c r="K1193" s="196"/>
      <c r="L1193" s="201"/>
      <c r="M1193" s="201"/>
      <c r="N1193" s="201"/>
      <c r="O1193" s="201"/>
      <c r="P1193" s="201"/>
      <c r="Q1193" s="201"/>
      <c r="R1193" s="201"/>
      <c r="S1193" s="201"/>
    </row>
    <row r="1194" spans="5:19" x14ac:dyDescent="0.25">
      <c r="F1194" t="s">
        <v>926</v>
      </c>
      <c r="G1194" t="s">
        <v>170</v>
      </c>
      <c r="H1194" t="s">
        <v>479</v>
      </c>
      <c r="J1194" s="202"/>
      <c r="K1194" s="198"/>
      <c r="L1194" s="202"/>
      <c r="M1194" s="202"/>
      <c r="N1194" s="202"/>
      <c r="O1194" s="202"/>
      <c r="P1194" s="202"/>
      <c r="Q1194" s="202"/>
      <c r="R1194" s="202"/>
      <c r="S1194" s="202"/>
    </row>
    <row r="1195" spans="5:19" x14ac:dyDescent="0.25">
      <c r="F1195" t="s">
        <v>927</v>
      </c>
      <c r="G1195" t="s">
        <v>170</v>
      </c>
      <c r="H1195" t="s">
        <v>479</v>
      </c>
      <c r="J1195" s="202"/>
      <c r="K1195" s="198"/>
      <c r="L1195" s="202"/>
      <c r="M1195" s="202"/>
      <c r="N1195" s="202"/>
      <c r="O1195" s="202"/>
      <c r="P1195" s="202"/>
      <c r="Q1195" s="202"/>
      <c r="R1195" s="202"/>
      <c r="S1195" s="202"/>
    </row>
    <row r="1196" spans="5:19" x14ac:dyDescent="0.25">
      <c r="F1196" t="s">
        <v>928</v>
      </c>
      <c r="G1196" t="s">
        <v>170</v>
      </c>
      <c r="H1196" t="s">
        <v>479</v>
      </c>
      <c r="J1196" s="202"/>
      <c r="K1196" s="198"/>
      <c r="L1196" s="202"/>
      <c r="M1196" s="202"/>
      <c r="N1196" s="202"/>
      <c r="O1196" s="202"/>
      <c r="P1196" s="202"/>
      <c r="Q1196" s="202"/>
      <c r="R1196" s="202"/>
      <c r="S1196" s="202"/>
    </row>
    <row r="1197" spans="5:19" x14ac:dyDescent="0.25">
      <c r="F1197" t="s">
        <v>929</v>
      </c>
      <c r="G1197" t="s">
        <v>170</v>
      </c>
      <c r="H1197" t="s">
        <v>479</v>
      </c>
      <c r="J1197" s="197">
        <f t="shared" ref="J1197" si="231">CHOOSE(year_selection, L1197,M1197,N1197,O1197,P1197,Q1197,R1197,S1197)</f>
        <v>449.36799999999999</v>
      </c>
      <c r="K1197" s="198"/>
      <c r="L1197" s="281"/>
      <c r="M1197" s="281">
        <v>400.27299991894296</v>
      </c>
      <c r="N1197" s="281">
        <v>464.34899999999999</v>
      </c>
      <c r="O1197" s="281">
        <v>449.36799999999999</v>
      </c>
      <c r="P1197" s="281">
        <f t="shared" ref="P1197:S1197" si="232">$O1197</f>
        <v>449.36799999999999</v>
      </c>
      <c r="Q1197" s="281">
        <f t="shared" si="232"/>
        <v>449.36799999999999</v>
      </c>
      <c r="R1197" s="281">
        <f t="shared" si="232"/>
        <v>449.36799999999999</v>
      </c>
      <c r="S1197" s="281">
        <f t="shared" si="232"/>
        <v>449.36799999999999</v>
      </c>
    </row>
    <row r="1198" spans="5:19" x14ac:dyDescent="0.25">
      <c r="F1198" t="s">
        <v>930</v>
      </c>
      <c r="G1198" t="s">
        <v>170</v>
      </c>
      <c r="H1198" t="s">
        <v>479</v>
      </c>
      <c r="J1198" s="202"/>
      <c r="K1198" s="198"/>
      <c r="L1198" s="202"/>
      <c r="M1198" s="202"/>
      <c r="N1198" s="202"/>
      <c r="O1198" s="202"/>
      <c r="P1198" s="202"/>
      <c r="Q1198" s="202"/>
      <c r="R1198" s="202"/>
      <c r="S1198" s="202"/>
    </row>
    <row r="1199" spans="5:19" x14ac:dyDescent="0.25">
      <c r="F1199" t="s">
        <v>931</v>
      </c>
      <c r="G1199" t="s">
        <v>170</v>
      </c>
      <c r="H1199" t="s">
        <v>479</v>
      </c>
      <c r="J1199" s="202"/>
      <c r="K1199" s="198"/>
      <c r="L1199" s="202"/>
      <c r="M1199" s="202"/>
      <c r="N1199" s="202"/>
      <c r="O1199" s="202"/>
      <c r="P1199" s="202"/>
      <c r="Q1199" s="202"/>
      <c r="R1199" s="202"/>
      <c r="S1199" s="202"/>
    </row>
    <row r="1200" spans="5:19" x14ac:dyDescent="0.25">
      <c r="F1200" t="s">
        <v>932</v>
      </c>
      <c r="G1200" t="s">
        <v>170</v>
      </c>
      <c r="H1200" t="s">
        <v>479</v>
      </c>
      <c r="J1200" s="202"/>
      <c r="K1200" s="198"/>
      <c r="L1200" s="202"/>
      <c r="M1200" s="202"/>
      <c r="N1200" s="202"/>
      <c r="O1200" s="202"/>
      <c r="P1200" s="202"/>
      <c r="Q1200" s="202"/>
      <c r="R1200" s="202"/>
      <c r="S1200" s="202"/>
    </row>
    <row r="1201" spans="3:21" x14ac:dyDescent="0.25">
      <c r="F1201" t="s">
        <v>933</v>
      </c>
      <c r="G1201" t="s">
        <v>170</v>
      </c>
      <c r="H1201" t="s">
        <v>479</v>
      </c>
      <c r="J1201" s="202"/>
      <c r="K1201" s="198"/>
      <c r="L1201" s="202"/>
      <c r="M1201" s="202"/>
      <c r="N1201" s="202"/>
      <c r="O1201" s="202"/>
      <c r="P1201" s="202"/>
      <c r="Q1201" s="202"/>
      <c r="R1201" s="202"/>
      <c r="S1201" s="202"/>
    </row>
    <row r="1202" spans="3:21" x14ac:dyDescent="0.25">
      <c r="F1202" t="s">
        <v>934</v>
      </c>
      <c r="G1202" t="s">
        <v>170</v>
      </c>
      <c r="H1202" t="s">
        <v>479</v>
      </c>
      <c r="J1202" s="202"/>
      <c r="K1202" s="198"/>
      <c r="L1202" s="202"/>
      <c r="M1202" s="202"/>
      <c r="N1202" s="202"/>
      <c r="O1202" s="202"/>
      <c r="P1202" s="202"/>
      <c r="Q1202" s="202"/>
      <c r="R1202" s="202"/>
      <c r="S1202" s="202"/>
    </row>
    <row r="1203" spans="3:21" x14ac:dyDescent="0.25">
      <c r="F1203" t="s">
        <v>935</v>
      </c>
      <c r="G1203" t="s">
        <v>170</v>
      </c>
      <c r="H1203" t="s">
        <v>479</v>
      </c>
      <c r="J1203" s="202"/>
      <c r="K1203" s="198"/>
      <c r="L1203" s="202"/>
      <c r="M1203" s="202"/>
      <c r="N1203" s="202"/>
      <c r="O1203" s="202"/>
      <c r="P1203" s="202"/>
      <c r="Q1203" s="202"/>
      <c r="R1203" s="202"/>
      <c r="S1203" s="202"/>
    </row>
    <row r="1204" spans="3:21" x14ac:dyDescent="0.25">
      <c r="F1204" t="s">
        <v>936</v>
      </c>
      <c r="G1204" t="s">
        <v>170</v>
      </c>
      <c r="H1204" t="s">
        <v>479</v>
      </c>
      <c r="J1204" s="202"/>
      <c r="K1204" s="198"/>
      <c r="L1204" s="202"/>
      <c r="M1204" s="202"/>
      <c r="N1204" s="202"/>
      <c r="O1204" s="202"/>
      <c r="P1204" s="202"/>
      <c r="Q1204" s="202"/>
      <c r="R1204" s="202"/>
      <c r="S1204" s="202"/>
    </row>
    <row r="1205" spans="3:21" x14ac:dyDescent="0.25">
      <c r="F1205" t="s">
        <v>937</v>
      </c>
      <c r="G1205" t="s">
        <v>170</v>
      </c>
      <c r="H1205" t="s">
        <v>479</v>
      </c>
      <c r="J1205" s="202"/>
      <c r="K1205" s="198"/>
      <c r="L1205" s="202"/>
      <c r="M1205" s="202"/>
      <c r="N1205" s="202"/>
      <c r="O1205" s="202"/>
      <c r="P1205" s="202"/>
      <c r="Q1205" s="202"/>
      <c r="R1205" s="202"/>
      <c r="S1205" s="202"/>
    </row>
    <row r="1206" spans="3:21" x14ac:dyDescent="0.25">
      <c r="F1206" t="s">
        <v>938</v>
      </c>
      <c r="G1206" t="s">
        <v>170</v>
      </c>
      <c r="H1206" t="s">
        <v>479</v>
      </c>
      <c r="J1206" s="202"/>
      <c r="K1206" s="198"/>
      <c r="L1206" s="202"/>
      <c r="M1206" s="202"/>
      <c r="N1206" s="202"/>
      <c r="O1206" s="202"/>
      <c r="P1206" s="202"/>
      <c r="Q1206" s="202"/>
      <c r="R1206" s="202"/>
      <c r="S1206" s="202"/>
    </row>
    <row r="1207" spans="3:21" x14ac:dyDescent="0.25">
      <c r="F1207" t="s">
        <v>939</v>
      </c>
      <c r="G1207" t="s">
        <v>170</v>
      </c>
      <c r="H1207" t="s">
        <v>479</v>
      </c>
      <c r="J1207" s="202"/>
      <c r="K1207" s="198"/>
      <c r="L1207" s="202"/>
      <c r="M1207" s="202"/>
      <c r="N1207" s="202"/>
      <c r="O1207" s="202"/>
      <c r="P1207" s="202"/>
      <c r="Q1207" s="202"/>
      <c r="R1207" s="202"/>
      <c r="S1207" s="202"/>
    </row>
    <row r="1208" spans="3:21" x14ac:dyDescent="0.25">
      <c r="F1208" s="17" t="s">
        <v>940</v>
      </c>
      <c r="G1208" s="17" t="s">
        <v>170</v>
      </c>
      <c r="H1208" s="17" t="s">
        <v>479</v>
      </c>
      <c r="I1208" s="122"/>
      <c r="J1208" s="203"/>
      <c r="K1208" s="200"/>
      <c r="L1208" s="203"/>
      <c r="M1208" s="203"/>
      <c r="N1208" s="203"/>
      <c r="O1208" s="203"/>
      <c r="P1208" s="203"/>
      <c r="Q1208" s="203"/>
      <c r="R1208" s="203"/>
      <c r="S1208" s="203"/>
    </row>
    <row r="1209" spans="3:21" x14ac:dyDescent="0.25">
      <c r="J1209" s="198"/>
      <c r="K1209" s="198"/>
      <c r="L1209" s="198"/>
      <c r="M1209" s="198"/>
      <c r="N1209" s="198"/>
      <c r="O1209" s="198"/>
      <c r="P1209" s="198"/>
      <c r="Q1209" s="198"/>
      <c r="R1209" s="198"/>
      <c r="S1209" s="198"/>
    </row>
    <row r="1210" spans="3:21" x14ac:dyDescent="0.25">
      <c r="C1210" s="5" t="str">
        <f ca="1">INDEX('Version control'!$H$36:$H$62,MATCH($A$1,'Version control'!$F$36:$F$62,0),1)&amp;"-L: LDNO LV volumes - Residual band 4"</f>
        <v>Input 501-L: LDNO LV volumes - Residual band 4</v>
      </c>
      <c r="D1210" s="5"/>
      <c r="E1210" s="5"/>
      <c r="F1210" s="5"/>
      <c r="G1210" s="5"/>
      <c r="H1210" s="5"/>
      <c r="I1210" s="143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</row>
    <row r="1211" spans="3:21" x14ac:dyDescent="0.25">
      <c r="D1211" s="52"/>
    </row>
    <row r="1212" spans="3:21" x14ac:dyDescent="0.25">
      <c r="E1212" s="121" t="s">
        <v>199</v>
      </c>
      <c r="I1212" s="59" t="s">
        <v>359</v>
      </c>
      <c r="U1212" t="s">
        <v>691</v>
      </c>
    </row>
    <row r="1213" spans="3:21" x14ac:dyDescent="0.25">
      <c r="F1213" s="80" t="s">
        <v>925</v>
      </c>
      <c r="G1213" s="80" t="s">
        <v>120</v>
      </c>
      <c r="H1213" s="80" t="s">
        <v>479</v>
      </c>
      <c r="I1213" s="94"/>
      <c r="J1213" s="201"/>
      <c r="K1213" s="196"/>
      <c r="L1213" s="201"/>
      <c r="M1213" s="201"/>
      <c r="N1213" s="201"/>
      <c r="O1213" s="201"/>
      <c r="P1213" s="201"/>
      <c r="Q1213" s="201"/>
      <c r="R1213" s="201"/>
      <c r="S1213" s="201"/>
    </row>
    <row r="1214" spans="3:21" x14ac:dyDescent="0.25">
      <c r="F1214" t="s">
        <v>926</v>
      </c>
      <c r="G1214" t="s">
        <v>120</v>
      </c>
      <c r="H1214" t="s">
        <v>479</v>
      </c>
      <c r="J1214" s="202"/>
      <c r="K1214" s="198"/>
      <c r="L1214" s="202"/>
      <c r="M1214" s="202"/>
      <c r="N1214" s="202"/>
      <c r="O1214" s="202"/>
      <c r="P1214" s="202"/>
      <c r="Q1214" s="202"/>
      <c r="R1214" s="202"/>
      <c r="S1214" s="202"/>
    </row>
    <row r="1215" spans="3:21" x14ac:dyDescent="0.25">
      <c r="F1215" t="s">
        <v>927</v>
      </c>
      <c r="G1215" t="s">
        <v>120</v>
      </c>
      <c r="H1215" t="s">
        <v>479</v>
      </c>
      <c r="J1215" s="197">
        <f t="shared" ref="J1215" si="233">CHOOSE(year_selection, L1215,M1215,N1215,O1215,P1215,Q1215,R1215,S1215)</f>
        <v>274.2552933536906</v>
      </c>
      <c r="K1215" s="198"/>
      <c r="L1215" s="281"/>
      <c r="M1215" s="281">
        <v>378.86726694744709</v>
      </c>
      <c r="N1215" s="281">
        <v>390.67575662716496</v>
      </c>
      <c r="O1215" s="281">
        <v>274.2552933536906</v>
      </c>
      <c r="P1215" s="281">
        <f t="shared" ref="P1215:S1215" si="234">$O1215</f>
        <v>274.2552933536906</v>
      </c>
      <c r="Q1215" s="281">
        <f t="shared" si="234"/>
        <v>274.2552933536906</v>
      </c>
      <c r="R1215" s="281">
        <f t="shared" si="234"/>
        <v>274.2552933536906</v>
      </c>
      <c r="S1215" s="281">
        <f t="shared" si="234"/>
        <v>274.2552933536906</v>
      </c>
    </row>
    <row r="1216" spans="3:21" x14ac:dyDescent="0.25">
      <c r="F1216" t="s">
        <v>928</v>
      </c>
      <c r="G1216" t="s">
        <v>120</v>
      </c>
      <c r="H1216" t="s">
        <v>479</v>
      </c>
      <c r="J1216" s="202"/>
      <c r="K1216" s="198"/>
      <c r="L1216" s="202"/>
      <c r="M1216" s="202"/>
      <c r="N1216" s="202"/>
      <c r="O1216" s="202"/>
      <c r="P1216" s="202"/>
      <c r="Q1216" s="202"/>
      <c r="R1216" s="202"/>
      <c r="S1216" s="202"/>
    </row>
    <row r="1217" spans="5:19" x14ac:dyDescent="0.25">
      <c r="F1217" t="s">
        <v>929</v>
      </c>
      <c r="G1217" t="s">
        <v>120</v>
      </c>
      <c r="H1217" t="s">
        <v>479</v>
      </c>
      <c r="J1217" s="197">
        <f t="shared" ref="J1217" si="235">CHOOSE(year_selection, L1217,M1217,N1217,O1217,P1217,Q1217,R1217,S1217)</f>
        <v>610.7512178763875</v>
      </c>
      <c r="K1217" s="198"/>
      <c r="L1217" s="281"/>
      <c r="M1217" s="281">
        <v>516.05621704487248</v>
      </c>
      <c r="N1217" s="281">
        <v>530.74797601455839</v>
      </c>
      <c r="O1217" s="281">
        <v>610.7512178763875</v>
      </c>
      <c r="P1217" s="281">
        <f t="shared" ref="P1217:S1217" si="236">$O1217</f>
        <v>610.7512178763875</v>
      </c>
      <c r="Q1217" s="281">
        <f t="shared" si="236"/>
        <v>610.7512178763875</v>
      </c>
      <c r="R1217" s="281">
        <f t="shared" si="236"/>
        <v>610.7512178763875</v>
      </c>
      <c r="S1217" s="281">
        <f t="shared" si="236"/>
        <v>610.7512178763875</v>
      </c>
    </row>
    <row r="1218" spans="5:19" x14ac:dyDescent="0.25">
      <c r="F1218" t="s">
        <v>930</v>
      </c>
      <c r="G1218" t="s">
        <v>120</v>
      </c>
      <c r="H1218" t="s">
        <v>479</v>
      </c>
      <c r="J1218" s="202"/>
      <c r="K1218" s="198"/>
      <c r="L1218" s="202"/>
      <c r="M1218" s="202"/>
      <c r="N1218" s="202"/>
      <c r="O1218" s="202"/>
      <c r="P1218" s="202"/>
      <c r="Q1218" s="202"/>
      <c r="R1218" s="202"/>
      <c r="S1218" s="202"/>
    </row>
    <row r="1219" spans="5:19" x14ac:dyDescent="0.25">
      <c r="F1219" t="s">
        <v>931</v>
      </c>
      <c r="G1219" t="s">
        <v>120</v>
      </c>
      <c r="H1219" t="s">
        <v>479</v>
      </c>
      <c r="J1219" s="202"/>
      <c r="K1219" s="198"/>
      <c r="L1219" s="202"/>
      <c r="M1219" s="202"/>
      <c r="N1219" s="202"/>
      <c r="O1219" s="202"/>
      <c r="P1219" s="202"/>
      <c r="Q1219" s="202"/>
      <c r="R1219" s="202"/>
      <c r="S1219" s="202"/>
    </row>
    <row r="1220" spans="5:19" x14ac:dyDescent="0.25">
      <c r="F1220" t="s">
        <v>932</v>
      </c>
      <c r="G1220" t="s">
        <v>120</v>
      </c>
      <c r="H1220" t="s">
        <v>479</v>
      </c>
      <c r="J1220" s="202"/>
      <c r="K1220" s="198"/>
      <c r="L1220" s="202"/>
      <c r="M1220" s="202"/>
      <c r="N1220" s="202"/>
      <c r="O1220" s="202"/>
      <c r="P1220" s="202"/>
      <c r="Q1220" s="202"/>
      <c r="R1220" s="202"/>
      <c r="S1220" s="202"/>
    </row>
    <row r="1221" spans="5:19" x14ac:dyDescent="0.25">
      <c r="F1221" t="s">
        <v>933</v>
      </c>
      <c r="G1221" t="s">
        <v>120</v>
      </c>
      <c r="H1221" t="s">
        <v>479</v>
      </c>
      <c r="J1221" s="202"/>
      <c r="K1221" s="198"/>
      <c r="L1221" s="202"/>
      <c r="M1221" s="202"/>
      <c r="N1221" s="202"/>
      <c r="O1221" s="202"/>
      <c r="P1221" s="202"/>
      <c r="Q1221" s="202"/>
      <c r="R1221" s="202"/>
      <c r="S1221" s="202"/>
    </row>
    <row r="1222" spans="5:19" x14ac:dyDescent="0.25">
      <c r="F1222" t="s">
        <v>934</v>
      </c>
      <c r="G1222" t="s">
        <v>120</v>
      </c>
      <c r="H1222" t="s">
        <v>479</v>
      </c>
      <c r="J1222" s="202"/>
      <c r="K1222" s="198"/>
      <c r="L1222" s="202"/>
      <c r="M1222" s="202"/>
      <c r="N1222" s="202"/>
      <c r="O1222" s="202"/>
      <c r="P1222" s="202"/>
      <c r="Q1222" s="202"/>
      <c r="R1222" s="202"/>
      <c r="S1222" s="202"/>
    </row>
    <row r="1223" spans="5:19" x14ac:dyDescent="0.25">
      <c r="F1223" t="s">
        <v>935</v>
      </c>
      <c r="G1223" t="s">
        <v>120</v>
      </c>
      <c r="H1223" t="s">
        <v>479</v>
      </c>
      <c r="J1223" s="202"/>
      <c r="K1223" s="198"/>
      <c r="L1223" s="202"/>
      <c r="M1223" s="202"/>
      <c r="N1223" s="202"/>
      <c r="O1223" s="202"/>
      <c r="P1223" s="202"/>
      <c r="Q1223" s="202"/>
      <c r="R1223" s="202"/>
      <c r="S1223" s="202"/>
    </row>
    <row r="1224" spans="5:19" x14ac:dyDescent="0.25">
      <c r="F1224" t="s">
        <v>936</v>
      </c>
      <c r="G1224" t="s">
        <v>120</v>
      </c>
      <c r="H1224" t="s">
        <v>479</v>
      </c>
      <c r="J1224" s="202"/>
      <c r="K1224" s="198"/>
      <c r="L1224" s="202"/>
      <c r="M1224" s="202"/>
      <c r="N1224" s="202"/>
      <c r="O1224" s="202"/>
      <c r="P1224" s="202"/>
      <c r="Q1224" s="202"/>
      <c r="R1224" s="202"/>
      <c r="S1224" s="202"/>
    </row>
    <row r="1225" spans="5:19" x14ac:dyDescent="0.25">
      <c r="F1225" t="s">
        <v>937</v>
      </c>
      <c r="G1225" t="s">
        <v>120</v>
      </c>
      <c r="H1225" t="s">
        <v>479</v>
      </c>
      <c r="J1225" s="202"/>
      <c r="K1225" s="198"/>
      <c r="L1225" s="202"/>
      <c r="M1225" s="202"/>
      <c r="N1225" s="202"/>
      <c r="O1225" s="202"/>
      <c r="P1225" s="202"/>
      <c r="Q1225" s="202"/>
      <c r="R1225" s="202"/>
      <c r="S1225" s="202"/>
    </row>
    <row r="1226" spans="5:19" x14ac:dyDescent="0.25">
      <c r="F1226" t="s">
        <v>938</v>
      </c>
      <c r="G1226" t="s">
        <v>120</v>
      </c>
      <c r="H1226" t="s">
        <v>479</v>
      </c>
      <c r="J1226" s="202"/>
      <c r="K1226" s="198"/>
      <c r="L1226" s="202"/>
      <c r="M1226" s="202"/>
      <c r="N1226" s="202"/>
      <c r="O1226" s="202"/>
      <c r="P1226" s="202"/>
      <c r="Q1226" s="202"/>
      <c r="R1226" s="202"/>
      <c r="S1226" s="202"/>
    </row>
    <row r="1227" spans="5:19" x14ac:dyDescent="0.25">
      <c r="F1227" t="s">
        <v>939</v>
      </c>
      <c r="G1227" t="s">
        <v>120</v>
      </c>
      <c r="H1227" t="s">
        <v>479</v>
      </c>
      <c r="J1227" s="202"/>
      <c r="K1227" s="198"/>
      <c r="L1227" s="202"/>
      <c r="M1227" s="202"/>
      <c r="N1227" s="202"/>
      <c r="O1227" s="202"/>
      <c r="P1227" s="202"/>
      <c r="Q1227" s="202"/>
      <c r="R1227" s="202"/>
      <c r="S1227" s="202"/>
    </row>
    <row r="1228" spans="5:19" x14ac:dyDescent="0.25">
      <c r="F1228" s="17" t="s">
        <v>940</v>
      </c>
      <c r="G1228" s="17" t="s">
        <v>120</v>
      </c>
      <c r="H1228" s="17" t="s">
        <v>479</v>
      </c>
      <c r="I1228" s="122"/>
      <c r="J1228" s="203"/>
      <c r="K1228" s="200"/>
      <c r="L1228" s="203"/>
      <c r="M1228" s="203"/>
      <c r="N1228" s="203"/>
      <c r="O1228" s="203"/>
      <c r="P1228" s="203"/>
      <c r="Q1228" s="203"/>
      <c r="R1228" s="203"/>
      <c r="S1228" s="203"/>
    </row>
    <row r="1229" spans="5:19" x14ac:dyDescent="0.25">
      <c r="J1229" s="198"/>
      <c r="K1229" s="198"/>
      <c r="L1229" s="198"/>
      <c r="M1229" s="198"/>
      <c r="N1229" s="198"/>
      <c r="O1229" s="198"/>
      <c r="P1229" s="198"/>
      <c r="Q1229" s="198"/>
      <c r="R1229" s="198"/>
      <c r="S1229" s="198"/>
    </row>
    <row r="1230" spans="5:19" x14ac:dyDescent="0.25">
      <c r="E1230" s="121" t="s">
        <v>200</v>
      </c>
      <c r="J1230" s="198"/>
      <c r="K1230" s="198"/>
      <c r="L1230" s="198"/>
      <c r="M1230" s="198"/>
      <c r="N1230" s="198"/>
      <c r="O1230" s="198"/>
      <c r="P1230" s="198"/>
      <c r="Q1230" s="198"/>
      <c r="R1230" s="198"/>
      <c r="S1230" s="198"/>
    </row>
    <row r="1231" spans="5:19" x14ac:dyDescent="0.25">
      <c r="F1231" s="80" t="s">
        <v>925</v>
      </c>
      <c r="G1231" s="80" t="s">
        <v>120</v>
      </c>
      <c r="H1231" s="80" t="s">
        <v>479</v>
      </c>
      <c r="I1231" s="94"/>
      <c r="J1231" s="201"/>
      <c r="K1231" s="196"/>
      <c r="L1231" s="201"/>
      <c r="M1231" s="201"/>
      <c r="N1231" s="201"/>
      <c r="O1231" s="201"/>
      <c r="P1231" s="201"/>
      <c r="Q1231" s="201"/>
      <c r="R1231" s="201"/>
      <c r="S1231" s="201"/>
    </row>
    <row r="1232" spans="5:19" x14ac:dyDescent="0.25">
      <c r="F1232" t="s">
        <v>926</v>
      </c>
      <c r="G1232" t="s">
        <v>120</v>
      </c>
      <c r="H1232" t="s">
        <v>479</v>
      </c>
      <c r="J1232" s="202"/>
      <c r="K1232" s="198"/>
      <c r="L1232" s="202"/>
      <c r="M1232" s="202"/>
      <c r="N1232" s="202"/>
      <c r="O1232" s="202"/>
      <c r="P1232" s="202"/>
      <c r="Q1232" s="202"/>
      <c r="R1232" s="202"/>
      <c r="S1232" s="202"/>
    </row>
    <row r="1233" spans="5:19" x14ac:dyDescent="0.25">
      <c r="F1233" t="s">
        <v>927</v>
      </c>
      <c r="G1233" t="s">
        <v>120</v>
      </c>
      <c r="H1233" t="s">
        <v>479</v>
      </c>
      <c r="J1233" s="197">
        <f t="shared" ref="J1233" si="237">CHOOSE(year_selection, L1233,M1233,N1233,O1233,P1233,Q1233,R1233,S1233)</f>
        <v>1420.7552954721566</v>
      </c>
      <c r="K1233" s="198"/>
      <c r="L1233" s="281"/>
      <c r="M1233" s="281">
        <v>2051.5269062334551</v>
      </c>
      <c r="N1233" s="281">
        <v>2115.6465709484401</v>
      </c>
      <c r="O1233" s="281">
        <v>1420.7552954721566</v>
      </c>
      <c r="P1233" s="281">
        <f t="shared" ref="P1233:S1233" si="238">$O1233</f>
        <v>1420.7552954721566</v>
      </c>
      <c r="Q1233" s="281">
        <f t="shared" si="238"/>
        <v>1420.7552954721566</v>
      </c>
      <c r="R1233" s="281">
        <f t="shared" si="238"/>
        <v>1420.7552954721566</v>
      </c>
      <c r="S1233" s="281">
        <f t="shared" si="238"/>
        <v>1420.7552954721566</v>
      </c>
    </row>
    <row r="1234" spans="5:19" x14ac:dyDescent="0.25">
      <c r="F1234" t="s">
        <v>928</v>
      </c>
      <c r="G1234" t="s">
        <v>120</v>
      </c>
      <c r="H1234" t="s">
        <v>479</v>
      </c>
      <c r="J1234" s="202"/>
      <c r="K1234" s="198"/>
      <c r="L1234" s="202"/>
      <c r="M1234" s="202"/>
      <c r="N1234" s="202"/>
      <c r="O1234" s="202"/>
      <c r="P1234" s="202"/>
      <c r="Q1234" s="202"/>
      <c r="R1234" s="202"/>
      <c r="S1234" s="202"/>
    </row>
    <row r="1235" spans="5:19" x14ac:dyDescent="0.25">
      <c r="F1235" t="s">
        <v>929</v>
      </c>
      <c r="G1235" t="s">
        <v>120</v>
      </c>
      <c r="H1235" t="s">
        <v>479</v>
      </c>
      <c r="J1235" s="197">
        <f t="shared" ref="J1235" si="239">CHOOSE(year_selection, L1235,M1235,N1235,O1235,P1235,Q1235,R1235,S1235)</f>
        <v>2751.122048481895</v>
      </c>
      <c r="K1235" s="198"/>
      <c r="L1235" s="281"/>
      <c r="M1235" s="281">
        <v>2325.1845543068507</v>
      </c>
      <c r="N1235" s="281">
        <v>2391.4284610750601</v>
      </c>
      <c r="O1235" s="281">
        <v>2751.122048481895</v>
      </c>
      <c r="P1235" s="281">
        <f t="shared" ref="P1235:S1235" si="240">$O1235</f>
        <v>2751.122048481895</v>
      </c>
      <c r="Q1235" s="281">
        <f t="shared" si="240"/>
        <v>2751.122048481895</v>
      </c>
      <c r="R1235" s="281">
        <f t="shared" si="240"/>
        <v>2751.122048481895</v>
      </c>
      <c r="S1235" s="281">
        <f t="shared" si="240"/>
        <v>2751.122048481895</v>
      </c>
    </row>
    <row r="1236" spans="5:19" x14ac:dyDescent="0.25">
      <c r="F1236" t="s">
        <v>930</v>
      </c>
      <c r="G1236" t="s">
        <v>120</v>
      </c>
      <c r="H1236" t="s">
        <v>479</v>
      </c>
      <c r="J1236" s="202"/>
      <c r="K1236" s="198"/>
      <c r="L1236" s="202"/>
      <c r="M1236" s="202"/>
      <c r="N1236" s="202"/>
      <c r="O1236" s="202"/>
      <c r="P1236" s="202"/>
      <c r="Q1236" s="202"/>
      <c r="R1236" s="202"/>
      <c r="S1236" s="202"/>
    </row>
    <row r="1237" spans="5:19" x14ac:dyDescent="0.25">
      <c r="F1237" t="s">
        <v>931</v>
      </c>
      <c r="G1237" t="s">
        <v>120</v>
      </c>
      <c r="H1237" t="s">
        <v>479</v>
      </c>
      <c r="J1237" s="202"/>
      <c r="K1237" s="198"/>
      <c r="L1237" s="202"/>
      <c r="M1237" s="202"/>
      <c r="N1237" s="202"/>
      <c r="O1237" s="202"/>
      <c r="P1237" s="202"/>
      <c r="Q1237" s="202"/>
      <c r="R1237" s="202"/>
      <c r="S1237" s="202"/>
    </row>
    <row r="1238" spans="5:19" x14ac:dyDescent="0.25">
      <c r="F1238" t="s">
        <v>932</v>
      </c>
      <c r="G1238" t="s">
        <v>120</v>
      </c>
      <c r="H1238" t="s">
        <v>479</v>
      </c>
      <c r="J1238" s="202"/>
      <c r="K1238" s="198"/>
      <c r="L1238" s="202"/>
      <c r="M1238" s="202"/>
      <c r="N1238" s="202"/>
      <c r="O1238" s="202"/>
      <c r="P1238" s="202"/>
      <c r="Q1238" s="202"/>
      <c r="R1238" s="202"/>
      <c r="S1238" s="202"/>
    </row>
    <row r="1239" spans="5:19" x14ac:dyDescent="0.25">
      <c r="F1239" t="s">
        <v>933</v>
      </c>
      <c r="G1239" t="s">
        <v>120</v>
      </c>
      <c r="H1239" t="s">
        <v>479</v>
      </c>
      <c r="J1239" s="202"/>
      <c r="K1239" s="198"/>
      <c r="L1239" s="202"/>
      <c r="M1239" s="202"/>
      <c r="N1239" s="202"/>
      <c r="O1239" s="202"/>
      <c r="P1239" s="202"/>
      <c r="Q1239" s="202"/>
      <c r="R1239" s="202"/>
      <c r="S1239" s="202"/>
    </row>
    <row r="1240" spans="5:19" x14ac:dyDescent="0.25">
      <c r="F1240" t="s">
        <v>934</v>
      </c>
      <c r="G1240" t="s">
        <v>120</v>
      </c>
      <c r="H1240" t="s">
        <v>479</v>
      </c>
      <c r="J1240" s="202"/>
      <c r="K1240" s="198"/>
      <c r="L1240" s="202"/>
      <c r="M1240" s="202"/>
      <c r="N1240" s="202"/>
      <c r="O1240" s="202"/>
      <c r="P1240" s="202"/>
      <c r="Q1240" s="202"/>
      <c r="R1240" s="202"/>
      <c r="S1240" s="202"/>
    </row>
    <row r="1241" spans="5:19" x14ac:dyDescent="0.25">
      <c r="F1241" t="s">
        <v>935</v>
      </c>
      <c r="G1241" t="s">
        <v>120</v>
      </c>
      <c r="H1241" t="s">
        <v>479</v>
      </c>
      <c r="J1241" s="202"/>
      <c r="K1241" s="198"/>
      <c r="L1241" s="202"/>
      <c r="M1241" s="202"/>
      <c r="N1241" s="202"/>
      <c r="O1241" s="202"/>
      <c r="P1241" s="202"/>
      <c r="Q1241" s="202"/>
      <c r="R1241" s="202"/>
      <c r="S1241" s="202"/>
    </row>
    <row r="1242" spans="5:19" x14ac:dyDescent="0.25">
      <c r="F1242" t="s">
        <v>936</v>
      </c>
      <c r="G1242" t="s">
        <v>120</v>
      </c>
      <c r="H1242" t="s">
        <v>479</v>
      </c>
      <c r="J1242" s="202"/>
      <c r="K1242" s="198"/>
      <c r="L1242" s="202"/>
      <c r="M1242" s="202"/>
      <c r="N1242" s="202"/>
      <c r="O1242" s="202"/>
      <c r="P1242" s="202"/>
      <c r="Q1242" s="202"/>
      <c r="R1242" s="202"/>
      <c r="S1242" s="202"/>
    </row>
    <row r="1243" spans="5:19" x14ac:dyDescent="0.25">
      <c r="F1243" t="s">
        <v>937</v>
      </c>
      <c r="G1243" t="s">
        <v>120</v>
      </c>
      <c r="H1243" t="s">
        <v>479</v>
      </c>
      <c r="J1243" s="202"/>
      <c r="K1243" s="198"/>
      <c r="L1243" s="202"/>
      <c r="M1243" s="202"/>
      <c r="N1243" s="202"/>
      <c r="O1243" s="202"/>
      <c r="P1243" s="202"/>
      <c r="Q1243" s="202"/>
      <c r="R1243" s="202"/>
      <c r="S1243" s="202"/>
    </row>
    <row r="1244" spans="5:19" x14ac:dyDescent="0.25">
      <c r="F1244" t="s">
        <v>938</v>
      </c>
      <c r="G1244" t="s">
        <v>120</v>
      </c>
      <c r="H1244" t="s">
        <v>479</v>
      </c>
      <c r="J1244" s="202"/>
      <c r="K1244" s="198"/>
      <c r="L1244" s="202"/>
      <c r="M1244" s="202"/>
      <c r="N1244" s="202"/>
      <c r="O1244" s="202"/>
      <c r="P1244" s="202"/>
      <c r="Q1244" s="202"/>
      <c r="R1244" s="202"/>
      <c r="S1244" s="202"/>
    </row>
    <row r="1245" spans="5:19" x14ac:dyDescent="0.25">
      <c r="F1245" t="s">
        <v>939</v>
      </c>
      <c r="G1245" t="s">
        <v>120</v>
      </c>
      <c r="H1245" t="s">
        <v>479</v>
      </c>
      <c r="J1245" s="202"/>
      <c r="K1245" s="198"/>
      <c r="L1245" s="202"/>
      <c r="M1245" s="202"/>
      <c r="N1245" s="202"/>
      <c r="O1245" s="202"/>
      <c r="P1245" s="202"/>
      <c r="Q1245" s="202"/>
      <c r="R1245" s="202"/>
      <c r="S1245" s="202"/>
    </row>
    <row r="1246" spans="5:19" x14ac:dyDescent="0.25">
      <c r="F1246" s="17" t="s">
        <v>940</v>
      </c>
      <c r="G1246" s="17" t="s">
        <v>120</v>
      </c>
      <c r="H1246" s="17" t="s">
        <v>479</v>
      </c>
      <c r="I1246" s="122"/>
      <c r="J1246" s="203"/>
      <c r="K1246" s="200"/>
      <c r="L1246" s="203"/>
      <c r="M1246" s="203"/>
      <c r="N1246" s="203"/>
      <c r="O1246" s="203"/>
      <c r="P1246" s="203"/>
      <c r="Q1246" s="203"/>
      <c r="R1246" s="203"/>
      <c r="S1246" s="203"/>
    </row>
    <row r="1247" spans="5:19" x14ac:dyDescent="0.25">
      <c r="J1247" s="198"/>
      <c r="K1247" s="198"/>
      <c r="L1247" s="198"/>
      <c r="M1247" s="198"/>
      <c r="N1247" s="198"/>
      <c r="O1247" s="198"/>
      <c r="P1247" s="198"/>
      <c r="Q1247" s="198"/>
      <c r="R1247" s="198"/>
      <c r="S1247" s="198"/>
    </row>
    <row r="1248" spans="5:19" x14ac:dyDescent="0.25">
      <c r="E1248" s="121" t="s">
        <v>201</v>
      </c>
      <c r="J1248" s="198"/>
      <c r="K1248" s="198"/>
      <c r="L1248" s="198"/>
      <c r="M1248" s="198"/>
      <c r="N1248" s="198"/>
      <c r="O1248" s="198"/>
      <c r="P1248" s="198"/>
      <c r="Q1248" s="198"/>
      <c r="R1248" s="198"/>
      <c r="S1248" s="198"/>
    </row>
    <row r="1249" spans="6:19" x14ac:dyDescent="0.25">
      <c r="F1249" s="80" t="s">
        <v>925</v>
      </c>
      <c r="G1249" s="80" t="s">
        <v>120</v>
      </c>
      <c r="H1249" s="80" t="s">
        <v>479</v>
      </c>
      <c r="I1249" s="94"/>
      <c r="J1249" s="201"/>
      <c r="K1249" s="196"/>
      <c r="L1249" s="201"/>
      <c r="M1249" s="201"/>
      <c r="N1249" s="201"/>
      <c r="O1249" s="201"/>
      <c r="P1249" s="201"/>
      <c r="Q1249" s="201"/>
      <c r="R1249" s="201"/>
      <c r="S1249" s="201"/>
    </row>
    <row r="1250" spans="6:19" x14ac:dyDescent="0.25">
      <c r="F1250" t="s">
        <v>926</v>
      </c>
      <c r="G1250" t="s">
        <v>120</v>
      </c>
      <c r="H1250" t="s">
        <v>479</v>
      </c>
      <c r="J1250" s="202"/>
      <c r="K1250" s="198"/>
      <c r="L1250" s="202"/>
      <c r="M1250" s="202"/>
      <c r="N1250" s="202"/>
      <c r="O1250" s="202"/>
      <c r="P1250" s="202"/>
      <c r="Q1250" s="202"/>
      <c r="R1250" s="202"/>
      <c r="S1250" s="202"/>
    </row>
    <row r="1251" spans="6:19" x14ac:dyDescent="0.25">
      <c r="F1251" t="s">
        <v>927</v>
      </c>
      <c r="G1251" t="s">
        <v>120</v>
      </c>
      <c r="H1251" t="s">
        <v>479</v>
      </c>
      <c r="J1251" s="197">
        <f t="shared" ref="J1251" si="241">CHOOSE(year_selection, L1251,M1251,N1251,O1251,P1251,Q1251,R1251,S1251)</f>
        <v>1078.7038178544778</v>
      </c>
      <c r="K1251" s="198"/>
      <c r="L1251" s="281"/>
      <c r="M1251" s="281">
        <v>1983.054042856556</v>
      </c>
      <c r="N1251" s="281">
        <v>2045.2319711436878</v>
      </c>
      <c r="O1251" s="281">
        <v>1078.7038178544778</v>
      </c>
      <c r="P1251" s="281">
        <f t="shared" ref="P1251:S1251" si="242">$O1251</f>
        <v>1078.7038178544778</v>
      </c>
      <c r="Q1251" s="281">
        <f t="shared" si="242"/>
        <v>1078.7038178544778</v>
      </c>
      <c r="R1251" s="281">
        <f t="shared" si="242"/>
        <v>1078.7038178544778</v>
      </c>
      <c r="S1251" s="281">
        <f t="shared" si="242"/>
        <v>1078.7038178544778</v>
      </c>
    </row>
    <row r="1252" spans="6:19" x14ac:dyDescent="0.25">
      <c r="F1252" t="s">
        <v>928</v>
      </c>
      <c r="G1252" t="s">
        <v>120</v>
      </c>
      <c r="H1252" t="s">
        <v>479</v>
      </c>
      <c r="J1252" s="202"/>
      <c r="K1252" s="198"/>
      <c r="L1252" s="202"/>
      <c r="M1252" s="202"/>
      <c r="N1252" s="202"/>
      <c r="O1252" s="202"/>
      <c r="P1252" s="202"/>
      <c r="Q1252" s="202"/>
      <c r="R1252" s="202"/>
      <c r="S1252" s="202"/>
    </row>
    <row r="1253" spans="6:19" x14ac:dyDescent="0.25">
      <c r="F1253" t="s">
        <v>929</v>
      </c>
      <c r="G1253" t="s">
        <v>120</v>
      </c>
      <c r="H1253" t="s">
        <v>479</v>
      </c>
      <c r="J1253" s="197">
        <f t="shared" ref="J1253" si="243">CHOOSE(year_selection, L1253,M1253,N1253,O1253,P1253,Q1253,R1253,S1253)</f>
        <v>2454.2591873439815</v>
      </c>
      <c r="K1253" s="198"/>
      <c r="L1253" s="281"/>
      <c r="M1253" s="281">
        <v>2130.0192164765831</v>
      </c>
      <c r="N1253" s="281">
        <v>2190.8232993264046</v>
      </c>
      <c r="O1253" s="281">
        <v>2454.2591873439815</v>
      </c>
      <c r="P1253" s="281">
        <f t="shared" ref="P1253:S1253" si="244">$O1253</f>
        <v>2454.2591873439815</v>
      </c>
      <c r="Q1253" s="281">
        <f t="shared" si="244"/>
        <v>2454.2591873439815</v>
      </c>
      <c r="R1253" s="281">
        <f t="shared" si="244"/>
        <v>2454.2591873439815</v>
      </c>
      <c r="S1253" s="281">
        <f t="shared" si="244"/>
        <v>2454.2591873439815</v>
      </c>
    </row>
    <row r="1254" spans="6:19" x14ac:dyDescent="0.25">
      <c r="F1254" t="s">
        <v>930</v>
      </c>
      <c r="G1254" t="s">
        <v>120</v>
      </c>
      <c r="H1254" t="s">
        <v>479</v>
      </c>
      <c r="J1254" s="202"/>
      <c r="K1254" s="198"/>
      <c r="L1254" s="202"/>
      <c r="M1254" s="202"/>
      <c r="N1254" s="202"/>
      <c r="O1254" s="202"/>
      <c r="P1254" s="202"/>
      <c r="Q1254" s="202"/>
      <c r="R1254" s="202"/>
      <c r="S1254" s="202"/>
    </row>
    <row r="1255" spans="6:19" x14ac:dyDescent="0.25">
      <c r="F1255" t="s">
        <v>931</v>
      </c>
      <c r="G1255" t="s">
        <v>120</v>
      </c>
      <c r="H1255" t="s">
        <v>479</v>
      </c>
      <c r="J1255" s="202"/>
      <c r="K1255" s="198"/>
      <c r="L1255" s="202"/>
      <c r="M1255" s="202"/>
      <c r="N1255" s="202"/>
      <c r="O1255" s="202"/>
      <c r="P1255" s="202"/>
      <c r="Q1255" s="202"/>
      <c r="R1255" s="202"/>
      <c r="S1255" s="202"/>
    </row>
    <row r="1256" spans="6:19" x14ac:dyDescent="0.25">
      <c r="F1256" t="s">
        <v>932</v>
      </c>
      <c r="G1256" t="s">
        <v>120</v>
      </c>
      <c r="H1256" t="s">
        <v>479</v>
      </c>
      <c r="J1256" s="202"/>
      <c r="K1256" s="198"/>
      <c r="L1256" s="202"/>
      <c r="M1256" s="202"/>
      <c r="N1256" s="202"/>
      <c r="O1256" s="202"/>
      <c r="P1256" s="202"/>
      <c r="Q1256" s="202"/>
      <c r="R1256" s="202"/>
      <c r="S1256" s="202"/>
    </row>
    <row r="1257" spans="6:19" x14ac:dyDescent="0.25">
      <c r="F1257" t="s">
        <v>933</v>
      </c>
      <c r="G1257" t="s">
        <v>120</v>
      </c>
      <c r="H1257" t="s">
        <v>479</v>
      </c>
      <c r="J1257" s="202"/>
      <c r="K1257" s="198"/>
      <c r="L1257" s="202"/>
      <c r="M1257" s="202"/>
      <c r="N1257" s="202"/>
      <c r="O1257" s="202"/>
      <c r="P1257" s="202"/>
      <c r="Q1257" s="202"/>
      <c r="R1257" s="202"/>
      <c r="S1257" s="202"/>
    </row>
    <row r="1258" spans="6:19" x14ac:dyDescent="0.25">
      <c r="F1258" t="s">
        <v>934</v>
      </c>
      <c r="G1258" t="s">
        <v>120</v>
      </c>
      <c r="H1258" t="s">
        <v>479</v>
      </c>
      <c r="J1258" s="202"/>
      <c r="K1258" s="198"/>
      <c r="L1258" s="202"/>
      <c r="M1258" s="202"/>
      <c r="N1258" s="202"/>
      <c r="O1258" s="202"/>
      <c r="P1258" s="202"/>
      <c r="Q1258" s="202"/>
      <c r="R1258" s="202"/>
      <c r="S1258" s="202"/>
    </row>
    <row r="1259" spans="6:19" x14ac:dyDescent="0.25">
      <c r="F1259" t="s">
        <v>935</v>
      </c>
      <c r="G1259" t="s">
        <v>120</v>
      </c>
      <c r="H1259" t="s">
        <v>479</v>
      </c>
      <c r="J1259" s="202"/>
      <c r="K1259" s="198"/>
      <c r="L1259" s="202"/>
      <c r="M1259" s="202"/>
      <c r="N1259" s="202"/>
      <c r="O1259" s="202"/>
      <c r="P1259" s="202"/>
      <c r="Q1259" s="202"/>
      <c r="R1259" s="202"/>
      <c r="S1259" s="202"/>
    </row>
    <row r="1260" spans="6:19" x14ac:dyDescent="0.25">
      <c r="F1260" t="s">
        <v>936</v>
      </c>
      <c r="G1260" t="s">
        <v>120</v>
      </c>
      <c r="H1260" t="s">
        <v>479</v>
      </c>
      <c r="J1260" s="202"/>
      <c r="K1260" s="198"/>
      <c r="L1260" s="202"/>
      <c r="M1260" s="202"/>
      <c r="N1260" s="202"/>
      <c r="O1260" s="202"/>
      <c r="P1260" s="202"/>
      <c r="Q1260" s="202"/>
      <c r="R1260" s="202"/>
      <c r="S1260" s="202"/>
    </row>
    <row r="1261" spans="6:19" x14ac:dyDescent="0.25">
      <c r="F1261" t="s">
        <v>937</v>
      </c>
      <c r="G1261" t="s">
        <v>120</v>
      </c>
      <c r="H1261" t="s">
        <v>479</v>
      </c>
      <c r="J1261" s="202"/>
      <c r="K1261" s="198"/>
      <c r="L1261" s="202"/>
      <c r="M1261" s="202"/>
      <c r="N1261" s="202"/>
      <c r="O1261" s="202"/>
      <c r="P1261" s="202"/>
      <c r="Q1261" s="202"/>
      <c r="R1261" s="202"/>
      <c r="S1261" s="202"/>
    </row>
    <row r="1262" spans="6:19" x14ac:dyDescent="0.25">
      <c r="F1262" t="s">
        <v>938</v>
      </c>
      <c r="G1262" t="s">
        <v>120</v>
      </c>
      <c r="H1262" t="s">
        <v>479</v>
      </c>
      <c r="J1262" s="202"/>
      <c r="K1262" s="198"/>
      <c r="L1262" s="202"/>
      <c r="M1262" s="202"/>
      <c r="N1262" s="202"/>
      <c r="O1262" s="202"/>
      <c r="P1262" s="202"/>
      <c r="Q1262" s="202"/>
      <c r="R1262" s="202"/>
      <c r="S1262" s="202"/>
    </row>
    <row r="1263" spans="6:19" x14ac:dyDescent="0.25">
      <c r="F1263" t="s">
        <v>939</v>
      </c>
      <c r="G1263" t="s">
        <v>120</v>
      </c>
      <c r="H1263" t="s">
        <v>479</v>
      </c>
      <c r="J1263" s="202"/>
      <c r="K1263" s="198"/>
      <c r="L1263" s="202"/>
      <c r="M1263" s="202"/>
      <c r="N1263" s="202"/>
      <c r="O1263" s="202"/>
      <c r="P1263" s="202"/>
      <c r="Q1263" s="202"/>
      <c r="R1263" s="202"/>
      <c r="S1263" s="202"/>
    </row>
    <row r="1264" spans="6:19" x14ac:dyDescent="0.25">
      <c r="F1264" s="17" t="s">
        <v>940</v>
      </c>
      <c r="G1264" s="17" t="s">
        <v>120</v>
      </c>
      <c r="H1264" s="17" t="s">
        <v>479</v>
      </c>
      <c r="I1264" s="122"/>
      <c r="J1264" s="203"/>
      <c r="K1264" s="200"/>
      <c r="L1264" s="203"/>
      <c r="M1264" s="203"/>
      <c r="N1264" s="203"/>
      <c r="O1264" s="203"/>
      <c r="P1264" s="203"/>
      <c r="Q1264" s="203"/>
      <c r="R1264" s="203"/>
      <c r="S1264" s="203"/>
    </row>
    <row r="1265" spans="5:19" x14ac:dyDescent="0.25">
      <c r="J1265" s="198"/>
      <c r="K1265" s="198"/>
      <c r="L1265" s="198"/>
      <c r="M1265" s="198"/>
      <c r="N1265" s="198"/>
      <c r="O1265" s="198"/>
      <c r="P1265" s="198"/>
      <c r="Q1265" s="198"/>
      <c r="R1265" s="198"/>
      <c r="S1265" s="198"/>
    </row>
    <row r="1266" spans="5:19" x14ac:dyDescent="0.25">
      <c r="E1266" s="121" t="s">
        <v>74</v>
      </c>
      <c r="J1266" s="198"/>
      <c r="K1266" s="198"/>
      <c r="L1266" s="198"/>
      <c r="M1266" s="198"/>
      <c r="N1266" s="198"/>
      <c r="O1266" s="198"/>
      <c r="P1266" s="198"/>
      <c r="Q1266" s="198"/>
      <c r="R1266" s="198"/>
      <c r="S1266" s="198"/>
    </row>
    <row r="1267" spans="5:19" x14ac:dyDescent="0.25">
      <c r="F1267" s="80" t="s">
        <v>925</v>
      </c>
      <c r="G1267" s="80" t="s">
        <v>74</v>
      </c>
      <c r="H1267" s="80" t="s">
        <v>479</v>
      </c>
      <c r="I1267" s="94"/>
      <c r="J1267" s="201"/>
      <c r="K1267" s="196"/>
      <c r="L1267" s="201"/>
      <c r="M1267" s="201"/>
      <c r="N1267" s="201"/>
      <c r="O1267" s="201"/>
      <c r="P1267" s="201"/>
      <c r="Q1267" s="201"/>
      <c r="R1267" s="201"/>
      <c r="S1267" s="201"/>
    </row>
    <row r="1268" spans="5:19" x14ac:dyDescent="0.25">
      <c r="F1268" t="s">
        <v>926</v>
      </c>
      <c r="G1268" t="s">
        <v>74</v>
      </c>
      <c r="H1268" t="s">
        <v>479</v>
      </c>
      <c r="J1268" s="202"/>
      <c r="K1268" s="198"/>
      <c r="L1268" s="202"/>
      <c r="M1268" s="202"/>
      <c r="N1268" s="202"/>
      <c r="O1268" s="202"/>
      <c r="P1268" s="202"/>
      <c r="Q1268" s="202"/>
      <c r="R1268" s="202"/>
      <c r="S1268" s="202"/>
    </row>
    <row r="1269" spans="5:19" x14ac:dyDescent="0.25">
      <c r="F1269" t="s">
        <v>927</v>
      </c>
      <c r="G1269" t="s">
        <v>74</v>
      </c>
      <c r="H1269" t="s">
        <v>479</v>
      </c>
      <c r="J1269" s="197">
        <f t="shared" ref="J1269" si="245">CHOOSE(year_selection, L1269,M1269,N1269,O1269,P1269,Q1269,R1269,S1269)</f>
        <v>87</v>
      </c>
      <c r="K1269" s="198"/>
      <c r="L1269" s="281"/>
      <c r="M1269" s="281">
        <v>193</v>
      </c>
      <c r="N1269" s="281">
        <v>218</v>
      </c>
      <c r="O1269" s="281">
        <v>87</v>
      </c>
      <c r="P1269" s="281">
        <f t="shared" ref="P1269:S1269" si="246">$O1269</f>
        <v>87</v>
      </c>
      <c r="Q1269" s="281">
        <f t="shared" si="246"/>
        <v>87</v>
      </c>
      <c r="R1269" s="281">
        <f t="shared" si="246"/>
        <v>87</v>
      </c>
      <c r="S1269" s="281">
        <f t="shared" si="246"/>
        <v>87</v>
      </c>
    </row>
    <row r="1270" spans="5:19" x14ac:dyDescent="0.25">
      <c r="F1270" t="s">
        <v>928</v>
      </c>
      <c r="G1270" t="s">
        <v>74</v>
      </c>
      <c r="H1270" t="s">
        <v>479</v>
      </c>
      <c r="J1270" s="202"/>
      <c r="K1270" s="198"/>
      <c r="L1270" s="202"/>
      <c r="M1270" s="202"/>
      <c r="N1270" s="202"/>
      <c r="O1270" s="202"/>
      <c r="P1270" s="202"/>
      <c r="Q1270" s="202"/>
      <c r="R1270" s="202"/>
      <c r="S1270" s="202"/>
    </row>
    <row r="1271" spans="5:19" x14ac:dyDescent="0.25">
      <c r="F1271" t="s">
        <v>929</v>
      </c>
      <c r="G1271" t="s">
        <v>74</v>
      </c>
      <c r="H1271" t="s">
        <v>479</v>
      </c>
      <c r="J1271" s="197">
        <f t="shared" ref="J1271" si="247">CHOOSE(year_selection, L1271,M1271,N1271,O1271,P1271,Q1271,R1271,S1271)</f>
        <v>9</v>
      </c>
      <c r="K1271" s="198"/>
      <c r="L1271" s="281"/>
      <c r="M1271" s="281">
        <v>8</v>
      </c>
      <c r="N1271" s="281">
        <v>8</v>
      </c>
      <c r="O1271" s="281">
        <v>9</v>
      </c>
      <c r="P1271" s="281">
        <f t="shared" ref="P1271:S1271" si="248">$O1271</f>
        <v>9</v>
      </c>
      <c r="Q1271" s="281">
        <f t="shared" si="248"/>
        <v>9</v>
      </c>
      <c r="R1271" s="281">
        <f t="shared" si="248"/>
        <v>9</v>
      </c>
      <c r="S1271" s="281">
        <f t="shared" si="248"/>
        <v>9</v>
      </c>
    </row>
    <row r="1272" spans="5:19" x14ac:dyDescent="0.25">
      <c r="F1272" t="s">
        <v>930</v>
      </c>
      <c r="G1272" t="s">
        <v>74</v>
      </c>
      <c r="H1272" t="s">
        <v>479</v>
      </c>
      <c r="J1272" s="202"/>
      <c r="K1272" s="198"/>
      <c r="L1272" s="202"/>
      <c r="M1272" s="202"/>
      <c r="N1272" s="202"/>
      <c r="O1272" s="202"/>
      <c r="P1272" s="202"/>
      <c r="Q1272" s="202"/>
      <c r="R1272" s="202"/>
      <c r="S1272" s="202"/>
    </row>
    <row r="1273" spans="5:19" x14ac:dyDescent="0.25">
      <c r="F1273" t="s">
        <v>931</v>
      </c>
      <c r="G1273" t="s">
        <v>74</v>
      </c>
      <c r="H1273" t="s">
        <v>479</v>
      </c>
      <c r="J1273" s="202"/>
      <c r="K1273" s="198"/>
      <c r="L1273" s="202"/>
      <c r="M1273" s="202"/>
      <c r="N1273" s="202"/>
      <c r="O1273" s="202"/>
      <c r="P1273" s="202"/>
      <c r="Q1273" s="202"/>
      <c r="R1273" s="202"/>
      <c r="S1273" s="202"/>
    </row>
    <row r="1274" spans="5:19" x14ac:dyDescent="0.25">
      <c r="F1274" t="s">
        <v>932</v>
      </c>
      <c r="G1274" t="s">
        <v>74</v>
      </c>
      <c r="H1274" t="s">
        <v>479</v>
      </c>
      <c r="J1274" s="202"/>
      <c r="K1274" s="198"/>
      <c r="L1274" s="202"/>
      <c r="M1274" s="202"/>
      <c r="N1274" s="202"/>
      <c r="O1274" s="202"/>
      <c r="P1274" s="202"/>
      <c r="Q1274" s="202"/>
      <c r="R1274" s="202"/>
      <c r="S1274" s="202"/>
    </row>
    <row r="1275" spans="5:19" x14ac:dyDescent="0.25">
      <c r="F1275" t="s">
        <v>933</v>
      </c>
      <c r="G1275" t="s">
        <v>74</v>
      </c>
      <c r="H1275" t="s">
        <v>479</v>
      </c>
      <c r="J1275" s="202"/>
      <c r="K1275" s="198"/>
      <c r="L1275" s="202"/>
      <c r="M1275" s="202"/>
      <c r="N1275" s="202"/>
      <c r="O1275" s="202"/>
      <c r="P1275" s="202"/>
      <c r="Q1275" s="202"/>
      <c r="R1275" s="202"/>
      <c r="S1275" s="202"/>
    </row>
    <row r="1276" spans="5:19" x14ac:dyDescent="0.25">
      <c r="F1276" t="s">
        <v>934</v>
      </c>
      <c r="G1276" t="s">
        <v>74</v>
      </c>
      <c r="H1276" t="s">
        <v>479</v>
      </c>
      <c r="J1276" s="202"/>
      <c r="K1276" s="198"/>
      <c r="L1276" s="202"/>
      <c r="M1276" s="202"/>
      <c r="N1276" s="202"/>
      <c r="O1276" s="202"/>
      <c r="P1276" s="202"/>
      <c r="Q1276" s="202"/>
      <c r="R1276" s="202"/>
      <c r="S1276" s="202"/>
    </row>
    <row r="1277" spans="5:19" x14ac:dyDescent="0.25">
      <c r="F1277" t="s">
        <v>935</v>
      </c>
      <c r="G1277" t="s">
        <v>74</v>
      </c>
      <c r="H1277" t="s">
        <v>479</v>
      </c>
      <c r="J1277" s="202"/>
      <c r="K1277" s="198"/>
      <c r="L1277" s="202"/>
      <c r="M1277" s="202"/>
      <c r="N1277" s="202"/>
      <c r="O1277" s="202"/>
      <c r="P1277" s="202"/>
      <c r="Q1277" s="202"/>
      <c r="R1277" s="202"/>
      <c r="S1277" s="202"/>
    </row>
    <row r="1278" spans="5:19" x14ac:dyDescent="0.25">
      <c r="F1278" t="s">
        <v>936</v>
      </c>
      <c r="G1278" t="s">
        <v>74</v>
      </c>
      <c r="H1278" t="s">
        <v>479</v>
      </c>
      <c r="J1278" s="202"/>
      <c r="K1278" s="198"/>
      <c r="L1278" s="202"/>
      <c r="M1278" s="202"/>
      <c r="N1278" s="202"/>
      <c r="O1278" s="202"/>
      <c r="P1278" s="202"/>
      <c r="Q1278" s="202"/>
      <c r="R1278" s="202"/>
      <c r="S1278" s="202"/>
    </row>
    <row r="1279" spans="5:19" x14ac:dyDescent="0.25">
      <c r="F1279" t="s">
        <v>937</v>
      </c>
      <c r="G1279" t="s">
        <v>74</v>
      </c>
      <c r="H1279" t="s">
        <v>479</v>
      </c>
      <c r="J1279" s="202"/>
      <c r="K1279" s="198"/>
      <c r="L1279" s="202"/>
      <c r="M1279" s="202"/>
      <c r="N1279" s="202"/>
      <c r="O1279" s="202"/>
      <c r="P1279" s="202"/>
      <c r="Q1279" s="202"/>
      <c r="R1279" s="202"/>
      <c r="S1279" s="202"/>
    </row>
    <row r="1280" spans="5:19" x14ac:dyDescent="0.25">
      <c r="F1280" t="s">
        <v>938</v>
      </c>
      <c r="G1280" t="s">
        <v>74</v>
      </c>
      <c r="H1280" t="s">
        <v>479</v>
      </c>
      <c r="J1280" s="202"/>
      <c r="K1280" s="198"/>
      <c r="L1280" s="202"/>
      <c r="M1280" s="202"/>
      <c r="N1280" s="202"/>
      <c r="O1280" s="202"/>
      <c r="P1280" s="202"/>
      <c r="Q1280" s="202"/>
      <c r="R1280" s="202"/>
      <c r="S1280" s="202"/>
    </row>
    <row r="1281" spans="5:19" x14ac:dyDescent="0.25">
      <c r="F1281" t="s">
        <v>939</v>
      </c>
      <c r="G1281" t="s">
        <v>74</v>
      </c>
      <c r="H1281" t="s">
        <v>479</v>
      </c>
      <c r="J1281" s="202"/>
      <c r="K1281" s="198"/>
      <c r="L1281" s="202"/>
      <c r="M1281" s="202"/>
      <c r="N1281" s="202"/>
      <c r="O1281" s="202"/>
      <c r="P1281" s="202"/>
      <c r="Q1281" s="202"/>
      <c r="R1281" s="202"/>
      <c r="S1281" s="202"/>
    </row>
    <row r="1282" spans="5:19" x14ac:dyDescent="0.25">
      <c r="F1282" s="17" t="s">
        <v>940</v>
      </c>
      <c r="G1282" s="17" t="s">
        <v>74</v>
      </c>
      <c r="H1282" s="17" t="s">
        <v>479</v>
      </c>
      <c r="I1282" s="122"/>
      <c r="J1282" s="203"/>
      <c r="K1282" s="200"/>
      <c r="L1282" s="203"/>
      <c r="M1282" s="203"/>
      <c r="N1282" s="203"/>
      <c r="O1282" s="203"/>
      <c r="P1282" s="203"/>
      <c r="Q1282" s="203"/>
      <c r="R1282" s="203"/>
      <c r="S1282" s="203"/>
    </row>
    <row r="1283" spans="5:19" x14ac:dyDescent="0.25">
      <c r="J1283" s="198"/>
      <c r="K1283" s="198"/>
      <c r="L1283" s="198"/>
      <c r="M1283" s="198"/>
      <c r="N1283" s="198"/>
      <c r="O1283" s="198"/>
      <c r="P1283" s="198"/>
      <c r="Q1283" s="198"/>
      <c r="R1283" s="198"/>
      <c r="S1283" s="198"/>
    </row>
    <row r="1284" spans="5:19" x14ac:dyDescent="0.25">
      <c r="E1284" s="121" t="s">
        <v>202</v>
      </c>
      <c r="J1284" s="198"/>
      <c r="K1284" s="198"/>
      <c r="L1284" s="198"/>
      <c r="M1284" s="198"/>
      <c r="N1284" s="198"/>
      <c r="O1284" s="198"/>
      <c r="P1284" s="198"/>
      <c r="Q1284" s="198"/>
      <c r="R1284" s="198"/>
      <c r="S1284" s="198"/>
    </row>
    <row r="1285" spans="5:19" x14ac:dyDescent="0.25">
      <c r="F1285" s="80" t="s">
        <v>925</v>
      </c>
      <c r="G1285" s="80" t="s">
        <v>169</v>
      </c>
      <c r="H1285" s="80" t="s">
        <v>479</v>
      </c>
      <c r="I1285" s="94"/>
      <c r="J1285" s="201"/>
      <c r="K1285" s="196"/>
      <c r="L1285" s="201"/>
      <c r="M1285" s="201"/>
      <c r="N1285" s="201"/>
      <c r="O1285" s="201"/>
      <c r="P1285" s="201"/>
      <c r="Q1285" s="201"/>
      <c r="R1285" s="201"/>
      <c r="S1285" s="201"/>
    </row>
    <row r="1286" spans="5:19" x14ac:dyDescent="0.25">
      <c r="F1286" t="s">
        <v>926</v>
      </c>
      <c r="G1286" t="s">
        <v>169</v>
      </c>
      <c r="H1286" t="s">
        <v>479</v>
      </c>
      <c r="J1286" s="202"/>
      <c r="K1286" s="198"/>
      <c r="L1286" s="202"/>
      <c r="M1286" s="202"/>
      <c r="N1286" s="202"/>
      <c r="O1286" s="202"/>
      <c r="P1286" s="202"/>
      <c r="Q1286" s="202"/>
      <c r="R1286" s="202"/>
      <c r="S1286" s="202"/>
    </row>
    <row r="1287" spans="5:19" x14ac:dyDescent="0.25">
      <c r="F1287" t="s">
        <v>927</v>
      </c>
      <c r="G1287" t="s">
        <v>169</v>
      </c>
      <c r="H1287" t="s">
        <v>479</v>
      </c>
      <c r="J1287" s="202"/>
      <c r="K1287" s="198"/>
      <c r="L1287" s="202"/>
      <c r="M1287" s="202"/>
      <c r="N1287" s="202"/>
      <c r="O1287" s="202"/>
      <c r="P1287" s="202"/>
      <c r="Q1287" s="202"/>
      <c r="R1287" s="202"/>
      <c r="S1287" s="202"/>
    </row>
    <row r="1288" spans="5:19" x14ac:dyDescent="0.25">
      <c r="F1288" t="s">
        <v>928</v>
      </c>
      <c r="G1288" t="s">
        <v>169</v>
      </c>
      <c r="H1288" t="s">
        <v>479</v>
      </c>
      <c r="J1288" s="202"/>
      <c r="K1288" s="198"/>
      <c r="L1288" s="202"/>
      <c r="M1288" s="202"/>
      <c r="N1288" s="202"/>
      <c r="O1288" s="202"/>
      <c r="P1288" s="202"/>
      <c r="Q1288" s="202"/>
      <c r="R1288" s="202"/>
      <c r="S1288" s="202"/>
    </row>
    <row r="1289" spans="5:19" x14ac:dyDescent="0.25">
      <c r="F1289" t="s">
        <v>929</v>
      </c>
      <c r="G1289" t="s">
        <v>169</v>
      </c>
      <c r="H1289" t="s">
        <v>479</v>
      </c>
      <c r="J1289" s="197">
        <f t="shared" ref="J1289" si="249">CHOOSE(year_selection, L1289,M1289,N1289,O1289,P1289,Q1289,R1289,S1289)</f>
        <v>4881</v>
      </c>
      <c r="K1289" s="198"/>
      <c r="L1289" s="281"/>
      <c r="M1289" s="281">
        <v>3381</v>
      </c>
      <c r="N1289" s="281">
        <v>3381</v>
      </c>
      <c r="O1289" s="281">
        <v>4881</v>
      </c>
      <c r="P1289" s="281">
        <f t="shared" ref="P1289:S1289" si="250">$O1289</f>
        <v>4881</v>
      </c>
      <c r="Q1289" s="281">
        <f t="shared" si="250"/>
        <v>4881</v>
      </c>
      <c r="R1289" s="281">
        <f t="shared" si="250"/>
        <v>4881</v>
      </c>
      <c r="S1289" s="281">
        <f t="shared" si="250"/>
        <v>4881</v>
      </c>
    </row>
    <row r="1290" spans="5:19" x14ac:dyDescent="0.25">
      <c r="F1290" t="s">
        <v>930</v>
      </c>
      <c r="G1290" t="s">
        <v>169</v>
      </c>
      <c r="H1290" t="s">
        <v>479</v>
      </c>
      <c r="J1290" s="202"/>
      <c r="K1290" s="198"/>
      <c r="L1290" s="202"/>
      <c r="M1290" s="202"/>
      <c r="N1290" s="202"/>
      <c r="O1290" s="202"/>
      <c r="P1290" s="202"/>
      <c r="Q1290" s="202"/>
      <c r="R1290" s="202"/>
      <c r="S1290" s="202"/>
    </row>
    <row r="1291" spans="5:19" x14ac:dyDescent="0.25">
      <c r="F1291" t="s">
        <v>931</v>
      </c>
      <c r="G1291" t="s">
        <v>169</v>
      </c>
      <c r="H1291" t="s">
        <v>479</v>
      </c>
      <c r="J1291" s="202"/>
      <c r="K1291" s="198"/>
      <c r="L1291" s="202"/>
      <c r="M1291" s="202"/>
      <c r="N1291" s="202"/>
      <c r="O1291" s="202"/>
      <c r="P1291" s="202"/>
      <c r="Q1291" s="202"/>
      <c r="R1291" s="202"/>
      <c r="S1291" s="202"/>
    </row>
    <row r="1292" spans="5:19" x14ac:dyDescent="0.25">
      <c r="F1292" t="s">
        <v>932</v>
      </c>
      <c r="G1292" t="s">
        <v>169</v>
      </c>
      <c r="H1292" t="s">
        <v>479</v>
      </c>
      <c r="J1292" s="202"/>
      <c r="K1292" s="198"/>
      <c r="L1292" s="202"/>
      <c r="M1292" s="202"/>
      <c r="N1292" s="202"/>
      <c r="O1292" s="202"/>
      <c r="P1292" s="202"/>
      <c r="Q1292" s="202"/>
      <c r="R1292" s="202"/>
      <c r="S1292" s="202"/>
    </row>
    <row r="1293" spans="5:19" x14ac:dyDescent="0.25">
      <c r="F1293" t="s">
        <v>933</v>
      </c>
      <c r="G1293" t="s">
        <v>169</v>
      </c>
      <c r="H1293" t="s">
        <v>479</v>
      </c>
      <c r="J1293" s="202"/>
      <c r="K1293" s="198"/>
      <c r="L1293" s="202"/>
      <c r="M1293" s="202"/>
      <c r="N1293" s="202"/>
      <c r="O1293" s="202"/>
      <c r="P1293" s="202"/>
      <c r="Q1293" s="202"/>
      <c r="R1293" s="202"/>
      <c r="S1293" s="202"/>
    </row>
    <row r="1294" spans="5:19" x14ac:dyDescent="0.25">
      <c r="F1294" t="s">
        <v>934</v>
      </c>
      <c r="G1294" t="s">
        <v>169</v>
      </c>
      <c r="H1294" t="s">
        <v>479</v>
      </c>
      <c r="J1294" s="202"/>
      <c r="K1294" s="198"/>
      <c r="L1294" s="202"/>
      <c r="M1294" s="202"/>
      <c r="N1294" s="202"/>
      <c r="O1294" s="202"/>
      <c r="P1294" s="202"/>
      <c r="Q1294" s="202"/>
      <c r="R1294" s="202"/>
      <c r="S1294" s="202"/>
    </row>
    <row r="1295" spans="5:19" x14ac:dyDescent="0.25">
      <c r="F1295" t="s">
        <v>935</v>
      </c>
      <c r="G1295" t="s">
        <v>169</v>
      </c>
      <c r="H1295" t="s">
        <v>479</v>
      </c>
      <c r="J1295" s="202"/>
      <c r="K1295" s="198"/>
      <c r="L1295" s="202"/>
      <c r="M1295" s="202"/>
      <c r="N1295" s="202"/>
      <c r="O1295" s="202"/>
      <c r="P1295" s="202"/>
      <c r="Q1295" s="202"/>
      <c r="R1295" s="202"/>
      <c r="S1295" s="202"/>
    </row>
    <row r="1296" spans="5:19" x14ac:dyDescent="0.25">
      <c r="F1296" t="s">
        <v>936</v>
      </c>
      <c r="G1296" t="s">
        <v>169</v>
      </c>
      <c r="H1296" t="s">
        <v>479</v>
      </c>
      <c r="J1296" s="202"/>
      <c r="K1296" s="198"/>
      <c r="L1296" s="202"/>
      <c r="M1296" s="202"/>
      <c r="N1296" s="202"/>
      <c r="O1296" s="202"/>
      <c r="P1296" s="202"/>
      <c r="Q1296" s="202"/>
      <c r="R1296" s="202"/>
      <c r="S1296" s="202"/>
    </row>
    <row r="1297" spans="5:19" x14ac:dyDescent="0.25">
      <c r="F1297" t="s">
        <v>937</v>
      </c>
      <c r="G1297" t="s">
        <v>169</v>
      </c>
      <c r="H1297" t="s">
        <v>479</v>
      </c>
      <c r="J1297" s="202"/>
      <c r="K1297" s="198"/>
      <c r="L1297" s="202"/>
      <c r="M1297" s="202"/>
      <c r="N1297" s="202"/>
      <c r="O1297" s="202"/>
      <c r="P1297" s="202"/>
      <c r="Q1297" s="202"/>
      <c r="R1297" s="202"/>
      <c r="S1297" s="202"/>
    </row>
    <row r="1298" spans="5:19" x14ac:dyDescent="0.25">
      <c r="F1298" t="s">
        <v>938</v>
      </c>
      <c r="G1298" t="s">
        <v>169</v>
      </c>
      <c r="H1298" t="s">
        <v>479</v>
      </c>
      <c r="J1298" s="202"/>
      <c r="K1298" s="198"/>
      <c r="L1298" s="202"/>
      <c r="M1298" s="202"/>
      <c r="N1298" s="202"/>
      <c r="O1298" s="202"/>
      <c r="P1298" s="202"/>
      <c r="Q1298" s="202"/>
      <c r="R1298" s="202"/>
      <c r="S1298" s="202"/>
    </row>
    <row r="1299" spans="5:19" x14ac:dyDescent="0.25">
      <c r="F1299" t="s">
        <v>939</v>
      </c>
      <c r="G1299" t="s">
        <v>169</v>
      </c>
      <c r="H1299" t="s">
        <v>479</v>
      </c>
      <c r="J1299" s="202"/>
      <c r="K1299" s="198"/>
      <c r="L1299" s="202"/>
      <c r="M1299" s="202"/>
      <c r="N1299" s="202"/>
      <c r="O1299" s="202"/>
      <c r="P1299" s="202"/>
      <c r="Q1299" s="202"/>
      <c r="R1299" s="202"/>
      <c r="S1299" s="202"/>
    </row>
    <row r="1300" spans="5:19" x14ac:dyDescent="0.25">
      <c r="F1300" s="17" t="s">
        <v>940</v>
      </c>
      <c r="G1300" s="17" t="s">
        <v>169</v>
      </c>
      <c r="H1300" s="17" t="s">
        <v>479</v>
      </c>
      <c r="I1300" s="122"/>
      <c r="J1300" s="203"/>
      <c r="K1300" s="200"/>
      <c r="L1300" s="203"/>
      <c r="M1300" s="203"/>
      <c r="N1300" s="203"/>
      <c r="O1300" s="203"/>
      <c r="P1300" s="203"/>
      <c r="Q1300" s="203"/>
      <c r="R1300" s="203"/>
      <c r="S1300" s="203"/>
    </row>
    <row r="1301" spans="5:19" x14ac:dyDescent="0.25">
      <c r="J1301" s="198"/>
      <c r="K1301" s="198"/>
      <c r="L1301" s="198"/>
      <c r="M1301" s="198"/>
      <c r="N1301" s="198"/>
      <c r="O1301" s="198"/>
      <c r="P1301" s="198"/>
      <c r="Q1301" s="198"/>
      <c r="R1301" s="198"/>
      <c r="S1301" s="198"/>
    </row>
    <row r="1302" spans="5:19" x14ac:dyDescent="0.25">
      <c r="E1302" s="121" t="s">
        <v>203</v>
      </c>
      <c r="J1302" s="198"/>
      <c r="K1302" s="198"/>
      <c r="L1302" s="198"/>
      <c r="M1302" s="198"/>
      <c r="N1302" s="198"/>
      <c r="O1302" s="198"/>
      <c r="P1302" s="198"/>
      <c r="Q1302" s="198"/>
      <c r="R1302" s="198"/>
      <c r="S1302" s="198"/>
    </row>
    <row r="1303" spans="5:19" x14ac:dyDescent="0.25">
      <c r="F1303" s="80" t="s">
        <v>925</v>
      </c>
      <c r="G1303" s="80" t="s">
        <v>169</v>
      </c>
      <c r="H1303" s="80" t="s">
        <v>479</v>
      </c>
      <c r="I1303" s="94"/>
      <c r="J1303" s="201"/>
      <c r="K1303" s="196"/>
      <c r="L1303" s="201"/>
      <c r="M1303" s="201"/>
      <c r="N1303" s="201"/>
      <c r="O1303" s="201"/>
      <c r="P1303" s="201"/>
      <c r="Q1303" s="201"/>
      <c r="R1303" s="201"/>
      <c r="S1303" s="201"/>
    </row>
    <row r="1304" spans="5:19" x14ac:dyDescent="0.25">
      <c r="F1304" t="s">
        <v>926</v>
      </c>
      <c r="G1304" t="s">
        <v>169</v>
      </c>
      <c r="H1304" t="s">
        <v>479</v>
      </c>
      <c r="J1304" s="202"/>
      <c r="K1304" s="198"/>
      <c r="L1304" s="202"/>
      <c r="M1304" s="202"/>
      <c r="N1304" s="202"/>
      <c r="O1304" s="202"/>
      <c r="P1304" s="202"/>
      <c r="Q1304" s="202"/>
      <c r="R1304" s="202"/>
      <c r="S1304" s="202"/>
    </row>
    <row r="1305" spans="5:19" x14ac:dyDescent="0.25">
      <c r="F1305" t="s">
        <v>927</v>
      </c>
      <c r="G1305" t="s">
        <v>169</v>
      </c>
      <c r="H1305" t="s">
        <v>479</v>
      </c>
      <c r="J1305" s="202"/>
      <c r="K1305" s="198"/>
      <c r="L1305" s="202"/>
      <c r="M1305" s="202"/>
      <c r="N1305" s="202"/>
      <c r="O1305" s="202"/>
      <c r="P1305" s="202"/>
      <c r="Q1305" s="202"/>
      <c r="R1305" s="202"/>
      <c r="S1305" s="202"/>
    </row>
    <row r="1306" spans="5:19" x14ac:dyDescent="0.25">
      <c r="F1306" t="s">
        <v>928</v>
      </c>
      <c r="G1306" t="s">
        <v>169</v>
      </c>
      <c r="H1306" t="s">
        <v>479</v>
      </c>
      <c r="J1306" s="202"/>
      <c r="K1306" s="198"/>
      <c r="L1306" s="202"/>
      <c r="M1306" s="202"/>
      <c r="N1306" s="202"/>
      <c r="O1306" s="202"/>
      <c r="P1306" s="202"/>
      <c r="Q1306" s="202"/>
      <c r="R1306" s="202"/>
      <c r="S1306" s="202"/>
    </row>
    <row r="1307" spans="5:19" x14ac:dyDescent="0.25">
      <c r="F1307" t="s">
        <v>929</v>
      </c>
      <c r="G1307" t="s">
        <v>169</v>
      </c>
      <c r="H1307" t="s">
        <v>479</v>
      </c>
      <c r="J1307" s="197">
        <f t="shared" ref="J1307" si="251">CHOOSE(year_selection, L1307,M1307,N1307,O1307,P1307,Q1307,R1307,S1307)</f>
        <v>16</v>
      </c>
      <c r="K1307" s="198"/>
      <c r="L1307" s="281"/>
      <c r="M1307" s="281">
        <v>10</v>
      </c>
      <c r="N1307" s="281">
        <v>15</v>
      </c>
      <c r="O1307" s="281">
        <v>16</v>
      </c>
      <c r="P1307" s="281">
        <f t="shared" ref="P1307:S1307" si="252">$O1307</f>
        <v>16</v>
      </c>
      <c r="Q1307" s="281">
        <f t="shared" si="252"/>
        <v>16</v>
      </c>
      <c r="R1307" s="281">
        <f t="shared" si="252"/>
        <v>16</v>
      </c>
      <c r="S1307" s="281">
        <f t="shared" si="252"/>
        <v>16</v>
      </c>
    </row>
    <row r="1308" spans="5:19" x14ac:dyDescent="0.25">
      <c r="F1308" t="s">
        <v>930</v>
      </c>
      <c r="G1308" t="s">
        <v>169</v>
      </c>
      <c r="H1308" t="s">
        <v>479</v>
      </c>
      <c r="J1308" s="202"/>
      <c r="K1308" s="198"/>
      <c r="L1308" s="202"/>
      <c r="M1308" s="202"/>
      <c r="N1308" s="202"/>
      <c r="O1308" s="202"/>
      <c r="P1308" s="202"/>
      <c r="Q1308" s="202"/>
      <c r="R1308" s="202"/>
      <c r="S1308" s="202"/>
    </row>
    <row r="1309" spans="5:19" x14ac:dyDescent="0.25">
      <c r="F1309" t="s">
        <v>931</v>
      </c>
      <c r="G1309" t="s">
        <v>169</v>
      </c>
      <c r="H1309" t="s">
        <v>479</v>
      </c>
      <c r="J1309" s="202"/>
      <c r="K1309" s="198"/>
      <c r="L1309" s="202"/>
      <c r="M1309" s="202"/>
      <c r="N1309" s="202"/>
      <c r="O1309" s="202"/>
      <c r="P1309" s="202"/>
      <c r="Q1309" s="202"/>
      <c r="R1309" s="202"/>
      <c r="S1309" s="202"/>
    </row>
    <row r="1310" spans="5:19" x14ac:dyDescent="0.25">
      <c r="F1310" t="s">
        <v>932</v>
      </c>
      <c r="G1310" t="s">
        <v>169</v>
      </c>
      <c r="H1310" t="s">
        <v>479</v>
      </c>
      <c r="J1310" s="202"/>
      <c r="K1310" s="198"/>
      <c r="L1310" s="202"/>
      <c r="M1310" s="202"/>
      <c r="N1310" s="202"/>
      <c r="O1310" s="202"/>
      <c r="P1310" s="202"/>
      <c r="Q1310" s="202"/>
      <c r="R1310" s="202"/>
      <c r="S1310" s="202"/>
    </row>
    <row r="1311" spans="5:19" x14ac:dyDescent="0.25">
      <c r="F1311" t="s">
        <v>933</v>
      </c>
      <c r="G1311" t="s">
        <v>169</v>
      </c>
      <c r="H1311" t="s">
        <v>479</v>
      </c>
      <c r="J1311" s="202"/>
      <c r="K1311" s="198"/>
      <c r="L1311" s="202"/>
      <c r="M1311" s="202"/>
      <c r="N1311" s="202"/>
      <c r="O1311" s="202"/>
      <c r="P1311" s="202"/>
      <c r="Q1311" s="202"/>
      <c r="R1311" s="202"/>
      <c r="S1311" s="202"/>
    </row>
    <row r="1312" spans="5:19" x14ac:dyDescent="0.25">
      <c r="F1312" t="s">
        <v>934</v>
      </c>
      <c r="G1312" t="s">
        <v>169</v>
      </c>
      <c r="H1312" t="s">
        <v>479</v>
      </c>
      <c r="J1312" s="202"/>
      <c r="K1312" s="198"/>
      <c r="L1312" s="202"/>
      <c r="M1312" s="202"/>
      <c r="N1312" s="202"/>
      <c r="O1312" s="202"/>
      <c r="P1312" s="202"/>
      <c r="Q1312" s="202"/>
      <c r="R1312" s="202"/>
      <c r="S1312" s="202"/>
    </row>
    <row r="1313" spans="5:19" x14ac:dyDescent="0.25">
      <c r="F1313" t="s">
        <v>935</v>
      </c>
      <c r="G1313" t="s">
        <v>169</v>
      </c>
      <c r="H1313" t="s">
        <v>479</v>
      </c>
      <c r="J1313" s="202"/>
      <c r="K1313" s="198"/>
      <c r="L1313" s="202"/>
      <c r="M1313" s="202"/>
      <c r="N1313" s="202"/>
      <c r="O1313" s="202"/>
      <c r="P1313" s="202"/>
      <c r="Q1313" s="202"/>
      <c r="R1313" s="202"/>
      <c r="S1313" s="202"/>
    </row>
    <row r="1314" spans="5:19" x14ac:dyDescent="0.25">
      <c r="F1314" t="s">
        <v>936</v>
      </c>
      <c r="G1314" t="s">
        <v>169</v>
      </c>
      <c r="H1314" t="s">
        <v>479</v>
      </c>
      <c r="J1314" s="202"/>
      <c r="K1314" s="198"/>
      <c r="L1314" s="202"/>
      <c r="M1314" s="202"/>
      <c r="N1314" s="202"/>
      <c r="O1314" s="202"/>
      <c r="P1314" s="202"/>
      <c r="Q1314" s="202"/>
      <c r="R1314" s="202"/>
      <c r="S1314" s="202"/>
    </row>
    <row r="1315" spans="5:19" x14ac:dyDescent="0.25">
      <c r="F1315" t="s">
        <v>937</v>
      </c>
      <c r="G1315" t="s">
        <v>169</v>
      </c>
      <c r="H1315" t="s">
        <v>479</v>
      </c>
      <c r="J1315" s="202"/>
      <c r="K1315" s="198"/>
      <c r="L1315" s="202"/>
      <c r="M1315" s="202"/>
      <c r="N1315" s="202"/>
      <c r="O1315" s="202"/>
      <c r="P1315" s="202"/>
      <c r="Q1315" s="202"/>
      <c r="R1315" s="202"/>
      <c r="S1315" s="202"/>
    </row>
    <row r="1316" spans="5:19" x14ac:dyDescent="0.25">
      <c r="F1316" t="s">
        <v>938</v>
      </c>
      <c r="G1316" t="s">
        <v>169</v>
      </c>
      <c r="H1316" t="s">
        <v>479</v>
      </c>
      <c r="J1316" s="202"/>
      <c r="K1316" s="198"/>
      <c r="L1316" s="202"/>
      <c r="M1316" s="202"/>
      <c r="N1316" s="202"/>
      <c r="O1316" s="202"/>
      <c r="P1316" s="202"/>
      <c r="Q1316" s="202"/>
      <c r="R1316" s="202"/>
      <c r="S1316" s="202"/>
    </row>
    <row r="1317" spans="5:19" x14ac:dyDescent="0.25">
      <c r="F1317" t="s">
        <v>939</v>
      </c>
      <c r="G1317" t="s">
        <v>169</v>
      </c>
      <c r="H1317" t="s">
        <v>479</v>
      </c>
      <c r="J1317" s="202"/>
      <c r="K1317" s="198"/>
      <c r="L1317" s="202"/>
      <c r="M1317" s="202"/>
      <c r="N1317" s="202"/>
      <c r="O1317" s="202"/>
      <c r="P1317" s="202"/>
      <c r="Q1317" s="202"/>
      <c r="R1317" s="202"/>
      <c r="S1317" s="202"/>
    </row>
    <row r="1318" spans="5:19" x14ac:dyDescent="0.25">
      <c r="F1318" s="17" t="s">
        <v>940</v>
      </c>
      <c r="G1318" s="17" t="s">
        <v>169</v>
      </c>
      <c r="H1318" s="17" t="s">
        <v>479</v>
      </c>
      <c r="I1318" s="122"/>
      <c r="J1318" s="203"/>
      <c r="K1318" s="200"/>
      <c r="L1318" s="203"/>
      <c r="M1318" s="203"/>
      <c r="N1318" s="203"/>
      <c r="O1318" s="203"/>
      <c r="P1318" s="203"/>
      <c r="Q1318" s="203"/>
      <c r="R1318" s="203"/>
      <c r="S1318" s="203"/>
    </row>
    <row r="1319" spans="5:19" x14ac:dyDescent="0.25">
      <c r="J1319" s="198"/>
      <c r="K1319" s="198"/>
      <c r="L1319" s="198"/>
      <c r="M1319" s="198"/>
      <c r="N1319" s="198"/>
      <c r="O1319" s="198"/>
      <c r="P1319" s="198"/>
      <c r="Q1319" s="198"/>
      <c r="R1319" s="198"/>
      <c r="S1319" s="198"/>
    </row>
    <row r="1320" spans="5:19" x14ac:dyDescent="0.25">
      <c r="E1320" s="121" t="s">
        <v>204</v>
      </c>
      <c r="J1320" s="198"/>
      <c r="K1320" s="198"/>
      <c r="L1320" s="198"/>
      <c r="M1320" s="198"/>
      <c r="N1320" s="198"/>
      <c r="O1320" s="198"/>
      <c r="P1320" s="198"/>
      <c r="Q1320" s="198"/>
      <c r="R1320" s="198"/>
      <c r="S1320" s="198"/>
    </row>
    <row r="1321" spans="5:19" x14ac:dyDescent="0.25">
      <c r="F1321" s="80" t="s">
        <v>925</v>
      </c>
      <c r="G1321" s="80" t="s">
        <v>170</v>
      </c>
      <c r="H1321" s="80" t="s">
        <v>479</v>
      </c>
      <c r="I1321" s="94"/>
      <c r="J1321" s="201"/>
      <c r="K1321" s="196"/>
      <c r="L1321" s="201"/>
      <c r="M1321" s="201"/>
      <c r="N1321" s="201"/>
      <c r="O1321" s="201"/>
      <c r="P1321" s="201"/>
      <c r="Q1321" s="201"/>
      <c r="R1321" s="201"/>
      <c r="S1321" s="201"/>
    </row>
    <row r="1322" spans="5:19" x14ac:dyDescent="0.25">
      <c r="F1322" t="s">
        <v>926</v>
      </c>
      <c r="G1322" t="s">
        <v>170</v>
      </c>
      <c r="H1322" t="s">
        <v>479</v>
      </c>
      <c r="J1322" s="202"/>
      <c r="K1322" s="198"/>
      <c r="L1322" s="202"/>
      <c r="M1322" s="202"/>
      <c r="N1322" s="202"/>
      <c r="O1322" s="202"/>
      <c r="P1322" s="202"/>
      <c r="Q1322" s="202"/>
      <c r="R1322" s="202"/>
      <c r="S1322" s="202"/>
    </row>
    <row r="1323" spans="5:19" x14ac:dyDescent="0.25">
      <c r="F1323" t="s">
        <v>927</v>
      </c>
      <c r="G1323" t="s">
        <v>170</v>
      </c>
      <c r="H1323" t="s">
        <v>479</v>
      </c>
      <c r="J1323" s="202"/>
      <c r="K1323" s="198"/>
      <c r="L1323" s="202"/>
      <c r="M1323" s="202"/>
      <c r="N1323" s="202"/>
      <c r="O1323" s="202"/>
      <c r="P1323" s="202"/>
      <c r="Q1323" s="202"/>
      <c r="R1323" s="202"/>
      <c r="S1323" s="202"/>
    </row>
    <row r="1324" spans="5:19" x14ac:dyDescent="0.25">
      <c r="F1324" t="s">
        <v>928</v>
      </c>
      <c r="G1324" t="s">
        <v>170</v>
      </c>
      <c r="H1324" t="s">
        <v>479</v>
      </c>
      <c r="J1324" s="202"/>
      <c r="K1324" s="198"/>
      <c r="L1324" s="202"/>
      <c r="M1324" s="202"/>
      <c r="N1324" s="202"/>
      <c r="O1324" s="202"/>
      <c r="P1324" s="202"/>
      <c r="Q1324" s="202"/>
      <c r="R1324" s="202"/>
      <c r="S1324" s="202"/>
    </row>
    <row r="1325" spans="5:19" x14ac:dyDescent="0.25">
      <c r="F1325" t="s">
        <v>929</v>
      </c>
      <c r="G1325" t="s">
        <v>170</v>
      </c>
      <c r="H1325" t="s">
        <v>479</v>
      </c>
      <c r="J1325" s="197">
        <f t="shared" ref="J1325" si="253">CHOOSE(year_selection, L1325,M1325,N1325,O1325,P1325,Q1325,R1325,S1325)</f>
        <v>325.76400000000001</v>
      </c>
      <c r="K1325" s="198"/>
      <c r="L1325" s="281"/>
      <c r="M1325" s="281">
        <v>272.95744508389396</v>
      </c>
      <c r="N1325" s="281">
        <v>284.62</v>
      </c>
      <c r="O1325" s="281">
        <v>325.76400000000001</v>
      </c>
      <c r="P1325" s="281">
        <f t="shared" ref="P1325:S1325" si="254">$O1325</f>
        <v>325.76400000000001</v>
      </c>
      <c r="Q1325" s="281">
        <f t="shared" si="254"/>
        <v>325.76400000000001</v>
      </c>
      <c r="R1325" s="281">
        <f t="shared" si="254"/>
        <v>325.76400000000001</v>
      </c>
      <c r="S1325" s="281">
        <f t="shared" si="254"/>
        <v>325.76400000000001</v>
      </c>
    </row>
    <row r="1326" spans="5:19" x14ac:dyDescent="0.25">
      <c r="F1326" t="s">
        <v>930</v>
      </c>
      <c r="G1326" t="s">
        <v>170</v>
      </c>
      <c r="H1326" t="s">
        <v>479</v>
      </c>
      <c r="J1326" s="202"/>
      <c r="K1326" s="198"/>
      <c r="L1326" s="202"/>
      <c r="M1326" s="202"/>
      <c r="N1326" s="202"/>
      <c r="O1326" s="202"/>
      <c r="P1326" s="202"/>
      <c r="Q1326" s="202"/>
      <c r="R1326" s="202"/>
      <c r="S1326" s="202"/>
    </row>
    <row r="1327" spans="5:19" x14ac:dyDescent="0.25">
      <c r="F1327" t="s">
        <v>931</v>
      </c>
      <c r="G1327" t="s">
        <v>170</v>
      </c>
      <c r="H1327" t="s">
        <v>479</v>
      </c>
      <c r="J1327" s="202"/>
      <c r="K1327" s="198"/>
      <c r="L1327" s="202"/>
      <c r="M1327" s="202"/>
      <c r="N1327" s="202"/>
      <c r="O1327" s="202"/>
      <c r="P1327" s="202"/>
      <c r="Q1327" s="202"/>
      <c r="R1327" s="202"/>
      <c r="S1327" s="202"/>
    </row>
    <row r="1328" spans="5:19" x14ac:dyDescent="0.25">
      <c r="F1328" t="s">
        <v>932</v>
      </c>
      <c r="G1328" t="s">
        <v>170</v>
      </c>
      <c r="H1328" t="s">
        <v>479</v>
      </c>
      <c r="J1328" s="202"/>
      <c r="K1328" s="198"/>
      <c r="L1328" s="202"/>
      <c r="M1328" s="202"/>
      <c r="N1328" s="202"/>
      <c r="O1328" s="202"/>
      <c r="P1328" s="202"/>
      <c r="Q1328" s="202"/>
      <c r="R1328" s="202"/>
      <c r="S1328" s="202"/>
    </row>
    <row r="1329" spans="3:21" x14ac:dyDescent="0.25">
      <c r="F1329" t="s">
        <v>933</v>
      </c>
      <c r="G1329" t="s">
        <v>170</v>
      </c>
      <c r="H1329" t="s">
        <v>479</v>
      </c>
      <c r="J1329" s="202"/>
      <c r="K1329" s="198"/>
      <c r="L1329" s="202"/>
      <c r="M1329" s="202"/>
      <c r="N1329" s="202"/>
      <c r="O1329" s="202"/>
      <c r="P1329" s="202"/>
      <c r="Q1329" s="202"/>
      <c r="R1329" s="202"/>
      <c r="S1329" s="202"/>
    </row>
    <row r="1330" spans="3:21" x14ac:dyDescent="0.25">
      <c r="F1330" t="s">
        <v>934</v>
      </c>
      <c r="G1330" t="s">
        <v>170</v>
      </c>
      <c r="H1330" t="s">
        <v>479</v>
      </c>
      <c r="J1330" s="202"/>
      <c r="K1330" s="198"/>
      <c r="L1330" s="202"/>
      <c r="M1330" s="202"/>
      <c r="N1330" s="202"/>
      <c r="O1330" s="202"/>
      <c r="P1330" s="202"/>
      <c r="Q1330" s="202"/>
      <c r="R1330" s="202"/>
      <c r="S1330" s="202"/>
    </row>
    <row r="1331" spans="3:21" x14ac:dyDescent="0.25">
      <c r="F1331" t="s">
        <v>935</v>
      </c>
      <c r="G1331" t="s">
        <v>170</v>
      </c>
      <c r="H1331" t="s">
        <v>479</v>
      </c>
      <c r="J1331" s="202"/>
      <c r="K1331" s="198"/>
      <c r="L1331" s="202"/>
      <c r="M1331" s="202"/>
      <c r="N1331" s="202"/>
      <c r="O1331" s="202"/>
      <c r="P1331" s="202"/>
      <c r="Q1331" s="202"/>
      <c r="R1331" s="202"/>
      <c r="S1331" s="202"/>
    </row>
    <row r="1332" spans="3:21" x14ac:dyDescent="0.25">
      <c r="F1332" t="s">
        <v>936</v>
      </c>
      <c r="G1332" t="s">
        <v>170</v>
      </c>
      <c r="H1332" t="s">
        <v>479</v>
      </c>
      <c r="J1332" s="202"/>
      <c r="K1332" s="198"/>
      <c r="L1332" s="202"/>
      <c r="M1332" s="202"/>
      <c r="N1332" s="202"/>
      <c r="O1332" s="202"/>
      <c r="P1332" s="202"/>
      <c r="Q1332" s="202"/>
      <c r="R1332" s="202"/>
      <c r="S1332" s="202"/>
    </row>
    <row r="1333" spans="3:21" x14ac:dyDescent="0.25">
      <c r="F1333" t="s">
        <v>937</v>
      </c>
      <c r="G1333" t="s">
        <v>170</v>
      </c>
      <c r="H1333" t="s">
        <v>479</v>
      </c>
      <c r="J1333" s="202"/>
      <c r="K1333" s="198"/>
      <c r="L1333" s="202"/>
      <c r="M1333" s="202"/>
      <c r="N1333" s="202"/>
      <c r="O1333" s="202"/>
      <c r="P1333" s="202"/>
      <c r="Q1333" s="202"/>
      <c r="R1333" s="202"/>
      <c r="S1333" s="202"/>
    </row>
    <row r="1334" spans="3:21" x14ac:dyDescent="0.25">
      <c r="F1334" t="s">
        <v>938</v>
      </c>
      <c r="G1334" t="s">
        <v>170</v>
      </c>
      <c r="H1334" t="s">
        <v>479</v>
      </c>
      <c r="J1334" s="202"/>
      <c r="K1334" s="198"/>
      <c r="L1334" s="202"/>
      <c r="M1334" s="202"/>
      <c r="N1334" s="202"/>
      <c r="O1334" s="202"/>
      <c r="P1334" s="202"/>
      <c r="Q1334" s="202"/>
      <c r="R1334" s="202"/>
      <c r="S1334" s="202"/>
    </row>
    <row r="1335" spans="3:21" x14ac:dyDescent="0.25">
      <c r="F1335" t="s">
        <v>939</v>
      </c>
      <c r="G1335" t="s">
        <v>170</v>
      </c>
      <c r="H1335" t="s">
        <v>479</v>
      </c>
      <c r="J1335" s="202"/>
      <c r="K1335" s="198"/>
      <c r="L1335" s="202"/>
      <c r="M1335" s="202"/>
      <c r="N1335" s="202"/>
      <c r="O1335" s="202"/>
      <c r="P1335" s="202"/>
      <c r="Q1335" s="202"/>
      <c r="R1335" s="202"/>
      <c r="S1335" s="202"/>
    </row>
    <row r="1336" spans="3:21" x14ac:dyDescent="0.25">
      <c r="F1336" s="17" t="s">
        <v>940</v>
      </c>
      <c r="G1336" s="17" t="s">
        <v>170</v>
      </c>
      <c r="H1336" s="17" t="s">
        <v>479</v>
      </c>
      <c r="I1336" s="122"/>
      <c r="J1336" s="203"/>
      <c r="K1336" s="200"/>
      <c r="L1336" s="203"/>
      <c r="M1336" s="203"/>
      <c r="N1336" s="203"/>
      <c r="O1336" s="203"/>
      <c r="P1336" s="203"/>
      <c r="Q1336" s="203"/>
      <c r="R1336" s="203"/>
      <c r="S1336" s="203"/>
    </row>
    <row r="1337" spans="3:21" x14ac:dyDescent="0.25">
      <c r="J1337" s="198"/>
      <c r="K1337" s="198"/>
      <c r="L1337" s="198"/>
      <c r="M1337" s="198"/>
      <c r="N1337" s="198"/>
      <c r="O1337" s="198"/>
      <c r="P1337" s="198"/>
      <c r="Q1337" s="198"/>
      <c r="R1337" s="198"/>
      <c r="S1337" s="198"/>
    </row>
    <row r="1338" spans="3:21" x14ac:dyDescent="0.25">
      <c r="C1338" s="5" t="str">
        <f ca="1">INDEX('Version control'!$H$36:$H$62,MATCH($A$1,'Version control'!$F$36:$F$62,0),1)&amp;"-M: LDNO HV volumes - No residual"</f>
        <v>Input 501-M: LDNO HV volumes - No residual</v>
      </c>
      <c r="D1338" s="5"/>
      <c r="E1338" s="5"/>
      <c r="F1338" s="5"/>
      <c r="G1338" s="5"/>
      <c r="H1338" s="5"/>
      <c r="I1338" s="143"/>
      <c r="J1338" s="205"/>
      <c r="K1338" s="205"/>
      <c r="L1338" s="205"/>
      <c r="M1338" s="205"/>
      <c r="N1338" s="205"/>
      <c r="O1338" s="205"/>
      <c r="P1338" s="205"/>
      <c r="Q1338" s="205"/>
      <c r="R1338" s="205"/>
      <c r="S1338" s="205"/>
      <c r="T1338" s="5"/>
      <c r="U1338" s="5"/>
    </row>
    <row r="1339" spans="3:21" x14ac:dyDescent="0.25">
      <c r="D1339" s="52"/>
    </row>
    <row r="1340" spans="3:21" x14ac:dyDescent="0.25">
      <c r="E1340" s="121" t="s">
        <v>199</v>
      </c>
      <c r="I1340" s="59" t="s">
        <v>359</v>
      </c>
      <c r="J1340" s="198"/>
      <c r="K1340" s="198"/>
      <c r="L1340" s="198"/>
      <c r="M1340" s="198"/>
      <c r="N1340" s="198"/>
      <c r="O1340" s="198"/>
      <c r="P1340" s="198"/>
      <c r="Q1340" s="198"/>
      <c r="R1340" s="198"/>
      <c r="S1340" s="198"/>
      <c r="U1340" t="s">
        <v>691</v>
      </c>
    </row>
    <row r="1341" spans="3:21" x14ac:dyDescent="0.25">
      <c r="F1341" s="80" t="s">
        <v>925</v>
      </c>
      <c r="G1341" s="80" t="s">
        <v>120</v>
      </c>
      <c r="H1341" s="80" t="s">
        <v>480</v>
      </c>
      <c r="I1341" s="94"/>
      <c r="J1341" s="201"/>
      <c r="K1341" s="196"/>
      <c r="L1341" s="201"/>
      <c r="M1341" s="201"/>
      <c r="N1341" s="201"/>
      <c r="O1341" s="201"/>
      <c r="P1341" s="201"/>
      <c r="Q1341" s="201"/>
      <c r="R1341" s="201"/>
      <c r="S1341" s="201"/>
    </row>
    <row r="1342" spans="3:21" x14ac:dyDescent="0.25">
      <c r="F1342" t="s">
        <v>926</v>
      </c>
      <c r="G1342" t="s">
        <v>120</v>
      </c>
      <c r="H1342" t="s">
        <v>480</v>
      </c>
      <c r="J1342" s="197">
        <f t="shared" ref="J1342:J1355" si="255">CHOOSE(year_selection, L1342,M1342,N1342,O1342,P1342,Q1342,R1342,S1342)</f>
        <v>0</v>
      </c>
      <c r="K1342" s="198"/>
      <c r="L1342" s="281"/>
      <c r="M1342" s="281">
        <v>1.8789960473221006</v>
      </c>
      <c r="N1342" s="281">
        <v>2.254795256786521</v>
      </c>
      <c r="O1342" s="281">
        <v>0</v>
      </c>
      <c r="P1342" s="281">
        <f t="shared" ref="P1342:S1347" si="256">$O1342</f>
        <v>0</v>
      </c>
      <c r="Q1342" s="281">
        <f t="shared" si="256"/>
        <v>0</v>
      </c>
      <c r="R1342" s="281">
        <f t="shared" si="256"/>
        <v>0</v>
      </c>
      <c r="S1342" s="281">
        <f t="shared" si="256"/>
        <v>0</v>
      </c>
    </row>
    <row r="1343" spans="3:21" x14ac:dyDescent="0.25">
      <c r="F1343" t="s">
        <v>927</v>
      </c>
      <c r="G1343" t="s">
        <v>120</v>
      </c>
      <c r="H1343" t="s">
        <v>480</v>
      </c>
      <c r="J1343" s="197">
        <f t="shared" si="255"/>
        <v>0</v>
      </c>
      <c r="K1343" s="198"/>
      <c r="L1343" s="281"/>
      <c r="M1343" s="281">
        <v>0</v>
      </c>
      <c r="N1343" s="281">
        <v>0.18023493481103051</v>
      </c>
      <c r="O1343" s="281">
        <v>0</v>
      </c>
      <c r="P1343" s="281">
        <f t="shared" si="256"/>
        <v>0</v>
      </c>
      <c r="Q1343" s="281">
        <f t="shared" si="256"/>
        <v>0</v>
      </c>
      <c r="R1343" s="281">
        <f t="shared" si="256"/>
        <v>0</v>
      </c>
      <c r="S1343" s="281">
        <f t="shared" si="256"/>
        <v>0</v>
      </c>
    </row>
    <row r="1344" spans="3:21" x14ac:dyDescent="0.25">
      <c r="F1344" t="s">
        <v>928</v>
      </c>
      <c r="G1344" t="s">
        <v>120</v>
      </c>
      <c r="H1344" t="s">
        <v>480</v>
      </c>
      <c r="J1344" s="197">
        <f t="shared" si="255"/>
        <v>0</v>
      </c>
      <c r="K1344" s="198"/>
      <c r="L1344" s="281"/>
      <c r="M1344" s="281">
        <v>0</v>
      </c>
      <c r="N1344" s="281">
        <v>0</v>
      </c>
      <c r="O1344" s="281">
        <v>0</v>
      </c>
      <c r="P1344" s="281">
        <f t="shared" si="256"/>
        <v>0</v>
      </c>
      <c r="Q1344" s="281">
        <f t="shared" si="256"/>
        <v>0</v>
      </c>
      <c r="R1344" s="281">
        <f t="shared" si="256"/>
        <v>0</v>
      </c>
      <c r="S1344" s="281">
        <f t="shared" si="256"/>
        <v>0</v>
      </c>
    </row>
    <row r="1345" spans="5:19" x14ac:dyDescent="0.25">
      <c r="F1345" t="s">
        <v>929</v>
      </c>
      <c r="G1345" t="s">
        <v>120</v>
      </c>
      <c r="H1345" t="s">
        <v>480</v>
      </c>
      <c r="J1345" s="197">
        <f t="shared" si="255"/>
        <v>0</v>
      </c>
      <c r="K1345" s="198"/>
      <c r="L1345" s="281"/>
      <c r="M1345" s="281">
        <v>0</v>
      </c>
      <c r="N1345" s="281">
        <v>0</v>
      </c>
      <c r="O1345" s="281">
        <v>0</v>
      </c>
      <c r="P1345" s="281">
        <f t="shared" si="256"/>
        <v>0</v>
      </c>
      <c r="Q1345" s="281">
        <f t="shared" si="256"/>
        <v>0</v>
      </c>
      <c r="R1345" s="281">
        <f t="shared" si="256"/>
        <v>0</v>
      </c>
      <c r="S1345" s="281">
        <f t="shared" si="256"/>
        <v>0</v>
      </c>
    </row>
    <row r="1346" spans="5:19" x14ac:dyDescent="0.25">
      <c r="F1346" t="s">
        <v>930</v>
      </c>
      <c r="G1346" t="s">
        <v>120</v>
      </c>
      <c r="H1346" t="s">
        <v>480</v>
      </c>
      <c r="J1346" s="197">
        <f t="shared" si="255"/>
        <v>0</v>
      </c>
      <c r="K1346" s="198"/>
      <c r="L1346" s="281"/>
      <c r="M1346" s="281">
        <v>0</v>
      </c>
      <c r="N1346" s="281">
        <v>0</v>
      </c>
      <c r="O1346" s="281">
        <v>0</v>
      </c>
      <c r="P1346" s="281">
        <f t="shared" si="256"/>
        <v>0</v>
      </c>
      <c r="Q1346" s="281">
        <f t="shared" si="256"/>
        <v>0</v>
      </c>
      <c r="R1346" s="281">
        <f t="shared" si="256"/>
        <v>0</v>
      </c>
      <c r="S1346" s="281">
        <f t="shared" si="256"/>
        <v>0</v>
      </c>
    </row>
    <row r="1347" spans="5:19" x14ac:dyDescent="0.25">
      <c r="F1347" t="s">
        <v>931</v>
      </c>
      <c r="G1347" t="s">
        <v>120</v>
      </c>
      <c r="H1347" t="s">
        <v>480</v>
      </c>
      <c r="J1347" s="197">
        <f t="shared" si="255"/>
        <v>0</v>
      </c>
      <c r="K1347" s="198"/>
      <c r="L1347" s="281"/>
      <c r="M1347" s="281">
        <v>0</v>
      </c>
      <c r="N1347" s="281">
        <v>0</v>
      </c>
      <c r="O1347" s="281">
        <v>0</v>
      </c>
      <c r="P1347" s="281">
        <f t="shared" si="256"/>
        <v>0</v>
      </c>
      <c r="Q1347" s="281">
        <f t="shared" si="256"/>
        <v>0</v>
      </c>
      <c r="R1347" s="281">
        <f t="shared" si="256"/>
        <v>0</v>
      </c>
      <c r="S1347" s="281">
        <f t="shared" si="256"/>
        <v>0</v>
      </c>
    </row>
    <row r="1348" spans="5:19" x14ac:dyDescent="0.25">
      <c r="F1348" t="s">
        <v>932</v>
      </c>
      <c r="G1348" t="s">
        <v>120</v>
      </c>
      <c r="H1348" t="s">
        <v>480</v>
      </c>
      <c r="J1348" s="202"/>
      <c r="K1348" s="198"/>
      <c r="L1348" s="202"/>
      <c r="M1348" s="202"/>
      <c r="N1348" s="202"/>
      <c r="O1348" s="202"/>
      <c r="P1348" s="202"/>
      <c r="Q1348" s="202"/>
      <c r="R1348" s="202"/>
      <c r="S1348" s="202"/>
    </row>
    <row r="1349" spans="5:19" x14ac:dyDescent="0.25">
      <c r="F1349" t="s">
        <v>933</v>
      </c>
      <c r="G1349" t="s">
        <v>120</v>
      </c>
      <c r="H1349" t="s">
        <v>480</v>
      </c>
      <c r="J1349" s="197">
        <f t="shared" si="255"/>
        <v>560.25500000000011</v>
      </c>
      <c r="K1349" s="198"/>
      <c r="L1349" s="281"/>
      <c r="M1349" s="281">
        <v>34.637836748432107</v>
      </c>
      <c r="N1349" s="281">
        <v>130.84311478153396</v>
      </c>
      <c r="O1349" s="281">
        <v>560.25500000000011</v>
      </c>
      <c r="P1349" s="281">
        <f t="shared" ref="P1349:S1351" si="257">$O1349</f>
        <v>560.25500000000011</v>
      </c>
      <c r="Q1349" s="281">
        <f t="shared" si="257"/>
        <v>560.25500000000011</v>
      </c>
      <c r="R1349" s="281">
        <f t="shared" si="257"/>
        <v>560.25500000000011</v>
      </c>
      <c r="S1349" s="281">
        <f t="shared" si="257"/>
        <v>560.25500000000011</v>
      </c>
    </row>
    <row r="1350" spans="5:19" x14ac:dyDescent="0.25">
      <c r="F1350" t="s">
        <v>934</v>
      </c>
      <c r="G1350" t="s">
        <v>120</v>
      </c>
      <c r="H1350" t="s">
        <v>480</v>
      </c>
      <c r="J1350" s="197">
        <f t="shared" si="255"/>
        <v>7.944</v>
      </c>
      <c r="K1350" s="198"/>
      <c r="L1350" s="281"/>
      <c r="M1350" s="281">
        <v>0</v>
      </c>
      <c r="N1350" s="281">
        <v>0</v>
      </c>
      <c r="O1350" s="281">
        <v>7.944</v>
      </c>
      <c r="P1350" s="281">
        <f t="shared" si="257"/>
        <v>7.944</v>
      </c>
      <c r="Q1350" s="281">
        <f t="shared" si="257"/>
        <v>7.944</v>
      </c>
      <c r="R1350" s="281">
        <f t="shared" si="257"/>
        <v>7.944</v>
      </c>
      <c r="S1350" s="281">
        <f t="shared" si="257"/>
        <v>7.944</v>
      </c>
    </row>
    <row r="1351" spans="5:19" x14ac:dyDescent="0.25">
      <c r="F1351" t="s">
        <v>935</v>
      </c>
      <c r="G1351" t="s">
        <v>120</v>
      </c>
      <c r="H1351" t="s">
        <v>480</v>
      </c>
      <c r="J1351" s="197">
        <f t="shared" si="255"/>
        <v>0</v>
      </c>
      <c r="K1351" s="198"/>
      <c r="L1351" s="281"/>
      <c r="M1351" s="281">
        <v>0</v>
      </c>
      <c r="N1351" s="281">
        <v>0</v>
      </c>
      <c r="O1351" s="281">
        <v>0</v>
      </c>
      <c r="P1351" s="281">
        <f t="shared" si="257"/>
        <v>0</v>
      </c>
      <c r="Q1351" s="281">
        <f t="shared" si="257"/>
        <v>0</v>
      </c>
      <c r="R1351" s="281">
        <f t="shared" si="257"/>
        <v>0</v>
      </c>
      <c r="S1351" s="281">
        <f t="shared" si="257"/>
        <v>0</v>
      </c>
    </row>
    <row r="1352" spans="5:19" x14ac:dyDescent="0.25">
      <c r="F1352" t="s">
        <v>936</v>
      </c>
      <c r="G1352" t="s">
        <v>120</v>
      </c>
      <c r="H1352" t="s">
        <v>480</v>
      </c>
      <c r="J1352" s="202"/>
      <c r="K1352" s="198"/>
      <c r="L1352" s="202"/>
      <c r="M1352" s="202"/>
      <c r="N1352" s="202"/>
      <c r="O1352" s="202"/>
      <c r="P1352" s="202"/>
      <c r="Q1352" s="202"/>
      <c r="R1352" s="202"/>
      <c r="S1352" s="202"/>
    </row>
    <row r="1353" spans="5:19" x14ac:dyDescent="0.25">
      <c r="F1353" t="s">
        <v>937</v>
      </c>
      <c r="G1353" t="s">
        <v>120</v>
      </c>
      <c r="H1353" t="s">
        <v>480</v>
      </c>
      <c r="J1353" s="197">
        <f t="shared" si="255"/>
        <v>0</v>
      </c>
      <c r="K1353" s="198"/>
      <c r="L1353" s="281"/>
      <c r="M1353" s="281">
        <v>0</v>
      </c>
      <c r="N1353" s="281">
        <v>0</v>
      </c>
      <c r="O1353" s="281">
        <v>0</v>
      </c>
      <c r="P1353" s="281">
        <f t="shared" ref="P1353:S1353" si="258">$O1353</f>
        <v>0</v>
      </c>
      <c r="Q1353" s="281">
        <f t="shared" si="258"/>
        <v>0</v>
      </c>
      <c r="R1353" s="281">
        <f t="shared" si="258"/>
        <v>0</v>
      </c>
      <c r="S1353" s="281">
        <f t="shared" si="258"/>
        <v>0</v>
      </c>
    </row>
    <row r="1354" spans="5:19" x14ac:dyDescent="0.25">
      <c r="F1354" t="s">
        <v>938</v>
      </c>
      <c r="G1354" t="s">
        <v>120</v>
      </c>
      <c r="H1354" t="s">
        <v>480</v>
      </c>
      <c r="J1354" s="202"/>
      <c r="K1354" s="198"/>
      <c r="L1354" s="202"/>
      <c r="M1354" s="202"/>
      <c r="N1354" s="202"/>
      <c r="O1354" s="202"/>
      <c r="P1354" s="202"/>
      <c r="Q1354" s="202"/>
      <c r="R1354" s="202"/>
      <c r="S1354" s="202"/>
    </row>
    <row r="1355" spans="5:19" x14ac:dyDescent="0.25">
      <c r="F1355" t="s">
        <v>939</v>
      </c>
      <c r="G1355" t="s">
        <v>120</v>
      </c>
      <c r="H1355" t="s">
        <v>480</v>
      </c>
      <c r="J1355" s="197">
        <f t="shared" si="255"/>
        <v>0</v>
      </c>
      <c r="K1355" s="198"/>
      <c r="L1355" s="281"/>
      <c r="M1355" s="281">
        <v>0</v>
      </c>
      <c r="N1355" s="281">
        <v>0</v>
      </c>
      <c r="O1355" s="281">
        <v>0</v>
      </c>
      <c r="P1355" s="281">
        <f t="shared" ref="P1355:S1355" si="259">$O1355</f>
        <v>0</v>
      </c>
      <c r="Q1355" s="281">
        <f t="shared" si="259"/>
        <v>0</v>
      </c>
      <c r="R1355" s="281">
        <f t="shared" si="259"/>
        <v>0</v>
      </c>
      <c r="S1355" s="281">
        <f t="shared" si="259"/>
        <v>0</v>
      </c>
    </row>
    <row r="1356" spans="5:19" x14ac:dyDescent="0.25">
      <c r="F1356" s="17" t="s">
        <v>940</v>
      </c>
      <c r="G1356" s="17" t="s">
        <v>120</v>
      </c>
      <c r="H1356" s="17" t="s">
        <v>480</v>
      </c>
      <c r="I1356" s="122"/>
      <c r="J1356" s="203"/>
      <c r="K1356" s="200"/>
      <c r="L1356" s="203"/>
      <c r="M1356" s="203"/>
      <c r="N1356" s="203"/>
      <c r="O1356" s="203"/>
      <c r="P1356" s="203"/>
      <c r="Q1356" s="203"/>
      <c r="R1356" s="203"/>
      <c r="S1356" s="203"/>
    </row>
    <row r="1357" spans="5:19" x14ac:dyDescent="0.25">
      <c r="J1357" s="198"/>
      <c r="K1357" s="198"/>
      <c r="L1357" s="198"/>
      <c r="M1357" s="198"/>
      <c r="N1357" s="198"/>
      <c r="O1357" s="198"/>
      <c r="P1357" s="198"/>
      <c r="Q1357" s="198"/>
      <c r="R1357" s="198"/>
      <c r="S1357" s="198"/>
    </row>
    <row r="1358" spans="5:19" x14ac:dyDescent="0.25">
      <c r="E1358" s="121" t="s">
        <v>200</v>
      </c>
      <c r="J1358" s="198"/>
      <c r="K1358" s="198"/>
      <c r="L1358" s="198"/>
      <c r="M1358" s="198"/>
      <c r="N1358" s="198"/>
      <c r="O1358" s="198"/>
      <c r="P1358" s="198"/>
      <c r="Q1358" s="198"/>
      <c r="R1358" s="198"/>
      <c r="S1358" s="198"/>
    </row>
    <row r="1359" spans="5:19" x14ac:dyDescent="0.25">
      <c r="F1359" s="80" t="s">
        <v>925</v>
      </c>
      <c r="G1359" s="80" t="s">
        <v>120</v>
      </c>
      <c r="H1359" s="80" t="s">
        <v>480</v>
      </c>
      <c r="I1359" s="94"/>
      <c r="J1359" s="201"/>
      <c r="K1359" s="196"/>
      <c r="L1359" s="201"/>
      <c r="M1359" s="201"/>
      <c r="N1359" s="201"/>
      <c r="O1359" s="201"/>
      <c r="P1359" s="201"/>
      <c r="Q1359" s="201"/>
      <c r="R1359" s="201"/>
      <c r="S1359" s="201"/>
    </row>
    <row r="1360" spans="5:19" x14ac:dyDescent="0.25">
      <c r="F1360" t="s">
        <v>926</v>
      </c>
      <c r="G1360" t="s">
        <v>120</v>
      </c>
      <c r="H1360" t="s">
        <v>480</v>
      </c>
      <c r="J1360" s="197">
        <f t="shared" ref="J1360:J1365" si="260">CHOOSE(year_selection, L1360,M1360,N1360,O1360,P1360,Q1360,R1360,S1360)</f>
        <v>13.045000000000002</v>
      </c>
      <c r="K1360" s="198"/>
      <c r="L1360" s="281"/>
      <c r="M1360" s="281">
        <v>33.765672207330283</v>
      </c>
      <c r="N1360" s="281">
        <v>40.518806648796335</v>
      </c>
      <c r="O1360" s="281">
        <v>13.045000000000002</v>
      </c>
      <c r="P1360" s="281">
        <f t="shared" ref="P1360:S1365" si="261">$O1360</f>
        <v>13.045000000000002</v>
      </c>
      <c r="Q1360" s="281">
        <f t="shared" si="261"/>
        <v>13.045000000000002</v>
      </c>
      <c r="R1360" s="281">
        <f t="shared" si="261"/>
        <v>13.045000000000002</v>
      </c>
      <c r="S1360" s="281">
        <f t="shared" si="261"/>
        <v>13.045000000000002</v>
      </c>
    </row>
    <row r="1361" spans="5:19" x14ac:dyDescent="0.25">
      <c r="F1361" t="s">
        <v>927</v>
      </c>
      <c r="G1361" t="s">
        <v>120</v>
      </c>
      <c r="H1361" t="s">
        <v>480</v>
      </c>
      <c r="J1361" s="197">
        <f t="shared" si="260"/>
        <v>0</v>
      </c>
      <c r="K1361" s="198"/>
      <c r="L1361" s="281"/>
      <c r="M1361" s="281">
        <v>0</v>
      </c>
      <c r="N1361" s="281">
        <v>0.97567434797430541</v>
      </c>
      <c r="O1361" s="281">
        <v>0</v>
      </c>
      <c r="P1361" s="281">
        <f t="shared" si="261"/>
        <v>0</v>
      </c>
      <c r="Q1361" s="281">
        <f t="shared" si="261"/>
        <v>0</v>
      </c>
      <c r="R1361" s="281">
        <f t="shared" si="261"/>
        <v>0</v>
      </c>
      <c r="S1361" s="281">
        <f t="shared" si="261"/>
        <v>0</v>
      </c>
    </row>
    <row r="1362" spans="5:19" x14ac:dyDescent="0.25">
      <c r="F1362" t="s">
        <v>928</v>
      </c>
      <c r="G1362" t="s">
        <v>120</v>
      </c>
      <c r="H1362" t="s">
        <v>480</v>
      </c>
      <c r="J1362" s="197">
        <f t="shared" si="260"/>
        <v>0</v>
      </c>
      <c r="K1362" s="198"/>
      <c r="L1362" s="281"/>
      <c r="M1362" s="281">
        <v>0</v>
      </c>
      <c r="N1362" s="281">
        <v>0</v>
      </c>
      <c r="O1362" s="281">
        <v>0</v>
      </c>
      <c r="P1362" s="281">
        <f t="shared" si="261"/>
        <v>0</v>
      </c>
      <c r="Q1362" s="281">
        <f t="shared" si="261"/>
        <v>0</v>
      </c>
      <c r="R1362" s="281">
        <f t="shared" si="261"/>
        <v>0</v>
      </c>
      <c r="S1362" s="281">
        <f t="shared" si="261"/>
        <v>0</v>
      </c>
    </row>
    <row r="1363" spans="5:19" x14ac:dyDescent="0.25">
      <c r="F1363" t="s">
        <v>929</v>
      </c>
      <c r="G1363" t="s">
        <v>120</v>
      </c>
      <c r="H1363" t="s">
        <v>480</v>
      </c>
      <c r="J1363" s="197">
        <f t="shared" si="260"/>
        <v>0</v>
      </c>
      <c r="K1363" s="198"/>
      <c r="L1363" s="281"/>
      <c r="M1363" s="281">
        <v>0</v>
      </c>
      <c r="N1363" s="281">
        <v>0</v>
      </c>
      <c r="O1363" s="281">
        <v>0</v>
      </c>
      <c r="P1363" s="281">
        <f t="shared" si="261"/>
        <v>0</v>
      </c>
      <c r="Q1363" s="281">
        <f t="shared" si="261"/>
        <v>0</v>
      </c>
      <c r="R1363" s="281">
        <f t="shared" si="261"/>
        <v>0</v>
      </c>
      <c r="S1363" s="281">
        <f t="shared" si="261"/>
        <v>0</v>
      </c>
    </row>
    <row r="1364" spans="5:19" x14ac:dyDescent="0.25">
      <c r="F1364" t="s">
        <v>930</v>
      </c>
      <c r="G1364" t="s">
        <v>120</v>
      </c>
      <c r="H1364" t="s">
        <v>480</v>
      </c>
      <c r="J1364" s="197">
        <f t="shared" si="260"/>
        <v>0</v>
      </c>
      <c r="K1364" s="198"/>
      <c r="L1364" s="281"/>
      <c r="M1364" s="281">
        <v>0</v>
      </c>
      <c r="N1364" s="281">
        <v>0</v>
      </c>
      <c r="O1364" s="281">
        <v>0</v>
      </c>
      <c r="P1364" s="281">
        <f t="shared" si="261"/>
        <v>0</v>
      </c>
      <c r="Q1364" s="281">
        <f t="shared" si="261"/>
        <v>0</v>
      </c>
      <c r="R1364" s="281">
        <f t="shared" si="261"/>
        <v>0</v>
      </c>
      <c r="S1364" s="281">
        <f t="shared" si="261"/>
        <v>0</v>
      </c>
    </row>
    <row r="1365" spans="5:19" x14ac:dyDescent="0.25">
      <c r="F1365" t="s">
        <v>931</v>
      </c>
      <c r="G1365" t="s">
        <v>120</v>
      </c>
      <c r="H1365" t="s">
        <v>480</v>
      </c>
      <c r="J1365" s="197">
        <f t="shared" si="260"/>
        <v>0</v>
      </c>
      <c r="K1365" s="198"/>
      <c r="L1365" s="281"/>
      <c r="M1365" s="281">
        <v>0</v>
      </c>
      <c r="N1365" s="281">
        <v>0</v>
      </c>
      <c r="O1365" s="281">
        <v>0</v>
      </c>
      <c r="P1365" s="281">
        <f t="shared" si="261"/>
        <v>0</v>
      </c>
      <c r="Q1365" s="281">
        <f t="shared" si="261"/>
        <v>0</v>
      </c>
      <c r="R1365" s="281">
        <f t="shared" si="261"/>
        <v>0</v>
      </c>
      <c r="S1365" s="281">
        <f t="shared" si="261"/>
        <v>0</v>
      </c>
    </row>
    <row r="1366" spans="5:19" x14ac:dyDescent="0.25">
      <c r="F1366" t="s">
        <v>932</v>
      </c>
      <c r="G1366" t="s">
        <v>120</v>
      </c>
      <c r="H1366" t="s">
        <v>480</v>
      </c>
      <c r="J1366" s="202"/>
      <c r="K1366" s="198"/>
      <c r="L1366" s="202"/>
      <c r="M1366" s="202"/>
      <c r="N1366" s="202"/>
      <c r="O1366" s="202"/>
      <c r="P1366" s="202"/>
      <c r="Q1366" s="202"/>
      <c r="R1366" s="202"/>
      <c r="S1366" s="202"/>
    </row>
    <row r="1367" spans="5:19" x14ac:dyDescent="0.25">
      <c r="F1367" t="s">
        <v>933</v>
      </c>
      <c r="G1367" t="s">
        <v>120</v>
      </c>
      <c r="H1367" t="s">
        <v>480</v>
      </c>
      <c r="J1367" s="197">
        <f t="shared" ref="J1367:J1369" si="262">CHOOSE(year_selection, L1367,M1367,N1367,O1367,P1367,Q1367,R1367,S1367)</f>
        <v>2047.2030000000002</v>
      </c>
      <c r="K1367" s="198"/>
      <c r="L1367" s="281"/>
      <c r="M1367" s="281">
        <v>123.84735064190637</v>
      </c>
      <c r="N1367" s="281">
        <v>466.68798026349947</v>
      </c>
      <c r="O1367" s="281">
        <v>2047.2030000000002</v>
      </c>
      <c r="P1367" s="281">
        <f t="shared" ref="P1367:S1369" si="263">$O1367</f>
        <v>2047.2030000000002</v>
      </c>
      <c r="Q1367" s="281">
        <f t="shared" si="263"/>
        <v>2047.2030000000002</v>
      </c>
      <c r="R1367" s="281">
        <f t="shared" si="263"/>
        <v>2047.2030000000002</v>
      </c>
      <c r="S1367" s="281">
        <f t="shared" si="263"/>
        <v>2047.2030000000002</v>
      </c>
    </row>
    <row r="1368" spans="5:19" x14ac:dyDescent="0.25">
      <c r="F1368" t="s">
        <v>934</v>
      </c>
      <c r="G1368" t="s">
        <v>120</v>
      </c>
      <c r="H1368" t="s">
        <v>480</v>
      </c>
      <c r="J1368" s="197">
        <f t="shared" si="262"/>
        <v>28.603999999999999</v>
      </c>
      <c r="K1368" s="198"/>
      <c r="L1368" s="281"/>
      <c r="M1368" s="281">
        <v>0</v>
      </c>
      <c r="N1368" s="281">
        <v>0</v>
      </c>
      <c r="O1368" s="281">
        <v>28.603999999999999</v>
      </c>
      <c r="P1368" s="281">
        <f t="shared" si="263"/>
        <v>28.603999999999999</v>
      </c>
      <c r="Q1368" s="281">
        <f t="shared" si="263"/>
        <v>28.603999999999999</v>
      </c>
      <c r="R1368" s="281">
        <f t="shared" si="263"/>
        <v>28.603999999999999</v>
      </c>
      <c r="S1368" s="281">
        <f t="shared" si="263"/>
        <v>28.603999999999999</v>
      </c>
    </row>
    <row r="1369" spans="5:19" x14ac:dyDescent="0.25">
      <c r="F1369" t="s">
        <v>935</v>
      </c>
      <c r="G1369" t="s">
        <v>120</v>
      </c>
      <c r="H1369" t="s">
        <v>480</v>
      </c>
      <c r="J1369" s="197">
        <f t="shared" si="262"/>
        <v>0</v>
      </c>
      <c r="K1369" s="198"/>
      <c r="L1369" s="281"/>
      <c r="M1369" s="281">
        <v>0</v>
      </c>
      <c r="N1369" s="281">
        <v>0</v>
      </c>
      <c r="O1369" s="281">
        <v>0</v>
      </c>
      <c r="P1369" s="281">
        <f t="shared" si="263"/>
        <v>0</v>
      </c>
      <c r="Q1369" s="281">
        <f t="shared" si="263"/>
        <v>0</v>
      </c>
      <c r="R1369" s="281">
        <f t="shared" si="263"/>
        <v>0</v>
      </c>
      <c r="S1369" s="281">
        <f t="shared" si="263"/>
        <v>0</v>
      </c>
    </row>
    <row r="1370" spans="5:19" x14ac:dyDescent="0.25">
      <c r="F1370" t="s">
        <v>936</v>
      </c>
      <c r="G1370" t="s">
        <v>120</v>
      </c>
      <c r="H1370" t="s">
        <v>480</v>
      </c>
      <c r="J1370" s="202"/>
      <c r="K1370" s="198"/>
      <c r="L1370" s="202"/>
      <c r="M1370" s="202"/>
      <c r="N1370" s="202"/>
      <c r="O1370" s="202"/>
      <c r="P1370" s="202"/>
      <c r="Q1370" s="202"/>
      <c r="R1370" s="202"/>
      <c r="S1370" s="202"/>
    </row>
    <row r="1371" spans="5:19" x14ac:dyDescent="0.25">
      <c r="F1371" t="s">
        <v>937</v>
      </c>
      <c r="G1371" t="s">
        <v>120</v>
      </c>
      <c r="H1371" t="s">
        <v>480</v>
      </c>
      <c r="J1371" s="197">
        <f t="shared" ref="J1371" si="264">CHOOSE(year_selection, L1371,M1371,N1371,O1371,P1371,Q1371,R1371,S1371)</f>
        <v>0</v>
      </c>
      <c r="K1371" s="198"/>
      <c r="L1371" s="281"/>
      <c r="M1371" s="281">
        <v>0</v>
      </c>
      <c r="N1371" s="281">
        <v>0</v>
      </c>
      <c r="O1371" s="281">
        <v>0</v>
      </c>
      <c r="P1371" s="281">
        <f t="shared" ref="P1371:S1371" si="265">$O1371</f>
        <v>0</v>
      </c>
      <c r="Q1371" s="281">
        <f t="shared" si="265"/>
        <v>0</v>
      </c>
      <c r="R1371" s="281">
        <f t="shared" si="265"/>
        <v>0</v>
      </c>
      <c r="S1371" s="281">
        <f t="shared" si="265"/>
        <v>0</v>
      </c>
    </row>
    <row r="1372" spans="5:19" x14ac:dyDescent="0.25">
      <c r="F1372" t="s">
        <v>938</v>
      </c>
      <c r="G1372" t="s">
        <v>120</v>
      </c>
      <c r="H1372" t="s">
        <v>480</v>
      </c>
      <c r="J1372" s="202"/>
      <c r="K1372" s="198"/>
      <c r="L1372" s="202"/>
      <c r="M1372" s="202"/>
      <c r="N1372" s="202"/>
      <c r="O1372" s="202"/>
      <c r="P1372" s="202"/>
      <c r="Q1372" s="202"/>
      <c r="R1372" s="202"/>
      <c r="S1372" s="202"/>
    </row>
    <row r="1373" spans="5:19" x14ac:dyDescent="0.25">
      <c r="F1373" t="s">
        <v>939</v>
      </c>
      <c r="G1373" t="s">
        <v>120</v>
      </c>
      <c r="H1373" t="s">
        <v>480</v>
      </c>
      <c r="J1373" s="197">
        <f t="shared" ref="J1373" si="266">CHOOSE(year_selection, L1373,M1373,N1373,O1373,P1373,Q1373,R1373,S1373)</f>
        <v>0</v>
      </c>
      <c r="K1373" s="198"/>
      <c r="L1373" s="281"/>
      <c r="M1373" s="281">
        <v>0</v>
      </c>
      <c r="N1373" s="281">
        <v>0</v>
      </c>
      <c r="O1373" s="281">
        <v>0</v>
      </c>
      <c r="P1373" s="281">
        <f t="shared" ref="P1373:S1373" si="267">$O1373</f>
        <v>0</v>
      </c>
      <c r="Q1373" s="281">
        <f t="shared" si="267"/>
        <v>0</v>
      </c>
      <c r="R1373" s="281">
        <f t="shared" si="267"/>
        <v>0</v>
      </c>
      <c r="S1373" s="281">
        <f t="shared" si="267"/>
        <v>0</v>
      </c>
    </row>
    <row r="1374" spans="5:19" x14ac:dyDescent="0.25">
      <c r="F1374" s="17" t="s">
        <v>940</v>
      </c>
      <c r="G1374" s="17" t="s">
        <v>120</v>
      </c>
      <c r="H1374" s="17" t="s">
        <v>480</v>
      </c>
      <c r="I1374" s="122"/>
      <c r="J1374" s="203"/>
      <c r="K1374" s="200"/>
      <c r="L1374" s="203"/>
      <c r="M1374" s="203"/>
      <c r="N1374" s="203"/>
      <c r="O1374" s="203"/>
      <c r="P1374" s="203"/>
      <c r="Q1374" s="203"/>
      <c r="R1374" s="203"/>
      <c r="S1374" s="203"/>
    </row>
    <row r="1375" spans="5:19" x14ac:dyDescent="0.25">
      <c r="J1375" s="198"/>
      <c r="K1375" s="198"/>
      <c r="L1375" s="198"/>
      <c r="M1375" s="198"/>
      <c r="N1375" s="198"/>
      <c r="O1375" s="198"/>
      <c r="P1375" s="198"/>
      <c r="Q1375" s="198"/>
      <c r="R1375" s="198"/>
      <c r="S1375" s="198"/>
    </row>
    <row r="1376" spans="5:19" x14ac:dyDescent="0.25">
      <c r="E1376" s="121" t="s">
        <v>201</v>
      </c>
      <c r="J1376" s="198"/>
      <c r="K1376" s="198"/>
      <c r="L1376" s="198"/>
      <c r="M1376" s="198"/>
      <c r="N1376" s="198"/>
      <c r="O1376" s="198"/>
      <c r="P1376" s="198"/>
      <c r="Q1376" s="198"/>
      <c r="R1376" s="198"/>
      <c r="S1376" s="198"/>
    </row>
    <row r="1377" spans="6:19" x14ac:dyDescent="0.25">
      <c r="F1377" s="80" t="s">
        <v>925</v>
      </c>
      <c r="G1377" s="80" t="s">
        <v>120</v>
      </c>
      <c r="H1377" s="80" t="s">
        <v>480</v>
      </c>
      <c r="I1377" s="94"/>
      <c r="J1377" s="201"/>
      <c r="K1377" s="196"/>
      <c r="L1377" s="201"/>
      <c r="M1377" s="201"/>
      <c r="N1377" s="201"/>
      <c r="O1377" s="201"/>
      <c r="P1377" s="201"/>
      <c r="Q1377" s="201"/>
      <c r="R1377" s="201"/>
      <c r="S1377" s="201"/>
    </row>
    <row r="1378" spans="6:19" x14ac:dyDescent="0.25">
      <c r="F1378" t="s">
        <v>926</v>
      </c>
      <c r="G1378" t="s">
        <v>120</v>
      </c>
      <c r="H1378" t="s">
        <v>480</v>
      </c>
      <c r="J1378" s="197">
        <f t="shared" ref="J1378:J1383" si="268">CHOOSE(year_selection, L1378,M1378,N1378,O1378,P1378,Q1378,R1378,S1378)</f>
        <v>250.68800000000002</v>
      </c>
      <c r="K1378" s="198"/>
      <c r="L1378" s="281"/>
      <c r="M1378" s="281">
        <v>345.46633174534759</v>
      </c>
      <c r="N1378" s="281">
        <v>414.55959809441714</v>
      </c>
      <c r="O1378" s="281">
        <v>250.68800000000002</v>
      </c>
      <c r="P1378" s="281">
        <f t="shared" ref="P1378:S1383" si="269">$O1378</f>
        <v>250.68800000000002</v>
      </c>
      <c r="Q1378" s="281">
        <f t="shared" si="269"/>
        <v>250.68800000000002</v>
      </c>
      <c r="R1378" s="281">
        <f t="shared" si="269"/>
        <v>250.68800000000002</v>
      </c>
      <c r="S1378" s="281">
        <f t="shared" si="269"/>
        <v>250.68800000000002</v>
      </c>
    </row>
    <row r="1379" spans="6:19" x14ac:dyDescent="0.25">
      <c r="F1379" t="s">
        <v>927</v>
      </c>
      <c r="G1379" t="s">
        <v>120</v>
      </c>
      <c r="H1379" t="s">
        <v>480</v>
      </c>
      <c r="J1379" s="197">
        <f t="shared" si="268"/>
        <v>0</v>
      </c>
      <c r="K1379" s="198"/>
      <c r="L1379" s="281"/>
      <c r="M1379" s="281">
        <v>0</v>
      </c>
      <c r="N1379" s="281">
        <v>0.94209469511781174</v>
      </c>
      <c r="O1379" s="281">
        <v>0</v>
      </c>
      <c r="P1379" s="281">
        <f t="shared" si="269"/>
        <v>0</v>
      </c>
      <c r="Q1379" s="281">
        <f t="shared" si="269"/>
        <v>0</v>
      </c>
      <c r="R1379" s="281">
        <f t="shared" si="269"/>
        <v>0</v>
      </c>
      <c r="S1379" s="281">
        <f t="shared" si="269"/>
        <v>0</v>
      </c>
    </row>
    <row r="1380" spans="6:19" x14ac:dyDescent="0.25">
      <c r="F1380" t="s">
        <v>928</v>
      </c>
      <c r="G1380" t="s">
        <v>120</v>
      </c>
      <c r="H1380" t="s">
        <v>480</v>
      </c>
      <c r="J1380" s="197">
        <f t="shared" si="268"/>
        <v>0</v>
      </c>
      <c r="K1380" s="198"/>
      <c r="L1380" s="281"/>
      <c r="M1380" s="281">
        <v>0</v>
      </c>
      <c r="N1380" s="281">
        <v>0</v>
      </c>
      <c r="O1380" s="281">
        <v>0</v>
      </c>
      <c r="P1380" s="281">
        <f t="shared" si="269"/>
        <v>0</v>
      </c>
      <c r="Q1380" s="281">
        <f t="shared" si="269"/>
        <v>0</v>
      </c>
      <c r="R1380" s="281">
        <f t="shared" si="269"/>
        <v>0</v>
      </c>
      <c r="S1380" s="281">
        <f t="shared" si="269"/>
        <v>0</v>
      </c>
    </row>
    <row r="1381" spans="6:19" x14ac:dyDescent="0.25">
      <c r="F1381" t="s">
        <v>929</v>
      </c>
      <c r="G1381" t="s">
        <v>120</v>
      </c>
      <c r="H1381" t="s">
        <v>480</v>
      </c>
      <c r="J1381" s="197">
        <f t="shared" si="268"/>
        <v>0</v>
      </c>
      <c r="K1381" s="198"/>
      <c r="L1381" s="281"/>
      <c r="M1381" s="281">
        <v>0</v>
      </c>
      <c r="N1381" s="281">
        <v>0</v>
      </c>
      <c r="O1381" s="281">
        <v>0</v>
      </c>
      <c r="P1381" s="281">
        <f t="shared" si="269"/>
        <v>0</v>
      </c>
      <c r="Q1381" s="281">
        <f t="shared" si="269"/>
        <v>0</v>
      </c>
      <c r="R1381" s="281">
        <f t="shared" si="269"/>
        <v>0</v>
      </c>
      <c r="S1381" s="281">
        <f t="shared" si="269"/>
        <v>0</v>
      </c>
    </row>
    <row r="1382" spans="6:19" x14ac:dyDescent="0.25">
      <c r="F1382" t="s">
        <v>930</v>
      </c>
      <c r="G1382" t="s">
        <v>120</v>
      </c>
      <c r="H1382" t="s">
        <v>480</v>
      </c>
      <c r="J1382" s="197">
        <f t="shared" si="268"/>
        <v>0</v>
      </c>
      <c r="K1382" s="198"/>
      <c r="L1382" s="281"/>
      <c r="M1382" s="281">
        <v>0</v>
      </c>
      <c r="N1382" s="281">
        <v>0</v>
      </c>
      <c r="O1382" s="281">
        <v>0</v>
      </c>
      <c r="P1382" s="281">
        <f t="shared" si="269"/>
        <v>0</v>
      </c>
      <c r="Q1382" s="281">
        <f t="shared" si="269"/>
        <v>0</v>
      </c>
      <c r="R1382" s="281">
        <f t="shared" si="269"/>
        <v>0</v>
      </c>
      <c r="S1382" s="281">
        <f t="shared" si="269"/>
        <v>0</v>
      </c>
    </row>
    <row r="1383" spans="6:19" x14ac:dyDescent="0.25">
      <c r="F1383" t="s">
        <v>931</v>
      </c>
      <c r="G1383" t="s">
        <v>120</v>
      </c>
      <c r="H1383" t="s">
        <v>480</v>
      </c>
      <c r="J1383" s="197">
        <f t="shared" si="268"/>
        <v>0</v>
      </c>
      <c r="K1383" s="198"/>
      <c r="L1383" s="281"/>
      <c r="M1383" s="281">
        <v>0</v>
      </c>
      <c r="N1383" s="281">
        <v>0</v>
      </c>
      <c r="O1383" s="281">
        <v>0</v>
      </c>
      <c r="P1383" s="281">
        <f t="shared" si="269"/>
        <v>0</v>
      </c>
      <c r="Q1383" s="281">
        <f t="shared" si="269"/>
        <v>0</v>
      </c>
      <c r="R1383" s="281">
        <f t="shared" si="269"/>
        <v>0</v>
      </c>
      <c r="S1383" s="281">
        <f t="shared" si="269"/>
        <v>0</v>
      </c>
    </row>
    <row r="1384" spans="6:19" x14ac:dyDescent="0.25">
      <c r="F1384" t="s">
        <v>932</v>
      </c>
      <c r="G1384" t="s">
        <v>120</v>
      </c>
      <c r="H1384" t="s">
        <v>480</v>
      </c>
      <c r="J1384" s="202"/>
      <c r="K1384" s="198"/>
      <c r="L1384" s="202"/>
      <c r="M1384" s="202"/>
      <c r="N1384" s="202"/>
      <c r="O1384" s="202"/>
      <c r="P1384" s="202"/>
      <c r="Q1384" s="202"/>
      <c r="R1384" s="202"/>
      <c r="S1384" s="202"/>
    </row>
    <row r="1385" spans="6:19" x14ac:dyDescent="0.25">
      <c r="F1385" t="s">
        <v>933</v>
      </c>
      <c r="G1385" t="s">
        <v>120</v>
      </c>
      <c r="H1385" t="s">
        <v>480</v>
      </c>
      <c r="J1385" s="197">
        <f t="shared" ref="J1385:J1387" si="270">CHOOSE(year_selection, L1385,M1385,N1385,O1385,P1385,Q1385,R1385,S1385)</f>
        <v>914.25899999999979</v>
      </c>
      <c r="K1385" s="198"/>
      <c r="L1385" s="281"/>
      <c r="M1385" s="281">
        <v>114.33090938385509</v>
      </c>
      <c r="N1385" s="281">
        <v>428.45004781210952</v>
      </c>
      <c r="O1385" s="281">
        <v>914.25899999999979</v>
      </c>
      <c r="P1385" s="281">
        <f t="shared" ref="P1385:S1387" si="271">$O1385</f>
        <v>914.25899999999979</v>
      </c>
      <c r="Q1385" s="281">
        <f t="shared" si="271"/>
        <v>914.25899999999979</v>
      </c>
      <c r="R1385" s="281">
        <f t="shared" si="271"/>
        <v>914.25899999999979</v>
      </c>
      <c r="S1385" s="281">
        <f t="shared" si="271"/>
        <v>914.25899999999979</v>
      </c>
    </row>
    <row r="1386" spans="6:19" x14ac:dyDescent="0.25">
      <c r="F1386" t="s">
        <v>934</v>
      </c>
      <c r="G1386" t="s">
        <v>120</v>
      </c>
      <c r="H1386" t="s">
        <v>480</v>
      </c>
      <c r="J1386" s="197">
        <f t="shared" si="270"/>
        <v>13.100000000000001</v>
      </c>
      <c r="K1386" s="198"/>
      <c r="L1386" s="281"/>
      <c r="M1386" s="281">
        <v>0</v>
      </c>
      <c r="N1386" s="281">
        <v>0</v>
      </c>
      <c r="O1386" s="281">
        <v>13.100000000000001</v>
      </c>
      <c r="P1386" s="281">
        <f t="shared" si="271"/>
        <v>13.100000000000001</v>
      </c>
      <c r="Q1386" s="281">
        <f t="shared" si="271"/>
        <v>13.100000000000001</v>
      </c>
      <c r="R1386" s="281">
        <f t="shared" si="271"/>
        <v>13.100000000000001</v>
      </c>
      <c r="S1386" s="281">
        <f t="shared" si="271"/>
        <v>13.100000000000001</v>
      </c>
    </row>
    <row r="1387" spans="6:19" x14ac:dyDescent="0.25">
      <c r="F1387" t="s">
        <v>935</v>
      </c>
      <c r="G1387" t="s">
        <v>120</v>
      </c>
      <c r="H1387" t="s">
        <v>480</v>
      </c>
      <c r="J1387" s="197">
        <f t="shared" si="270"/>
        <v>0</v>
      </c>
      <c r="K1387" s="198"/>
      <c r="L1387" s="281"/>
      <c r="M1387" s="281">
        <v>0</v>
      </c>
      <c r="N1387" s="281">
        <v>0</v>
      </c>
      <c r="O1387" s="281">
        <v>0</v>
      </c>
      <c r="P1387" s="281">
        <f t="shared" si="271"/>
        <v>0</v>
      </c>
      <c r="Q1387" s="281">
        <f t="shared" si="271"/>
        <v>0</v>
      </c>
      <c r="R1387" s="281">
        <f t="shared" si="271"/>
        <v>0</v>
      </c>
      <c r="S1387" s="281">
        <f t="shared" si="271"/>
        <v>0</v>
      </c>
    </row>
    <row r="1388" spans="6:19" x14ac:dyDescent="0.25">
      <c r="F1388" t="s">
        <v>936</v>
      </c>
      <c r="G1388" t="s">
        <v>120</v>
      </c>
      <c r="H1388" t="s">
        <v>480</v>
      </c>
      <c r="J1388" s="202"/>
      <c r="K1388" s="198"/>
      <c r="L1388" s="202"/>
      <c r="M1388" s="202"/>
      <c r="N1388" s="202"/>
      <c r="O1388" s="202"/>
      <c r="P1388" s="202"/>
      <c r="Q1388" s="202"/>
      <c r="R1388" s="202"/>
      <c r="S1388" s="202"/>
    </row>
    <row r="1389" spans="6:19" x14ac:dyDescent="0.25">
      <c r="F1389" t="s">
        <v>937</v>
      </c>
      <c r="G1389" t="s">
        <v>120</v>
      </c>
      <c r="H1389" t="s">
        <v>480</v>
      </c>
      <c r="J1389" s="197">
        <f t="shared" ref="J1389" si="272">CHOOSE(year_selection, L1389,M1389,N1389,O1389,P1389,Q1389,R1389,S1389)</f>
        <v>0</v>
      </c>
      <c r="K1389" s="198"/>
      <c r="L1389" s="281"/>
      <c r="M1389" s="281">
        <v>0</v>
      </c>
      <c r="N1389" s="281">
        <v>0</v>
      </c>
      <c r="O1389" s="281">
        <v>0</v>
      </c>
      <c r="P1389" s="281">
        <f t="shared" ref="P1389:S1389" si="273">$O1389</f>
        <v>0</v>
      </c>
      <c r="Q1389" s="281">
        <f t="shared" si="273"/>
        <v>0</v>
      </c>
      <c r="R1389" s="281">
        <f t="shared" si="273"/>
        <v>0</v>
      </c>
      <c r="S1389" s="281">
        <f t="shared" si="273"/>
        <v>0</v>
      </c>
    </row>
    <row r="1390" spans="6:19" x14ac:dyDescent="0.25">
      <c r="F1390" t="s">
        <v>938</v>
      </c>
      <c r="G1390" t="s">
        <v>120</v>
      </c>
      <c r="H1390" t="s">
        <v>480</v>
      </c>
      <c r="J1390" s="202"/>
      <c r="K1390" s="198"/>
      <c r="L1390" s="202"/>
      <c r="M1390" s="202"/>
      <c r="N1390" s="202"/>
      <c r="O1390" s="202"/>
      <c r="P1390" s="202"/>
      <c r="Q1390" s="202"/>
      <c r="R1390" s="202"/>
      <c r="S1390" s="202"/>
    </row>
    <row r="1391" spans="6:19" x14ac:dyDescent="0.25">
      <c r="F1391" t="s">
        <v>939</v>
      </c>
      <c r="G1391" t="s">
        <v>120</v>
      </c>
      <c r="H1391" t="s">
        <v>480</v>
      </c>
      <c r="J1391" s="197">
        <f t="shared" ref="J1391" si="274">CHOOSE(year_selection, L1391,M1391,N1391,O1391,P1391,Q1391,R1391,S1391)</f>
        <v>0</v>
      </c>
      <c r="K1391" s="198"/>
      <c r="L1391" s="281"/>
      <c r="M1391" s="281">
        <v>0</v>
      </c>
      <c r="N1391" s="281">
        <v>0</v>
      </c>
      <c r="O1391" s="281">
        <v>0</v>
      </c>
      <c r="P1391" s="281">
        <f t="shared" ref="P1391:S1391" si="275">$O1391</f>
        <v>0</v>
      </c>
      <c r="Q1391" s="281">
        <f t="shared" si="275"/>
        <v>0</v>
      </c>
      <c r="R1391" s="281">
        <f t="shared" si="275"/>
        <v>0</v>
      </c>
      <c r="S1391" s="281">
        <f t="shared" si="275"/>
        <v>0</v>
      </c>
    </row>
    <row r="1392" spans="6:19" x14ac:dyDescent="0.25">
      <c r="F1392" s="17" t="s">
        <v>940</v>
      </c>
      <c r="G1392" s="17" t="s">
        <v>120</v>
      </c>
      <c r="H1392" s="17" t="s">
        <v>480</v>
      </c>
      <c r="I1392" s="122"/>
      <c r="J1392" s="203"/>
      <c r="K1392" s="200"/>
      <c r="L1392" s="203"/>
      <c r="M1392" s="203"/>
      <c r="N1392" s="203"/>
      <c r="O1392" s="203"/>
      <c r="P1392" s="203"/>
      <c r="Q1392" s="203"/>
      <c r="R1392" s="203"/>
      <c r="S1392" s="203"/>
    </row>
    <row r="1393" spans="5:19" x14ac:dyDescent="0.25">
      <c r="J1393" s="198"/>
      <c r="K1393" s="198"/>
      <c r="L1393" s="198"/>
      <c r="M1393" s="198"/>
      <c r="N1393" s="198"/>
      <c r="O1393" s="198"/>
      <c r="P1393" s="198"/>
      <c r="Q1393" s="198"/>
      <c r="R1393" s="198"/>
      <c r="S1393" s="198"/>
    </row>
    <row r="1394" spans="5:19" x14ac:dyDescent="0.25">
      <c r="E1394" s="121" t="s">
        <v>74</v>
      </c>
      <c r="J1394" s="198"/>
      <c r="K1394" s="198"/>
      <c r="L1394" s="198"/>
      <c r="M1394" s="198"/>
      <c r="N1394" s="198"/>
      <c r="O1394" s="198"/>
      <c r="P1394" s="198"/>
      <c r="Q1394" s="198"/>
      <c r="R1394" s="198"/>
      <c r="S1394" s="198"/>
    </row>
    <row r="1395" spans="5:19" x14ac:dyDescent="0.25">
      <c r="F1395" s="80" t="s">
        <v>925</v>
      </c>
      <c r="G1395" s="80" t="s">
        <v>74</v>
      </c>
      <c r="H1395" s="80" t="s">
        <v>480</v>
      </c>
      <c r="I1395" s="94"/>
      <c r="J1395" s="201"/>
      <c r="K1395" s="196"/>
      <c r="L1395" s="201"/>
      <c r="M1395" s="201"/>
      <c r="N1395" s="201"/>
      <c r="O1395" s="201"/>
      <c r="P1395" s="201"/>
      <c r="Q1395" s="201"/>
      <c r="R1395" s="201"/>
      <c r="S1395" s="201"/>
    </row>
    <row r="1396" spans="5:19" x14ac:dyDescent="0.25">
      <c r="F1396" t="s">
        <v>926</v>
      </c>
      <c r="G1396" t="s">
        <v>74</v>
      </c>
      <c r="H1396" t="s">
        <v>480</v>
      </c>
      <c r="J1396" s="197">
        <f t="shared" ref="J1396:J1401" si="276">CHOOSE(year_selection, L1396,M1396,N1396,O1396,P1396,Q1396,R1396,S1396)</f>
        <v>70</v>
      </c>
      <c r="K1396" s="198"/>
      <c r="L1396" s="281"/>
      <c r="M1396" s="281">
        <v>71</v>
      </c>
      <c r="N1396" s="281">
        <v>70</v>
      </c>
      <c r="O1396" s="281">
        <v>70</v>
      </c>
      <c r="P1396" s="281">
        <f t="shared" ref="P1396:S1401" si="277">$O1396</f>
        <v>70</v>
      </c>
      <c r="Q1396" s="281">
        <f t="shared" si="277"/>
        <v>70</v>
      </c>
      <c r="R1396" s="281">
        <f t="shared" si="277"/>
        <v>70</v>
      </c>
      <c r="S1396" s="281">
        <f t="shared" si="277"/>
        <v>70</v>
      </c>
    </row>
    <row r="1397" spans="5:19" x14ac:dyDescent="0.25">
      <c r="F1397" t="s">
        <v>927</v>
      </c>
      <c r="G1397" t="s">
        <v>74</v>
      </c>
      <c r="H1397" t="s">
        <v>480</v>
      </c>
      <c r="J1397" s="197">
        <f t="shared" si="276"/>
        <v>0</v>
      </c>
      <c r="K1397" s="198"/>
      <c r="L1397" s="281"/>
      <c r="M1397" s="281">
        <v>0</v>
      </c>
      <c r="N1397" s="281">
        <v>1</v>
      </c>
      <c r="O1397" s="281">
        <v>0</v>
      </c>
      <c r="P1397" s="281">
        <f t="shared" si="277"/>
        <v>0</v>
      </c>
      <c r="Q1397" s="281">
        <f t="shared" si="277"/>
        <v>0</v>
      </c>
      <c r="R1397" s="281">
        <f t="shared" si="277"/>
        <v>0</v>
      </c>
      <c r="S1397" s="281">
        <f t="shared" si="277"/>
        <v>0</v>
      </c>
    </row>
    <row r="1398" spans="5:19" x14ac:dyDescent="0.25">
      <c r="F1398" t="s">
        <v>928</v>
      </c>
      <c r="G1398" t="s">
        <v>74</v>
      </c>
      <c r="H1398" t="s">
        <v>480</v>
      </c>
      <c r="J1398" s="197">
        <f t="shared" si="276"/>
        <v>0</v>
      </c>
      <c r="K1398" s="198"/>
      <c r="L1398" s="281"/>
      <c r="M1398" s="281">
        <v>0</v>
      </c>
      <c r="N1398" s="281">
        <v>0</v>
      </c>
      <c r="O1398" s="281">
        <v>0</v>
      </c>
      <c r="P1398" s="281">
        <f t="shared" si="277"/>
        <v>0</v>
      </c>
      <c r="Q1398" s="281">
        <f t="shared" si="277"/>
        <v>0</v>
      </c>
      <c r="R1398" s="281">
        <f t="shared" si="277"/>
        <v>0</v>
      </c>
      <c r="S1398" s="281">
        <f t="shared" si="277"/>
        <v>0</v>
      </c>
    </row>
    <row r="1399" spans="5:19" x14ac:dyDescent="0.25">
      <c r="F1399" t="s">
        <v>929</v>
      </c>
      <c r="G1399" t="s">
        <v>74</v>
      </c>
      <c r="H1399" t="s">
        <v>480</v>
      </c>
      <c r="J1399" s="197">
        <f t="shared" si="276"/>
        <v>0</v>
      </c>
      <c r="K1399" s="198"/>
      <c r="L1399" s="281"/>
      <c r="M1399" s="281">
        <v>0</v>
      </c>
      <c r="N1399" s="281">
        <v>0</v>
      </c>
      <c r="O1399" s="281">
        <v>0</v>
      </c>
      <c r="P1399" s="281">
        <f t="shared" si="277"/>
        <v>0</v>
      </c>
      <c r="Q1399" s="281">
        <f t="shared" si="277"/>
        <v>0</v>
      </c>
      <c r="R1399" s="281">
        <f t="shared" si="277"/>
        <v>0</v>
      </c>
      <c r="S1399" s="281">
        <f t="shared" si="277"/>
        <v>0</v>
      </c>
    </row>
    <row r="1400" spans="5:19" x14ac:dyDescent="0.25">
      <c r="F1400" t="s">
        <v>930</v>
      </c>
      <c r="G1400" t="s">
        <v>74</v>
      </c>
      <c r="H1400" t="s">
        <v>480</v>
      </c>
      <c r="J1400" s="197">
        <f t="shared" si="276"/>
        <v>0</v>
      </c>
      <c r="K1400" s="198"/>
      <c r="L1400" s="281"/>
      <c r="M1400" s="281">
        <v>0</v>
      </c>
      <c r="N1400" s="281">
        <v>0</v>
      </c>
      <c r="O1400" s="281">
        <v>0</v>
      </c>
      <c r="P1400" s="281">
        <f t="shared" si="277"/>
        <v>0</v>
      </c>
      <c r="Q1400" s="281">
        <f t="shared" si="277"/>
        <v>0</v>
      </c>
      <c r="R1400" s="281">
        <f t="shared" si="277"/>
        <v>0</v>
      </c>
      <c r="S1400" s="281">
        <f t="shared" si="277"/>
        <v>0</v>
      </c>
    </row>
    <row r="1401" spans="5:19" x14ac:dyDescent="0.25">
      <c r="F1401" t="s">
        <v>931</v>
      </c>
      <c r="G1401" t="s">
        <v>74</v>
      </c>
      <c r="H1401" t="s">
        <v>480</v>
      </c>
      <c r="J1401" s="197">
        <f t="shared" si="276"/>
        <v>0</v>
      </c>
      <c r="K1401" s="198"/>
      <c r="L1401" s="281"/>
      <c r="M1401" s="281">
        <v>0</v>
      </c>
      <c r="N1401" s="281">
        <v>0</v>
      </c>
      <c r="O1401" s="281">
        <v>0</v>
      </c>
      <c r="P1401" s="281">
        <f t="shared" si="277"/>
        <v>0</v>
      </c>
      <c r="Q1401" s="281">
        <f t="shared" si="277"/>
        <v>0</v>
      </c>
      <c r="R1401" s="281">
        <f t="shared" si="277"/>
        <v>0</v>
      </c>
      <c r="S1401" s="281">
        <f t="shared" si="277"/>
        <v>0</v>
      </c>
    </row>
    <row r="1402" spans="5:19" x14ac:dyDescent="0.25">
      <c r="F1402" t="s">
        <v>932</v>
      </c>
      <c r="G1402" t="s">
        <v>74</v>
      </c>
      <c r="H1402" t="s">
        <v>480</v>
      </c>
      <c r="J1402" s="202"/>
      <c r="K1402" s="198"/>
      <c r="L1402" s="202"/>
      <c r="M1402" s="202"/>
      <c r="N1402" s="202"/>
      <c r="O1402" s="202"/>
      <c r="P1402" s="202"/>
      <c r="Q1402" s="202"/>
      <c r="R1402" s="202"/>
      <c r="S1402" s="202"/>
    </row>
    <row r="1403" spans="5:19" x14ac:dyDescent="0.25">
      <c r="F1403" t="s">
        <v>933</v>
      </c>
      <c r="G1403" t="s">
        <v>74</v>
      </c>
      <c r="H1403" t="s">
        <v>480</v>
      </c>
      <c r="J1403" s="197">
        <f t="shared" ref="J1403:J1405" si="278">CHOOSE(year_selection, L1403,M1403,N1403,O1403,P1403,Q1403,R1403,S1403)</f>
        <v>521</v>
      </c>
      <c r="K1403" s="198"/>
      <c r="L1403" s="281"/>
      <c r="M1403" s="281">
        <v>32</v>
      </c>
      <c r="N1403" s="281">
        <v>93</v>
      </c>
      <c r="O1403" s="281">
        <v>521</v>
      </c>
      <c r="P1403" s="281">
        <f t="shared" ref="P1403:S1405" si="279">$O1403</f>
        <v>521</v>
      </c>
      <c r="Q1403" s="281">
        <f t="shared" si="279"/>
        <v>521</v>
      </c>
      <c r="R1403" s="281">
        <f t="shared" si="279"/>
        <v>521</v>
      </c>
      <c r="S1403" s="281">
        <f t="shared" si="279"/>
        <v>521</v>
      </c>
    </row>
    <row r="1404" spans="5:19" x14ac:dyDescent="0.25">
      <c r="F1404" t="s">
        <v>934</v>
      </c>
      <c r="G1404" t="s">
        <v>74</v>
      </c>
      <c r="H1404" t="s">
        <v>480</v>
      </c>
      <c r="J1404" s="197">
        <f t="shared" si="278"/>
        <v>1</v>
      </c>
      <c r="K1404" s="198"/>
      <c r="L1404" s="281"/>
      <c r="M1404" s="281">
        <v>0</v>
      </c>
      <c r="N1404" s="281">
        <v>0</v>
      </c>
      <c r="O1404" s="281">
        <v>1</v>
      </c>
      <c r="P1404" s="281">
        <f t="shared" si="279"/>
        <v>1</v>
      </c>
      <c r="Q1404" s="281">
        <f t="shared" si="279"/>
        <v>1</v>
      </c>
      <c r="R1404" s="281">
        <f t="shared" si="279"/>
        <v>1</v>
      </c>
      <c r="S1404" s="281">
        <f t="shared" si="279"/>
        <v>1</v>
      </c>
    </row>
    <row r="1405" spans="5:19" x14ac:dyDescent="0.25">
      <c r="F1405" t="s">
        <v>935</v>
      </c>
      <c r="G1405" t="s">
        <v>74</v>
      </c>
      <c r="H1405" t="s">
        <v>480</v>
      </c>
      <c r="J1405" s="197">
        <f t="shared" si="278"/>
        <v>0</v>
      </c>
      <c r="K1405" s="198"/>
      <c r="L1405" s="281"/>
      <c r="M1405" s="281">
        <v>0</v>
      </c>
      <c r="N1405" s="281">
        <v>0</v>
      </c>
      <c r="O1405" s="281">
        <v>0</v>
      </c>
      <c r="P1405" s="281">
        <f t="shared" si="279"/>
        <v>0</v>
      </c>
      <c r="Q1405" s="281">
        <f t="shared" si="279"/>
        <v>0</v>
      </c>
      <c r="R1405" s="281">
        <f t="shared" si="279"/>
        <v>0</v>
      </c>
      <c r="S1405" s="281">
        <f t="shared" si="279"/>
        <v>0</v>
      </c>
    </row>
    <row r="1406" spans="5:19" x14ac:dyDescent="0.25">
      <c r="F1406" t="s">
        <v>936</v>
      </c>
      <c r="G1406" t="s">
        <v>74</v>
      </c>
      <c r="H1406" t="s">
        <v>480</v>
      </c>
      <c r="J1406" s="202"/>
      <c r="K1406" s="198"/>
      <c r="L1406" s="202"/>
      <c r="M1406" s="202"/>
      <c r="N1406" s="202"/>
      <c r="O1406" s="202"/>
      <c r="P1406" s="202"/>
      <c r="Q1406" s="202"/>
      <c r="R1406" s="202"/>
      <c r="S1406" s="202"/>
    </row>
    <row r="1407" spans="5:19" x14ac:dyDescent="0.25">
      <c r="F1407" t="s">
        <v>937</v>
      </c>
      <c r="G1407" t="s">
        <v>74</v>
      </c>
      <c r="H1407" t="s">
        <v>480</v>
      </c>
      <c r="J1407" s="197">
        <f t="shared" ref="J1407" si="280">CHOOSE(year_selection, L1407,M1407,N1407,O1407,P1407,Q1407,R1407,S1407)</f>
        <v>0</v>
      </c>
      <c r="K1407" s="198"/>
      <c r="L1407" s="281"/>
      <c r="M1407" s="281">
        <v>0</v>
      </c>
      <c r="N1407" s="281">
        <v>0</v>
      </c>
      <c r="O1407" s="281">
        <v>0</v>
      </c>
      <c r="P1407" s="281">
        <f t="shared" ref="P1407:S1407" si="281">$O1407</f>
        <v>0</v>
      </c>
      <c r="Q1407" s="281">
        <f t="shared" si="281"/>
        <v>0</v>
      </c>
      <c r="R1407" s="281">
        <f t="shared" si="281"/>
        <v>0</v>
      </c>
      <c r="S1407" s="281">
        <f t="shared" si="281"/>
        <v>0</v>
      </c>
    </row>
    <row r="1408" spans="5:19" x14ac:dyDescent="0.25">
      <c r="F1408" t="s">
        <v>938</v>
      </c>
      <c r="G1408" t="s">
        <v>74</v>
      </c>
      <c r="H1408" t="s">
        <v>480</v>
      </c>
      <c r="J1408" s="202"/>
      <c r="K1408" s="198"/>
      <c r="L1408" s="202"/>
      <c r="M1408" s="202"/>
      <c r="N1408" s="202"/>
      <c r="O1408" s="202"/>
      <c r="P1408" s="202"/>
      <c r="Q1408" s="202"/>
      <c r="R1408" s="202"/>
      <c r="S1408" s="202"/>
    </row>
    <row r="1409" spans="5:19" x14ac:dyDescent="0.25">
      <c r="F1409" t="s">
        <v>939</v>
      </c>
      <c r="G1409" t="s">
        <v>74</v>
      </c>
      <c r="H1409" t="s">
        <v>480</v>
      </c>
      <c r="J1409" s="197">
        <f t="shared" ref="J1409" si="282">CHOOSE(year_selection, L1409,M1409,N1409,O1409,P1409,Q1409,R1409,S1409)</f>
        <v>0</v>
      </c>
      <c r="K1409" s="198"/>
      <c r="L1409" s="281"/>
      <c r="M1409" s="281">
        <v>0</v>
      </c>
      <c r="N1409" s="281">
        <v>0</v>
      </c>
      <c r="O1409" s="281">
        <v>0</v>
      </c>
      <c r="P1409" s="281">
        <f t="shared" ref="P1409:S1409" si="283">$O1409</f>
        <v>0</v>
      </c>
      <c r="Q1409" s="281">
        <f t="shared" si="283"/>
        <v>0</v>
      </c>
      <c r="R1409" s="281">
        <f t="shared" si="283"/>
        <v>0</v>
      </c>
      <c r="S1409" s="281">
        <f t="shared" si="283"/>
        <v>0</v>
      </c>
    </row>
    <row r="1410" spans="5:19" x14ac:dyDescent="0.25">
      <c r="F1410" s="17" t="s">
        <v>940</v>
      </c>
      <c r="G1410" s="17" t="s">
        <v>74</v>
      </c>
      <c r="H1410" s="17" t="s">
        <v>480</v>
      </c>
      <c r="I1410" s="122"/>
      <c r="J1410" s="203"/>
      <c r="K1410" s="200"/>
      <c r="L1410" s="203"/>
      <c r="M1410" s="203"/>
      <c r="N1410" s="203"/>
      <c r="O1410" s="203"/>
      <c r="P1410" s="203"/>
      <c r="Q1410" s="203"/>
      <c r="R1410" s="203"/>
      <c r="S1410" s="203"/>
    </row>
    <row r="1411" spans="5:19" x14ac:dyDescent="0.25">
      <c r="J1411" s="198"/>
      <c r="K1411" s="198"/>
      <c r="L1411" s="198"/>
      <c r="M1411" s="198"/>
      <c r="N1411" s="198"/>
      <c r="O1411" s="198"/>
      <c r="P1411" s="198"/>
      <c r="Q1411" s="198"/>
      <c r="R1411" s="198"/>
      <c r="S1411" s="198"/>
    </row>
    <row r="1412" spans="5:19" x14ac:dyDescent="0.25">
      <c r="E1412" s="121" t="s">
        <v>202</v>
      </c>
      <c r="J1412" s="198"/>
      <c r="K1412" s="198"/>
      <c r="L1412" s="198"/>
      <c r="M1412" s="198"/>
      <c r="N1412" s="198"/>
      <c r="O1412" s="198"/>
      <c r="P1412" s="198"/>
      <c r="Q1412" s="198"/>
      <c r="R1412" s="198"/>
      <c r="S1412" s="198"/>
    </row>
    <row r="1413" spans="5:19" x14ac:dyDescent="0.25">
      <c r="F1413" s="80" t="s">
        <v>925</v>
      </c>
      <c r="G1413" s="80" t="s">
        <v>169</v>
      </c>
      <c r="H1413" s="80" t="s">
        <v>480</v>
      </c>
      <c r="I1413" s="94"/>
      <c r="J1413" s="201"/>
      <c r="K1413" s="196"/>
      <c r="L1413" s="201"/>
      <c r="M1413" s="201"/>
      <c r="N1413" s="201"/>
      <c r="O1413" s="201"/>
      <c r="P1413" s="201"/>
      <c r="Q1413" s="201"/>
      <c r="R1413" s="201"/>
      <c r="S1413" s="201"/>
    </row>
    <row r="1414" spans="5:19" x14ac:dyDescent="0.25">
      <c r="F1414" t="s">
        <v>926</v>
      </c>
      <c r="G1414" t="s">
        <v>169</v>
      </c>
      <c r="H1414" t="s">
        <v>480</v>
      </c>
      <c r="J1414" s="202"/>
      <c r="K1414" s="198"/>
      <c r="L1414" s="202"/>
      <c r="M1414" s="202"/>
      <c r="N1414" s="202"/>
      <c r="O1414" s="202"/>
      <c r="P1414" s="202"/>
      <c r="Q1414" s="202"/>
      <c r="R1414" s="202"/>
      <c r="S1414" s="202"/>
    </row>
    <row r="1415" spans="5:19" x14ac:dyDescent="0.25">
      <c r="F1415" t="s">
        <v>927</v>
      </c>
      <c r="G1415" t="s">
        <v>169</v>
      </c>
      <c r="H1415" t="s">
        <v>480</v>
      </c>
      <c r="J1415" s="202"/>
      <c r="K1415" s="198"/>
      <c r="L1415" s="202"/>
      <c r="M1415" s="202"/>
      <c r="N1415" s="202"/>
      <c r="O1415" s="202"/>
      <c r="P1415" s="202"/>
      <c r="Q1415" s="202"/>
      <c r="R1415" s="202"/>
      <c r="S1415" s="202"/>
    </row>
    <row r="1416" spans="5:19" x14ac:dyDescent="0.25">
      <c r="F1416" t="s">
        <v>928</v>
      </c>
      <c r="G1416" t="s">
        <v>169</v>
      </c>
      <c r="H1416" t="s">
        <v>480</v>
      </c>
      <c r="J1416" s="202"/>
      <c r="K1416" s="198"/>
      <c r="L1416" s="202"/>
      <c r="M1416" s="202"/>
      <c r="N1416" s="202"/>
      <c r="O1416" s="202"/>
      <c r="P1416" s="202"/>
      <c r="Q1416" s="202"/>
      <c r="R1416" s="202"/>
      <c r="S1416" s="202"/>
    </row>
    <row r="1417" spans="5:19" x14ac:dyDescent="0.25">
      <c r="F1417" t="s">
        <v>929</v>
      </c>
      <c r="G1417" t="s">
        <v>169</v>
      </c>
      <c r="H1417" t="s">
        <v>480</v>
      </c>
      <c r="J1417" s="197">
        <f t="shared" ref="J1417:J1419" si="284">CHOOSE(year_selection, L1417,M1417,N1417,O1417,P1417,Q1417,R1417,S1417)</f>
        <v>0</v>
      </c>
      <c r="K1417" s="198"/>
      <c r="L1417" s="281"/>
      <c r="M1417" s="281">
        <v>0</v>
      </c>
      <c r="N1417" s="281">
        <v>0</v>
      </c>
      <c r="O1417" s="281">
        <v>0</v>
      </c>
      <c r="P1417" s="281">
        <f t="shared" ref="P1417:S1419" si="285">$O1417</f>
        <v>0</v>
      </c>
      <c r="Q1417" s="281">
        <f t="shared" si="285"/>
        <v>0</v>
      </c>
      <c r="R1417" s="281">
        <f t="shared" si="285"/>
        <v>0</v>
      </c>
      <c r="S1417" s="281">
        <f t="shared" si="285"/>
        <v>0</v>
      </c>
    </row>
    <row r="1418" spans="5:19" x14ac:dyDescent="0.25">
      <c r="F1418" t="s">
        <v>930</v>
      </c>
      <c r="G1418" t="s">
        <v>169</v>
      </c>
      <c r="H1418" t="s">
        <v>480</v>
      </c>
      <c r="J1418" s="197">
        <f t="shared" si="284"/>
        <v>0</v>
      </c>
      <c r="K1418" s="198"/>
      <c r="L1418" s="281"/>
      <c r="M1418" s="281">
        <v>0</v>
      </c>
      <c r="N1418" s="281">
        <v>0</v>
      </c>
      <c r="O1418" s="281">
        <v>0</v>
      </c>
      <c r="P1418" s="281">
        <f t="shared" si="285"/>
        <v>0</v>
      </c>
      <c r="Q1418" s="281">
        <f t="shared" si="285"/>
        <v>0</v>
      </c>
      <c r="R1418" s="281">
        <f t="shared" si="285"/>
        <v>0</v>
      </c>
      <c r="S1418" s="281">
        <f t="shared" si="285"/>
        <v>0</v>
      </c>
    </row>
    <row r="1419" spans="5:19" x14ac:dyDescent="0.25">
      <c r="F1419" t="s">
        <v>931</v>
      </c>
      <c r="G1419" t="s">
        <v>169</v>
      </c>
      <c r="H1419" t="s">
        <v>480</v>
      </c>
      <c r="J1419" s="197">
        <f t="shared" si="284"/>
        <v>0</v>
      </c>
      <c r="K1419" s="198"/>
      <c r="L1419" s="281"/>
      <c r="M1419" s="281">
        <v>0</v>
      </c>
      <c r="N1419" s="281">
        <v>0</v>
      </c>
      <c r="O1419" s="281">
        <v>0</v>
      </c>
      <c r="P1419" s="281">
        <f t="shared" si="285"/>
        <v>0</v>
      </c>
      <c r="Q1419" s="281">
        <f t="shared" si="285"/>
        <v>0</v>
      </c>
      <c r="R1419" s="281">
        <f t="shared" si="285"/>
        <v>0</v>
      </c>
      <c r="S1419" s="281">
        <f t="shared" si="285"/>
        <v>0</v>
      </c>
    </row>
    <row r="1420" spans="5:19" x14ac:dyDescent="0.25">
      <c r="F1420" t="s">
        <v>932</v>
      </c>
      <c r="G1420" t="s">
        <v>169</v>
      </c>
      <c r="H1420" t="s">
        <v>480</v>
      </c>
      <c r="J1420" s="202"/>
      <c r="K1420" s="198"/>
      <c r="L1420" s="202"/>
      <c r="M1420" s="202"/>
      <c r="N1420" s="202"/>
      <c r="O1420" s="202"/>
      <c r="P1420" s="202"/>
      <c r="Q1420" s="202"/>
      <c r="R1420" s="202"/>
      <c r="S1420" s="202"/>
    </row>
    <row r="1421" spans="5:19" x14ac:dyDescent="0.25">
      <c r="F1421" t="s">
        <v>933</v>
      </c>
      <c r="G1421" t="s">
        <v>169</v>
      </c>
      <c r="H1421" t="s">
        <v>480</v>
      </c>
      <c r="J1421" s="202"/>
      <c r="K1421" s="198"/>
      <c r="L1421" s="202"/>
      <c r="M1421" s="202"/>
      <c r="N1421" s="202"/>
      <c r="O1421" s="202"/>
      <c r="P1421" s="202"/>
      <c r="Q1421" s="202"/>
      <c r="R1421" s="202"/>
      <c r="S1421" s="202"/>
    </row>
    <row r="1422" spans="5:19" x14ac:dyDescent="0.25">
      <c r="F1422" t="s">
        <v>934</v>
      </c>
      <c r="G1422" t="s">
        <v>169</v>
      </c>
      <c r="H1422" t="s">
        <v>480</v>
      </c>
      <c r="J1422" s="202"/>
      <c r="K1422" s="198"/>
      <c r="L1422" s="202"/>
      <c r="M1422" s="202"/>
      <c r="N1422" s="202"/>
      <c r="O1422" s="202"/>
      <c r="P1422" s="202"/>
      <c r="Q1422" s="202"/>
      <c r="R1422" s="202"/>
      <c r="S1422" s="202"/>
    </row>
    <row r="1423" spans="5:19" x14ac:dyDescent="0.25">
      <c r="F1423" t="s">
        <v>935</v>
      </c>
      <c r="G1423" t="s">
        <v>169</v>
      </c>
      <c r="H1423" t="s">
        <v>480</v>
      </c>
      <c r="J1423" s="202"/>
      <c r="K1423" s="198"/>
      <c r="L1423" s="202"/>
      <c r="M1423" s="202"/>
      <c r="N1423" s="202"/>
      <c r="O1423" s="202"/>
      <c r="P1423" s="202"/>
      <c r="Q1423" s="202"/>
      <c r="R1423" s="202"/>
      <c r="S1423" s="202"/>
    </row>
    <row r="1424" spans="5:19" x14ac:dyDescent="0.25">
      <c r="F1424" t="s">
        <v>936</v>
      </c>
      <c r="G1424" t="s">
        <v>169</v>
      </c>
      <c r="H1424" t="s">
        <v>480</v>
      </c>
      <c r="J1424" s="202"/>
      <c r="K1424" s="198"/>
      <c r="L1424" s="202"/>
      <c r="M1424" s="202"/>
      <c r="N1424" s="202"/>
      <c r="O1424" s="202"/>
      <c r="P1424" s="202"/>
      <c r="Q1424" s="202"/>
      <c r="R1424" s="202"/>
      <c r="S1424" s="202"/>
    </row>
    <row r="1425" spans="5:19" x14ac:dyDescent="0.25">
      <c r="F1425" t="s">
        <v>937</v>
      </c>
      <c r="G1425" t="s">
        <v>169</v>
      </c>
      <c r="H1425" t="s">
        <v>480</v>
      </c>
      <c r="J1425" s="202"/>
      <c r="K1425" s="198"/>
      <c r="L1425" s="202"/>
      <c r="M1425" s="202"/>
      <c r="N1425" s="202"/>
      <c r="O1425" s="202"/>
      <c r="P1425" s="202"/>
      <c r="Q1425" s="202"/>
      <c r="R1425" s="202"/>
      <c r="S1425" s="202"/>
    </row>
    <row r="1426" spans="5:19" x14ac:dyDescent="0.25">
      <c r="F1426" t="s">
        <v>938</v>
      </c>
      <c r="G1426" t="s">
        <v>169</v>
      </c>
      <c r="H1426" t="s">
        <v>480</v>
      </c>
      <c r="J1426" s="202"/>
      <c r="K1426" s="198"/>
      <c r="L1426" s="202"/>
      <c r="M1426" s="202"/>
      <c r="N1426" s="202"/>
      <c r="O1426" s="202"/>
      <c r="P1426" s="202"/>
      <c r="Q1426" s="202"/>
      <c r="R1426" s="202"/>
      <c r="S1426" s="202"/>
    </row>
    <row r="1427" spans="5:19" x14ac:dyDescent="0.25">
      <c r="F1427" t="s">
        <v>939</v>
      </c>
      <c r="G1427" t="s">
        <v>169</v>
      </c>
      <c r="H1427" t="s">
        <v>480</v>
      </c>
      <c r="J1427" s="202"/>
      <c r="K1427" s="198"/>
      <c r="L1427" s="202"/>
      <c r="M1427" s="202"/>
      <c r="N1427" s="202"/>
      <c r="O1427" s="202"/>
      <c r="P1427" s="202"/>
      <c r="Q1427" s="202"/>
      <c r="R1427" s="202"/>
      <c r="S1427" s="202"/>
    </row>
    <row r="1428" spans="5:19" x14ac:dyDescent="0.25">
      <c r="F1428" s="17" t="s">
        <v>940</v>
      </c>
      <c r="G1428" s="17" t="s">
        <v>169</v>
      </c>
      <c r="H1428" s="17" t="s">
        <v>480</v>
      </c>
      <c r="I1428" s="122"/>
      <c r="J1428" s="203"/>
      <c r="K1428" s="200"/>
      <c r="L1428" s="203"/>
      <c r="M1428" s="203"/>
      <c r="N1428" s="203"/>
      <c r="O1428" s="203"/>
      <c r="P1428" s="203"/>
      <c r="Q1428" s="203"/>
      <c r="R1428" s="203"/>
      <c r="S1428" s="203"/>
    </row>
    <row r="1429" spans="5:19" x14ac:dyDescent="0.25">
      <c r="J1429" s="198"/>
      <c r="K1429" s="198"/>
      <c r="L1429" s="198"/>
      <c r="M1429" s="198"/>
      <c r="N1429" s="198"/>
      <c r="O1429" s="198"/>
      <c r="P1429" s="198"/>
      <c r="Q1429" s="198"/>
      <c r="R1429" s="198"/>
      <c r="S1429" s="198"/>
    </row>
    <row r="1430" spans="5:19" x14ac:dyDescent="0.25">
      <c r="E1430" s="121" t="s">
        <v>203</v>
      </c>
      <c r="J1430" s="198"/>
      <c r="K1430" s="198"/>
      <c r="L1430" s="198"/>
      <c r="M1430" s="198"/>
      <c r="N1430" s="198"/>
      <c r="O1430" s="198"/>
      <c r="P1430" s="198"/>
      <c r="Q1430" s="198"/>
      <c r="R1430" s="198"/>
      <c r="S1430" s="198"/>
    </row>
    <row r="1431" spans="5:19" x14ac:dyDescent="0.25">
      <c r="F1431" s="80" t="s">
        <v>925</v>
      </c>
      <c r="G1431" s="80" t="s">
        <v>169</v>
      </c>
      <c r="H1431" s="80" t="s">
        <v>480</v>
      </c>
      <c r="I1431" s="94"/>
      <c r="J1431" s="201"/>
      <c r="K1431" s="196"/>
      <c r="L1431" s="201"/>
      <c r="M1431" s="201"/>
      <c r="N1431" s="201"/>
      <c r="O1431" s="201"/>
      <c r="P1431" s="201"/>
      <c r="Q1431" s="201"/>
      <c r="R1431" s="201"/>
      <c r="S1431" s="201"/>
    </row>
    <row r="1432" spans="5:19" x14ac:dyDescent="0.25">
      <c r="F1432" t="s">
        <v>926</v>
      </c>
      <c r="G1432" t="s">
        <v>169</v>
      </c>
      <c r="H1432" t="s">
        <v>480</v>
      </c>
      <c r="J1432" s="202"/>
      <c r="K1432" s="198"/>
      <c r="L1432" s="202"/>
      <c r="M1432" s="202"/>
      <c r="N1432" s="202"/>
      <c r="O1432" s="202"/>
      <c r="P1432" s="202"/>
      <c r="Q1432" s="202"/>
      <c r="R1432" s="202"/>
      <c r="S1432" s="202"/>
    </row>
    <row r="1433" spans="5:19" x14ac:dyDescent="0.25">
      <c r="F1433" t="s">
        <v>927</v>
      </c>
      <c r="G1433" t="s">
        <v>169</v>
      </c>
      <c r="H1433" t="s">
        <v>480</v>
      </c>
      <c r="J1433" s="202"/>
      <c r="K1433" s="198"/>
      <c r="L1433" s="202"/>
      <c r="M1433" s="202"/>
      <c r="N1433" s="202"/>
      <c r="O1433" s="202"/>
      <c r="P1433" s="202"/>
      <c r="Q1433" s="202"/>
      <c r="R1433" s="202"/>
      <c r="S1433" s="202"/>
    </row>
    <row r="1434" spans="5:19" x14ac:dyDescent="0.25">
      <c r="F1434" t="s">
        <v>928</v>
      </c>
      <c r="G1434" t="s">
        <v>169</v>
      </c>
      <c r="H1434" t="s">
        <v>480</v>
      </c>
      <c r="J1434" s="202"/>
      <c r="K1434" s="198"/>
      <c r="L1434" s="202"/>
      <c r="M1434" s="202"/>
      <c r="N1434" s="202"/>
      <c r="O1434" s="202"/>
      <c r="P1434" s="202"/>
      <c r="Q1434" s="202"/>
      <c r="R1434" s="202"/>
      <c r="S1434" s="202"/>
    </row>
    <row r="1435" spans="5:19" x14ac:dyDescent="0.25">
      <c r="F1435" t="s">
        <v>929</v>
      </c>
      <c r="G1435" t="s">
        <v>169</v>
      </c>
      <c r="H1435" t="s">
        <v>480</v>
      </c>
      <c r="J1435" s="197">
        <f t="shared" ref="J1435:J1437" si="286">CHOOSE(year_selection, L1435,M1435,N1435,O1435,P1435,Q1435,R1435,S1435)</f>
        <v>0</v>
      </c>
      <c r="K1435" s="198"/>
      <c r="L1435" s="281"/>
      <c r="M1435" s="281">
        <v>0</v>
      </c>
      <c r="N1435" s="281">
        <v>0</v>
      </c>
      <c r="O1435" s="281">
        <v>0</v>
      </c>
      <c r="P1435" s="281">
        <f t="shared" ref="P1435:S1437" si="287">$O1435</f>
        <v>0</v>
      </c>
      <c r="Q1435" s="281">
        <f t="shared" si="287"/>
        <v>0</v>
      </c>
      <c r="R1435" s="281">
        <f t="shared" si="287"/>
        <v>0</v>
      </c>
      <c r="S1435" s="281">
        <f t="shared" si="287"/>
        <v>0</v>
      </c>
    </row>
    <row r="1436" spans="5:19" x14ac:dyDescent="0.25">
      <c r="F1436" t="s">
        <v>930</v>
      </c>
      <c r="G1436" t="s">
        <v>169</v>
      </c>
      <c r="H1436" t="s">
        <v>480</v>
      </c>
      <c r="J1436" s="197">
        <f t="shared" si="286"/>
        <v>0</v>
      </c>
      <c r="K1436" s="198"/>
      <c r="L1436" s="281"/>
      <c r="M1436" s="281">
        <v>0</v>
      </c>
      <c r="N1436" s="281">
        <v>0</v>
      </c>
      <c r="O1436" s="281">
        <v>0</v>
      </c>
      <c r="P1436" s="281">
        <f t="shared" si="287"/>
        <v>0</v>
      </c>
      <c r="Q1436" s="281">
        <f t="shared" si="287"/>
        <v>0</v>
      </c>
      <c r="R1436" s="281">
        <f t="shared" si="287"/>
        <v>0</v>
      </c>
      <c r="S1436" s="281">
        <f t="shared" si="287"/>
        <v>0</v>
      </c>
    </row>
    <row r="1437" spans="5:19" x14ac:dyDescent="0.25">
      <c r="F1437" t="s">
        <v>931</v>
      </c>
      <c r="G1437" t="s">
        <v>169</v>
      </c>
      <c r="H1437" t="s">
        <v>480</v>
      </c>
      <c r="J1437" s="197">
        <f t="shared" si="286"/>
        <v>0</v>
      </c>
      <c r="K1437" s="198"/>
      <c r="L1437" s="281"/>
      <c r="M1437" s="281">
        <v>0</v>
      </c>
      <c r="N1437" s="281">
        <v>0</v>
      </c>
      <c r="O1437" s="281">
        <v>0</v>
      </c>
      <c r="P1437" s="281">
        <f t="shared" si="287"/>
        <v>0</v>
      </c>
      <c r="Q1437" s="281">
        <f t="shared" si="287"/>
        <v>0</v>
      </c>
      <c r="R1437" s="281">
        <f t="shared" si="287"/>
        <v>0</v>
      </c>
      <c r="S1437" s="281">
        <f t="shared" si="287"/>
        <v>0</v>
      </c>
    </row>
    <row r="1438" spans="5:19" x14ac:dyDescent="0.25">
      <c r="F1438" t="s">
        <v>932</v>
      </c>
      <c r="G1438" t="s">
        <v>169</v>
      </c>
      <c r="H1438" t="s">
        <v>480</v>
      </c>
      <c r="J1438" s="202"/>
      <c r="K1438" s="198"/>
      <c r="L1438" s="202"/>
      <c r="M1438" s="202"/>
      <c r="N1438" s="202"/>
      <c r="O1438" s="202"/>
      <c r="P1438" s="202"/>
      <c r="Q1438" s="202"/>
      <c r="R1438" s="202"/>
      <c r="S1438" s="202"/>
    </row>
    <row r="1439" spans="5:19" x14ac:dyDescent="0.25">
      <c r="F1439" t="s">
        <v>933</v>
      </c>
      <c r="G1439" t="s">
        <v>169</v>
      </c>
      <c r="H1439" t="s">
        <v>480</v>
      </c>
      <c r="J1439" s="202"/>
      <c r="K1439" s="198"/>
      <c r="L1439" s="202"/>
      <c r="M1439" s="202"/>
      <c r="N1439" s="202"/>
      <c r="O1439" s="202"/>
      <c r="P1439" s="202"/>
      <c r="Q1439" s="202"/>
      <c r="R1439" s="202"/>
      <c r="S1439" s="202"/>
    </row>
    <row r="1440" spans="5:19" x14ac:dyDescent="0.25">
      <c r="F1440" t="s">
        <v>934</v>
      </c>
      <c r="G1440" t="s">
        <v>169</v>
      </c>
      <c r="H1440" t="s">
        <v>480</v>
      </c>
      <c r="J1440" s="202"/>
      <c r="K1440" s="198"/>
      <c r="L1440" s="202"/>
      <c r="M1440" s="202"/>
      <c r="N1440" s="202"/>
      <c r="O1440" s="202"/>
      <c r="P1440" s="202"/>
      <c r="Q1440" s="202"/>
      <c r="R1440" s="202"/>
      <c r="S1440" s="202"/>
    </row>
    <row r="1441" spans="5:19" x14ac:dyDescent="0.25">
      <c r="F1441" t="s">
        <v>935</v>
      </c>
      <c r="G1441" t="s">
        <v>169</v>
      </c>
      <c r="H1441" t="s">
        <v>480</v>
      </c>
      <c r="J1441" s="202"/>
      <c r="K1441" s="198"/>
      <c r="L1441" s="202"/>
      <c r="M1441" s="202"/>
      <c r="N1441" s="202"/>
      <c r="O1441" s="202"/>
      <c r="P1441" s="202"/>
      <c r="Q1441" s="202"/>
      <c r="R1441" s="202"/>
      <c r="S1441" s="202"/>
    </row>
    <row r="1442" spans="5:19" x14ac:dyDescent="0.25">
      <c r="F1442" t="s">
        <v>936</v>
      </c>
      <c r="G1442" t="s">
        <v>169</v>
      </c>
      <c r="H1442" t="s">
        <v>480</v>
      </c>
      <c r="J1442" s="202"/>
      <c r="K1442" s="198"/>
      <c r="L1442" s="202"/>
      <c r="M1442" s="202"/>
      <c r="N1442" s="202"/>
      <c r="O1442" s="202"/>
      <c r="P1442" s="202"/>
      <c r="Q1442" s="202"/>
      <c r="R1442" s="202"/>
      <c r="S1442" s="202"/>
    </row>
    <row r="1443" spans="5:19" x14ac:dyDescent="0.25">
      <c r="F1443" t="s">
        <v>937</v>
      </c>
      <c r="G1443" t="s">
        <v>169</v>
      </c>
      <c r="H1443" t="s">
        <v>480</v>
      </c>
      <c r="J1443" s="202"/>
      <c r="K1443" s="198"/>
      <c r="L1443" s="202"/>
      <c r="M1443" s="202"/>
      <c r="N1443" s="202"/>
      <c r="O1443" s="202"/>
      <c r="P1443" s="202"/>
      <c r="Q1443" s="202"/>
      <c r="R1443" s="202"/>
      <c r="S1443" s="202"/>
    </row>
    <row r="1444" spans="5:19" x14ac:dyDescent="0.25">
      <c r="F1444" t="s">
        <v>938</v>
      </c>
      <c r="G1444" t="s">
        <v>169</v>
      </c>
      <c r="H1444" t="s">
        <v>480</v>
      </c>
      <c r="J1444" s="202"/>
      <c r="K1444" s="198"/>
      <c r="L1444" s="202"/>
      <c r="M1444" s="202"/>
      <c r="N1444" s="202"/>
      <c r="O1444" s="202"/>
      <c r="P1444" s="202"/>
      <c r="Q1444" s="202"/>
      <c r="R1444" s="202"/>
      <c r="S1444" s="202"/>
    </row>
    <row r="1445" spans="5:19" x14ac:dyDescent="0.25">
      <c r="F1445" t="s">
        <v>939</v>
      </c>
      <c r="G1445" t="s">
        <v>169</v>
      </c>
      <c r="H1445" t="s">
        <v>480</v>
      </c>
      <c r="J1445" s="202"/>
      <c r="K1445" s="198"/>
      <c r="L1445" s="202"/>
      <c r="M1445" s="202"/>
      <c r="N1445" s="202"/>
      <c r="O1445" s="202"/>
      <c r="P1445" s="202"/>
      <c r="Q1445" s="202"/>
      <c r="R1445" s="202"/>
      <c r="S1445" s="202"/>
    </row>
    <row r="1446" spans="5:19" x14ac:dyDescent="0.25">
      <c r="F1446" s="17" t="s">
        <v>940</v>
      </c>
      <c r="G1446" s="17" t="s">
        <v>169</v>
      </c>
      <c r="H1446" s="17" t="s">
        <v>480</v>
      </c>
      <c r="I1446" s="122"/>
      <c r="J1446" s="203"/>
      <c r="K1446" s="200"/>
      <c r="L1446" s="203"/>
      <c r="M1446" s="203"/>
      <c r="N1446" s="203"/>
      <c r="O1446" s="203"/>
      <c r="P1446" s="203"/>
      <c r="Q1446" s="203"/>
      <c r="R1446" s="203"/>
      <c r="S1446" s="203"/>
    </row>
    <row r="1447" spans="5:19" x14ac:dyDescent="0.25">
      <c r="J1447" s="198"/>
      <c r="K1447" s="198"/>
      <c r="L1447" s="198"/>
      <c r="M1447" s="198"/>
      <c r="N1447" s="198"/>
      <c r="O1447" s="198"/>
      <c r="P1447" s="198"/>
      <c r="Q1447" s="198"/>
      <c r="R1447" s="198"/>
      <c r="S1447" s="198"/>
    </row>
    <row r="1448" spans="5:19" x14ac:dyDescent="0.25">
      <c r="E1448" s="121" t="s">
        <v>204</v>
      </c>
      <c r="J1448" s="198"/>
      <c r="K1448" s="198"/>
      <c r="L1448" s="198"/>
      <c r="M1448" s="198"/>
      <c r="N1448" s="198"/>
      <c r="O1448" s="198"/>
      <c r="P1448" s="198"/>
      <c r="Q1448" s="198"/>
      <c r="R1448" s="198"/>
      <c r="S1448" s="198"/>
    </row>
    <row r="1449" spans="5:19" x14ac:dyDescent="0.25">
      <c r="F1449" s="80" t="s">
        <v>925</v>
      </c>
      <c r="G1449" s="80" t="s">
        <v>170</v>
      </c>
      <c r="H1449" s="80" t="s">
        <v>480</v>
      </c>
      <c r="I1449" s="94"/>
      <c r="J1449" s="201"/>
      <c r="K1449" s="196"/>
      <c r="L1449" s="201"/>
      <c r="M1449" s="201"/>
      <c r="N1449" s="201"/>
      <c r="O1449" s="201"/>
      <c r="P1449" s="201"/>
      <c r="Q1449" s="201"/>
      <c r="R1449" s="201"/>
      <c r="S1449" s="201"/>
    </row>
    <row r="1450" spans="5:19" x14ac:dyDescent="0.25">
      <c r="F1450" t="s">
        <v>926</v>
      </c>
      <c r="G1450" t="s">
        <v>170</v>
      </c>
      <c r="H1450" t="s">
        <v>480</v>
      </c>
      <c r="J1450" s="202"/>
      <c r="K1450" s="198"/>
      <c r="L1450" s="202"/>
      <c r="M1450" s="202"/>
      <c r="N1450" s="202"/>
      <c r="O1450" s="202"/>
      <c r="P1450" s="202"/>
      <c r="Q1450" s="202"/>
      <c r="R1450" s="202"/>
      <c r="S1450" s="202"/>
    </row>
    <row r="1451" spans="5:19" x14ac:dyDescent="0.25">
      <c r="F1451" t="s">
        <v>927</v>
      </c>
      <c r="G1451" t="s">
        <v>170</v>
      </c>
      <c r="H1451" t="s">
        <v>480</v>
      </c>
      <c r="J1451" s="202"/>
      <c r="K1451" s="198"/>
      <c r="L1451" s="202"/>
      <c r="M1451" s="202"/>
      <c r="N1451" s="202"/>
      <c r="O1451" s="202"/>
      <c r="P1451" s="202"/>
      <c r="Q1451" s="202"/>
      <c r="R1451" s="202"/>
      <c r="S1451" s="202"/>
    </row>
    <row r="1452" spans="5:19" x14ac:dyDescent="0.25">
      <c r="F1452" t="s">
        <v>928</v>
      </c>
      <c r="G1452" t="s">
        <v>170</v>
      </c>
      <c r="H1452" t="s">
        <v>480</v>
      </c>
      <c r="J1452" s="202"/>
      <c r="K1452" s="198"/>
      <c r="L1452" s="202"/>
      <c r="M1452" s="202"/>
      <c r="N1452" s="202"/>
      <c r="O1452" s="202"/>
      <c r="P1452" s="202"/>
      <c r="Q1452" s="202"/>
      <c r="R1452" s="202"/>
      <c r="S1452" s="202"/>
    </row>
    <row r="1453" spans="5:19" x14ac:dyDescent="0.25">
      <c r="F1453" t="s">
        <v>929</v>
      </c>
      <c r="G1453" t="s">
        <v>170</v>
      </c>
      <c r="H1453" t="s">
        <v>480</v>
      </c>
      <c r="J1453" s="197">
        <f t="shared" ref="J1453:J1455" si="288">CHOOSE(year_selection, L1453,M1453,N1453,O1453,P1453,Q1453,R1453,S1453)</f>
        <v>0</v>
      </c>
      <c r="K1453" s="198"/>
      <c r="L1453" s="281"/>
      <c r="M1453" s="281">
        <v>0</v>
      </c>
      <c r="N1453" s="281">
        <v>0</v>
      </c>
      <c r="O1453" s="281">
        <v>0</v>
      </c>
      <c r="P1453" s="281">
        <f t="shared" ref="P1453:S1455" si="289">$O1453</f>
        <v>0</v>
      </c>
      <c r="Q1453" s="281">
        <f t="shared" si="289"/>
        <v>0</v>
      </c>
      <c r="R1453" s="281">
        <f t="shared" si="289"/>
        <v>0</v>
      </c>
      <c r="S1453" s="281">
        <f t="shared" si="289"/>
        <v>0</v>
      </c>
    </row>
    <row r="1454" spans="5:19" x14ac:dyDescent="0.25">
      <c r="F1454" t="s">
        <v>930</v>
      </c>
      <c r="G1454" t="s">
        <v>170</v>
      </c>
      <c r="H1454" t="s">
        <v>480</v>
      </c>
      <c r="J1454" s="197">
        <f t="shared" si="288"/>
        <v>0</v>
      </c>
      <c r="K1454" s="198"/>
      <c r="L1454" s="281"/>
      <c r="M1454" s="281">
        <v>0</v>
      </c>
      <c r="N1454" s="281">
        <v>0</v>
      </c>
      <c r="O1454" s="281">
        <v>0</v>
      </c>
      <c r="P1454" s="281">
        <f t="shared" si="289"/>
        <v>0</v>
      </c>
      <c r="Q1454" s="281">
        <f t="shared" si="289"/>
        <v>0</v>
      </c>
      <c r="R1454" s="281">
        <f t="shared" si="289"/>
        <v>0</v>
      </c>
      <c r="S1454" s="281">
        <f t="shared" si="289"/>
        <v>0</v>
      </c>
    </row>
    <row r="1455" spans="5:19" x14ac:dyDescent="0.25">
      <c r="F1455" t="s">
        <v>931</v>
      </c>
      <c r="G1455" t="s">
        <v>170</v>
      </c>
      <c r="H1455" t="s">
        <v>480</v>
      </c>
      <c r="J1455" s="197">
        <f t="shared" si="288"/>
        <v>0</v>
      </c>
      <c r="K1455" s="198"/>
      <c r="L1455" s="281"/>
      <c r="M1455" s="281">
        <v>0</v>
      </c>
      <c r="N1455" s="281">
        <v>0</v>
      </c>
      <c r="O1455" s="281">
        <v>0</v>
      </c>
      <c r="P1455" s="281">
        <f t="shared" si="289"/>
        <v>0</v>
      </c>
      <c r="Q1455" s="281">
        <f t="shared" si="289"/>
        <v>0</v>
      </c>
      <c r="R1455" s="281">
        <f t="shared" si="289"/>
        <v>0</v>
      </c>
      <c r="S1455" s="281">
        <f t="shared" si="289"/>
        <v>0</v>
      </c>
    </row>
    <row r="1456" spans="5:19" x14ac:dyDescent="0.25">
      <c r="F1456" t="s">
        <v>932</v>
      </c>
      <c r="G1456" t="s">
        <v>170</v>
      </c>
      <c r="H1456" t="s">
        <v>480</v>
      </c>
      <c r="J1456" s="202"/>
      <c r="K1456" s="198"/>
      <c r="L1456" s="202"/>
      <c r="M1456" s="202"/>
      <c r="N1456" s="202"/>
      <c r="O1456" s="202"/>
      <c r="P1456" s="202"/>
      <c r="Q1456" s="202"/>
      <c r="R1456" s="202"/>
      <c r="S1456" s="202"/>
    </row>
    <row r="1457" spans="3:21" x14ac:dyDescent="0.25">
      <c r="F1457" t="s">
        <v>933</v>
      </c>
      <c r="G1457" t="s">
        <v>170</v>
      </c>
      <c r="H1457" t="s">
        <v>480</v>
      </c>
      <c r="J1457" s="202"/>
      <c r="K1457" s="198"/>
      <c r="L1457" s="202"/>
      <c r="M1457" s="202"/>
      <c r="N1457" s="202"/>
      <c r="O1457" s="202"/>
      <c r="P1457" s="202"/>
      <c r="Q1457" s="202"/>
      <c r="R1457" s="202"/>
      <c r="S1457" s="202"/>
    </row>
    <row r="1458" spans="3:21" x14ac:dyDescent="0.25">
      <c r="F1458" t="s">
        <v>934</v>
      </c>
      <c r="G1458" t="s">
        <v>170</v>
      </c>
      <c r="H1458" t="s">
        <v>480</v>
      </c>
      <c r="J1458" s="202"/>
      <c r="K1458" s="198"/>
      <c r="L1458" s="202"/>
      <c r="M1458" s="202"/>
      <c r="N1458" s="202"/>
      <c r="O1458" s="202"/>
      <c r="P1458" s="202"/>
      <c r="Q1458" s="202"/>
      <c r="R1458" s="202"/>
      <c r="S1458" s="202"/>
    </row>
    <row r="1459" spans="3:21" x14ac:dyDescent="0.25">
      <c r="F1459" t="s">
        <v>935</v>
      </c>
      <c r="G1459" t="s">
        <v>170</v>
      </c>
      <c r="H1459" t="s">
        <v>480</v>
      </c>
      <c r="J1459" s="197">
        <f t="shared" ref="J1459" si="290">CHOOSE(year_selection, L1459,M1459,N1459,O1459,P1459,Q1459,R1459,S1459)</f>
        <v>0</v>
      </c>
      <c r="K1459" s="198"/>
      <c r="L1459" s="281"/>
      <c r="M1459" s="281">
        <v>0</v>
      </c>
      <c r="N1459" s="281">
        <v>0</v>
      </c>
      <c r="O1459" s="281">
        <v>0</v>
      </c>
      <c r="P1459" s="281">
        <f t="shared" ref="P1459:S1459" si="291">$O1459</f>
        <v>0</v>
      </c>
      <c r="Q1459" s="281">
        <f t="shared" si="291"/>
        <v>0</v>
      </c>
      <c r="R1459" s="281">
        <f t="shared" si="291"/>
        <v>0</v>
      </c>
      <c r="S1459" s="281">
        <f t="shared" si="291"/>
        <v>0</v>
      </c>
    </row>
    <row r="1460" spans="3:21" x14ac:dyDescent="0.25">
      <c r="F1460" t="s">
        <v>936</v>
      </c>
      <c r="G1460" t="s">
        <v>170</v>
      </c>
      <c r="H1460" t="s">
        <v>480</v>
      </c>
      <c r="J1460" s="202"/>
      <c r="K1460" s="198"/>
      <c r="L1460" s="202"/>
      <c r="M1460" s="202"/>
      <c r="N1460" s="202"/>
      <c r="O1460" s="202"/>
      <c r="P1460" s="202"/>
      <c r="Q1460" s="202"/>
      <c r="R1460" s="202"/>
      <c r="S1460" s="202"/>
    </row>
    <row r="1461" spans="3:21" x14ac:dyDescent="0.25">
      <c r="F1461" t="s">
        <v>937</v>
      </c>
      <c r="G1461" t="s">
        <v>170</v>
      </c>
      <c r="H1461" t="s">
        <v>480</v>
      </c>
      <c r="J1461" s="197">
        <f t="shared" ref="J1461" si="292">CHOOSE(year_selection, L1461,M1461,N1461,O1461,P1461,Q1461,R1461,S1461)</f>
        <v>0</v>
      </c>
      <c r="K1461" s="198"/>
      <c r="L1461" s="281"/>
      <c r="M1461" s="281">
        <v>0</v>
      </c>
      <c r="N1461" s="281">
        <v>0</v>
      </c>
      <c r="O1461" s="281">
        <v>0</v>
      </c>
      <c r="P1461" s="281">
        <f t="shared" ref="P1461:S1461" si="293">$O1461</f>
        <v>0</v>
      </c>
      <c r="Q1461" s="281">
        <f t="shared" si="293"/>
        <v>0</v>
      </c>
      <c r="R1461" s="281">
        <f t="shared" si="293"/>
        <v>0</v>
      </c>
      <c r="S1461" s="281">
        <f t="shared" si="293"/>
        <v>0</v>
      </c>
    </row>
    <row r="1462" spans="3:21" x14ac:dyDescent="0.25">
      <c r="F1462" t="s">
        <v>938</v>
      </c>
      <c r="G1462" t="s">
        <v>170</v>
      </c>
      <c r="H1462" t="s">
        <v>480</v>
      </c>
      <c r="J1462" s="202"/>
      <c r="K1462" s="198"/>
      <c r="L1462" s="202"/>
      <c r="M1462" s="202"/>
      <c r="N1462" s="202"/>
      <c r="O1462" s="202"/>
      <c r="P1462" s="202"/>
      <c r="Q1462" s="202"/>
      <c r="R1462" s="202"/>
      <c r="S1462" s="202"/>
    </row>
    <row r="1463" spans="3:21" x14ac:dyDescent="0.25">
      <c r="F1463" t="s">
        <v>939</v>
      </c>
      <c r="G1463" t="s">
        <v>170</v>
      </c>
      <c r="H1463" t="s">
        <v>480</v>
      </c>
      <c r="J1463" s="197">
        <f t="shared" ref="J1463" si="294">CHOOSE(year_selection, L1463,M1463,N1463,O1463,P1463,Q1463,R1463,S1463)</f>
        <v>0</v>
      </c>
      <c r="K1463" s="198"/>
      <c r="L1463" s="281"/>
      <c r="M1463" s="281">
        <v>0</v>
      </c>
      <c r="N1463" s="281">
        <v>0</v>
      </c>
      <c r="O1463" s="281">
        <v>0</v>
      </c>
      <c r="P1463" s="281">
        <f t="shared" ref="P1463:S1463" si="295">$O1463</f>
        <v>0</v>
      </c>
      <c r="Q1463" s="281">
        <f t="shared" si="295"/>
        <v>0</v>
      </c>
      <c r="R1463" s="281">
        <f t="shared" si="295"/>
        <v>0</v>
      </c>
      <c r="S1463" s="281">
        <f t="shared" si="295"/>
        <v>0</v>
      </c>
    </row>
    <row r="1464" spans="3:21" x14ac:dyDescent="0.25">
      <c r="F1464" s="17" t="s">
        <v>940</v>
      </c>
      <c r="G1464" s="17" t="s">
        <v>170</v>
      </c>
      <c r="H1464" s="17" t="s">
        <v>480</v>
      </c>
      <c r="I1464" s="122"/>
      <c r="J1464" s="203"/>
      <c r="K1464" s="200"/>
      <c r="L1464" s="203"/>
      <c r="M1464" s="203"/>
      <c r="N1464" s="203"/>
      <c r="O1464" s="203"/>
      <c r="P1464" s="203"/>
      <c r="Q1464" s="203"/>
      <c r="R1464" s="203"/>
      <c r="S1464" s="203"/>
    </row>
    <row r="1465" spans="3:21" x14ac:dyDescent="0.25">
      <c r="J1465" s="59"/>
      <c r="K1465" s="59"/>
      <c r="L1465" s="59"/>
      <c r="M1465" s="59"/>
      <c r="N1465" s="59"/>
      <c r="O1465" s="59"/>
      <c r="P1465" s="59"/>
      <c r="Q1465" s="59"/>
      <c r="R1465" s="59"/>
      <c r="S1465" s="59"/>
    </row>
    <row r="1466" spans="3:21" x14ac:dyDescent="0.25">
      <c r="C1466" s="5" t="str">
        <f ca="1">INDEX('Version control'!$H$36:$H$62,MATCH($A$1,'Version control'!$F$36:$F$62,0),1)&amp;"-N: LDNO HV volumes - Residual band 1"</f>
        <v>Input 501-N: LDNO HV volumes - Residual band 1</v>
      </c>
      <c r="D1466" s="5"/>
      <c r="E1466" s="5"/>
      <c r="F1466" s="5"/>
      <c r="G1466" s="5"/>
      <c r="H1466" s="5"/>
      <c r="I1466" s="143"/>
      <c r="J1466" s="205"/>
      <c r="K1466" s="205"/>
      <c r="L1466" s="205"/>
      <c r="M1466" s="205"/>
      <c r="N1466" s="205"/>
      <c r="O1466" s="205"/>
      <c r="P1466" s="205"/>
      <c r="Q1466" s="205"/>
      <c r="R1466" s="205"/>
      <c r="S1466" s="205"/>
      <c r="T1466" s="5"/>
      <c r="U1466" s="5"/>
    </row>
    <row r="1467" spans="3:21" x14ac:dyDescent="0.25">
      <c r="D1467" s="52"/>
    </row>
    <row r="1468" spans="3:21" x14ac:dyDescent="0.25">
      <c r="E1468" s="121" t="s">
        <v>199</v>
      </c>
      <c r="I1468" s="59" t="s">
        <v>359</v>
      </c>
      <c r="J1468" s="198"/>
      <c r="K1468" s="198"/>
      <c r="L1468" s="198"/>
      <c r="M1468" s="198"/>
      <c r="N1468" s="198"/>
      <c r="O1468" s="198"/>
      <c r="P1468" s="198"/>
      <c r="Q1468" s="198"/>
      <c r="R1468" s="198"/>
      <c r="S1468" s="198"/>
      <c r="U1468" t="s">
        <v>691</v>
      </c>
    </row>
    <row r="1469" spans="3:21" x14ac:dyDescent="0.25">
      <c r="F1469" s="80" t="s">
        <v>925</v>
      </c>
      <c r="G1469" s="80" t="s">
        <v>120</v>
      </c>
      <c r="H1469" s="80" t="s">
        <v>480</v>
      </c>
      <c r="I1469" s="94"/>
      <c r="J1469" s="195">
        <f t="shared" ref="J1469:J1476" si="296">CHOOSE(year_selection, L1469,M1469,N1469,O1469,P1469,Q1469,R1469,S1469)</f>
        <v>32626.366864146377</v>
      </c>
      <c r="K1469" s="196"/>
      <c r="L1469" s="280"/>
      <c r="M1469" s="280">
        <v>21927.141923692248</v>
      </c>
      <c r="N1469" s="280">
        <v>26301.417595538813</v>
      </c>
      <c r="O1469" s="280">
        <v>32626.366864146377</v>
      </c>
      <c r="P1469" s="280">
        <f t="shared" ref="P1469:S1469" si="297">$O1469</f>
        <v>32626.366864146377</v>
      </c>
      <c r="Q1469" s="280">
        <f t="shared" si="297"/>
        <v>32626.366864146377</v>
      </c>
      <c r="R1469" s="280">
        <f t="shared" si="297"/>
        <v>32626.366864146377</v>
      </c>
      <c r="S1469" s="280">
        <f t="shared" si="297"/>
        <v>32626.366864146377</v>
      </c>
    </row>
    <row r="1470" spans="3:21" x14ac:dyDescent="0.25">
      <c r="F1470" t="s">
        <v>926</v>
      </c>
      <c r="G1470" t="s">
        <v>120</v>
      </c>
      <c r="H1470" t="s">
        <v>480</v>
      </c>
      <c r="J1470" s="202"/>
      <c r="K1470" s="198"/>
      <c r="L1470" s="202"/>
      <c r="M1470" s="202"/>
      <c r="N1470" s="202"/>
      <c r="O1470" s="202"/>
      <c r="P1470" s="202"/>
      <c r="Q1470" s="202"/>
      <c r="R1470" s="202"/>
      <c r="S1470" s="202"/>
    </row>
    <row r="1471" spans="3:21" x14ac:dyDescent="0.25">
      <c r="F1471" t="s">
        <v>927</v>
      </c>
      <c r="G1471" t="s">
        <v>120</v>
      </c>
      <c r="H1471" t="s">
        <v>480</v>
      </c>
      <c r="J1471" s="197">
        <f t="shared" si="296"/>
        <v>228.32699061290884</v>
      </c>
      <c r="K1471" s="198"/>
      <c r="L1471" s="281"/>
      <c r="M1471" s="281">
        <v>62.737932399993234</v>
      </c>
      <c r="N1471" s="281">
        <v>135.37053461124447</v>
      </c>
      <c r="O1471" s="281">
        <v>228.32699061290884</v>
      </c>
      <c r="P1471" s="281">
        <f t="shared" ref="P1471:S1471" si="298">$O1471</f>
        <v>228.32699061290884</v>
      </c>
      <c r="Q1471" s="281">
        <f t="shared" si="298"/>
        <v>228.32699061290884</v>
      </c>
      <c r="R1471" s="281">
        <f t="shared" si="298"/>
        <v>228.32699061290884</v>
      </c>
      <c r="S1471" s="281">
        <f t="shared" si="298"/>
        <v>228.32699061290884</v>
      </c>
    </row>
    <row r="1472" spans="3:21" x14ac:dyDescent="0.25">
      <c r="F1472" t="s">
        <v>928</v>
      </c>
      <c r="G1472" t="s">
        <v>120</v>
      </c>
      <c r="H1472" t="s">
        <v>480</v>
      </c>
      <c r="J1472" s="202"/>
      <c r="K1472" s="198"/>
      <c r="L1472" s="202"/>
      <c r="M1472" s="202"/>
      <c r="N1472" s="202"/>
      <c r="O1472" s="202"/>
      <c r="P1472" s="202"/>
      <c r="Q1472" s="202"/>
      <c r="R1472" s="202"/>
      <c r="S1472" s="202"/>
    </row>
    <row r="1473" spans="5:19" x14ac:dyDescent="0.25">
      <c r="F1473" t="s">
        <v>929</v>
      </c>
      <c r="G1473" t="s">
        <v>120</v>
      </c>
      <c r="H1473" t="s">
        <v>480</v>
      </c>
      <c r="J1473" s="197">
        <f t="shared" si="296"/>
        <v>730.50928978556692</v>
      </c>
      <c r="K1473" s="198"/>
      <c r="L1473" s="281"/>
      <c r="M1473" s="281">
        <v>677.79120182383201</v>
      </c>
      <c r="N1473" s="281">
        <v>712.20303789382706</v>
      </c>
      <c r="O1473" s="281">
        <v>730.50928978556692</v>
      </c>
      <c r="P1473" s="281">
        <f t="shared" ref="P1473:S1476" si="299">$O1473</f>
        <v>730.50928978556692</v>
      </c>
      <c r="Q1473" s="281">
        <f t="shared" si="299"/>
        <v>730.50928978556692</v>
      </c>
      <c r="R1473" s="281">
        <f t="shared" si="299"/>
        <v>730.50928978556692</v>
      </c>
      <c r="S1473" s="281">
        <f t="shared" si="299"/>
        <v>730.50928978556692</v>
      </c>
    </row>
    <row r="1474" spans="5:19" x14ac:dyDescent="0.25">
      <c r="F1474" t="s">
        <v>930</v>
      </c>
      <c r="G1474" t="s">
        <v>120</v>
      </c>
      <c r="H1474" t="s">
        <v>480</v>
      </c>
      <c r="J1474" s="197">
        <f t="shared" si="296"/>
        <v>0</v>
      </c>
      <c r="K1474" s="198"/>
      <c r="L1474" s="281"/>
      <c r="M1474" s="281">
        <v>0</v>
      </c>
      <c r="N1474" s="281">
        <v>0</v>
      </c>
      <c r="O1474" s="281">
        <v>0</v>
      </c>
      <c r="P1474" s="281">
        <f t="shared" si="299"/>
        <v>0</v>
      </c>
      <c r="Q1474" s="281">
        <f t="shared" si="299"/>
        <v>0</v>
      </c>
      <c r="R1474" s="281">
        <f t="shared" si="299"/>
        <v>0</v>
      </c>
      <c r="S1474" s="281">
        <f t="shared" si="299"/>
        <v>0</v>
      </c>
    </row>
    <row r="1475" spans="5:19" x14ac:dyDescent="0.25">
      <c r="F1475" t="s">
        <v>931</v>
      </c>
      <c r="G1475" t="s">
        <v>120</v>
      </c>
      <c r="H1475" t="s">
        <v>480</v>
      </c>
      <c r="J1475" s="197">
        <f t="shared" si="296"/>
        <v>405.92264581550916</v>
      </c>
      <c r="K1475" s="198"/>
      <c r="L1475" s="281"/>
      <c r="M1475" s="281">
        <v>537.95916217397712</v>
      </c>
      <c r="N1475" s="281">
        <v>368.7718997000888</v>
      </c>
      <c r="O1475" s="281">
        <v>405.92264581550916</v>
      </c>
      <c r="P1475" s="281">
        <f t="shared" si="299"/>
        <v>405.92264581550916</v>
      </c>
      <c r="Q1475" s="281">
        <f t="shared" si="299"/>
        <v>405.92264581550916</v>
      </c>
      <c r="R1475" s="281">
        <f t="shared" si="299"/>
        <v>405.92264581550916</v>
      </c>
      <c r="S1475" s="281">
        <f t="shared" si="299"/>
        <v>405.92264581550916</v>
      </c>
    </row>
    <row r="1476" spans="5:19" x14ac:dyDescent="0.25">
      <c r="F1476" t="s">
        <v>932</v>
      </c>
      <c r="G1476" t="s">
        <v>120</v>
      </c>
      <c r="H1476" t="s">
        <v>480</v>
      </c>
      <c r="J1476" s="197">
        <f t="shared" si="296"/>
        <v>24.693411835748794</v>
      </c>
      <c r="K1476" s="198"/>
      <c r="L1476" s="281"/>
      <c r="M1476" s="281">
        <v>43.116211208429903</v>
      </c>
      <c r="N1476" s="281">
        <v>41.334220608207183</v>
      </c>
      <c r="O1476" s="281">
        <v>24.693411835748794</v>
      </c>
      <c r="P1476" s="281">
        <f t="shared" si="299"/>
        <v>24.693411835748794</v>
      </c>
      <c r="Q1476" s="281">
        <f t="shared" si="299"/>
        <v>24.693411835748794</v>
      </c>
      <c r="R1476" s="281">
        <f t="shared" si="299"/>
        <v>24.693411835748794</v>
      </c>
      <c r="S1476" s="281">
        <f t="shared" si="299"/>
        <v>24.693411835748794</v>
      </c>
    </row>
    <row r="1477" spans="5:19" x14ac:dyDescent="0.25">
      <c r="F1477" t="s">
        <v>933</v>
      </c>
      <c r="G1477" t="s">
        <v>120</v>
      </c>
      <c r="H1477" t="s">
        <v>480</v>
      </c>
      <c r="J1477" s="202"/>
      <c r="K1477" s="198"/>
      <c r="L1477" s="202"/>
      <c r="M1477" s="202"/>
      <c r="N1477" s="202"/>
      <c r="O1477" s="202"/>
      <c r="P1477" s="202"/>
      <c r="Q1477" s="202"/>
      <c r="R1477" s="202"/>
      <c r="S1477" s="202"/>
    </row>
    <row r="1478" spans="5:19" x14ac:dyDescent="0.25">
      <c r="F1478" t="s">
        <v>934</v>
      </c>
      <c r="G1478" t="s">
        <v>120</v>
      </c>
      <c r="H1478" t="s">
        <v>480</v>
      </c>
      <c r="J1478" s="202"/>
      <c r="K1478" s="198"/>
      <c r="L1478" s="202"/>
      <c r="M1478" s="202"/>
      <c r="N1478" s="202"/>
      <c r="O1478" s="202"/>
      <c r="P1478" s="202"/>
      <c r="Q1478" s="202"/>
      <c r="R1478" s="202"/>
      <c r="S1478" s="202"/>
    </row>
    <row r="1479" spans="5:19" x14ac:dyDescent="0.25">
      <c r="F1479" t="s">
        <v>935</v>
      </c>
      <c r="G1479" t="s">
        <v>120</v>
      </c>
      <c r="H1479" t="s">
        <v>480</v>
      </c>
      <c r="J1479" s="202"/>
      <c r="K1479" s="198"/>
      <c r="L1479" s="202"/>
      <c r="M1479" s="202"/>
      <c r="N1479" s="202"/>
      <c r="O1479" s="202"/>
      <c r="P1479" s="202"/>
      <c r="Q1479" s="202"/>
      <c r="R1479" s="202"/>
      <c r="S1479" s="202"/>
    </row>
    <row r="1480" spans="5:19" x14ac:dyDescent="0.25">
      <c r="F1480" t="s">
        <v>936</v>
      </c>
      <c r="G1480" t="s">
        <v>120</v>
      </c>
      <c r="H1480" t="s">
        <v>480</v>
      </c>
      <c r="J1480" s="202"/>
      <c r="K1480" s="198"/>
      <c r="L1480" s="202"/>
      <c r="M1480" s="202"/>
      <c r="N1480" s="202"/>
      <c r="O1480" s="202"/>
      <c r="P1480" s="202"/>
      <c r="Q1480" s="202"/>
      <c r="R1480" s="202"/>
      <c r="S1480" s="202"/>
    </row>
    <row r="1481" spans="5:19" x14ac:dyDescent="0.25">
      <c r="F1481" t="s">
        <v>937</v>
      </c>
      <c r="G1481" t="s">
        <v>120</v>
      </c>
      <c r="H1481" t="s">
        <v>480</v>
      </c>
      <c r="J1481" s="202"/>
      <c r="K1481" s="198"/>
      <c r="L1481" s="202"/>
      <c r="M1481" s="202"/>
      <c r="N1481" s="202"/>
      <c r="O1481" s="202"/>
      <c r="P1481" s="202"/>
      <c r="Q1481" s="202"/>
      <c r="R1481" s="202"/>
      <c r="S1481" s="202"/>
    </row>
    <row r="1482" spans="5:19" x14ac:dyDescent="0.25">
      <c r="F1482" t="s">
        <v>938</v>
      </c>
      <c r="G1482" t="s">
        <v>120</v>
      </c>
      <c r="H1482" t="s">
        <v>480</v>
      </c>
      <c r="J1482" s="202"/>
      <c r="K1482" s="198"/>
      <c r="L1482" s="202"/>
      <c r="M1482" s="202"/>
      <c r="N1482" s="202"/>
      <c r="O1482" s="202"/>
      <c r="P1482" s="202"/>
      <c r="Q1482" s="202"/>
      <c r="R1482" s="202"/>
      <c r="S1482" s="202"/>
    </row>
    <row r="1483" spans="5:19" x14ac:dyDescent="0.25">
      <c r="F1483" t="s">
        <v>939</v>
      </c>
      <c r="G1483" t="s">
        <v>120</v>
      </c>
      <c r="H1483" t="s">
        <v>480</v>
      </c>
      <c r="J1483" s="202"/>
      <c r="K1483" s="198"/>
      <c r="L1483" s="202"/>
      <c r="M1483" s="202"/>
      <c r="N1483" s="202"/>
      <c r="O1483" s="202"/>
      <c r="P1483" s="202"/>
      <c r="Q1483" s="202"/>
      <c r="R1483" s="202"/>
      <c r="S1483" s="202"/>
    </row>
    <row r="1484" spans="5:19" x14ac:dyDescent="0.25">
      <c r="F1484" s="17" t="s">
        <v>940</v>
      </c>
      <c r="G1484" s="17" t="s">
        <v>120</v>
      </c>
      <c r="H1484" s="17" t="s">
        <v>480</v>
      </c>
      <c r="I1484" s="122"/>
      <c r="J1484" s="203"/>
      <c r="K1484" s="200"/>
      <c r="L1484" s="203"/>
      <c r="M1484" s="203"/>
      <c r="N1484" s="203"/>
      <c r="O1484" s="203"/>
      <c r="P1484" s="203"/>
      <c r="Q1484" s="203"/>
      <c r="R1484" s="203"/>
      <c r="S1484" s="203"/>
    </row>
    <row r="1485" spans="5:19" x14ac:dyDescent="0.25">
      <c r="J1485" s="198"/>
      <c r="K1485" s="198"/>
      <c r="L1485" s="198"/>
      <c r="M1485" s="198"/>
      <c r="N1485" s="198"/>
      <c r="O1485" s="198"/>
      <c r="P1485" s="198"/>
      <c r="Q1485" s="198"/>
      <c r="R1485" s="198"/>
      <c r="S1485" s="198"/>
    </row>
    <row r="1486" spans="5:19" x14ac:dyDescent="0.25">
      <c r="E1486" s="121" t="s">
        <v>200</v>
      </c>
      <c r="J1486" s="198"/>
      <c r="K1486" s="198"/>
      <c r="L1486" s="198"/>
      <c r="M1486" s="198"/>
      <c r="N1486" s="198"/>
      <c r="O1486" s="198"/>
      <c r="P1486" s="198"/>
      <c r="Q1486" s="198"/>
      <c r="R1486" s="198"/>
      <c r="S1486" s="198"/>
    </row>
    <row r="1487" spans="5:19" x14ac:dyDescent="0.25">
      <c r="F1487" s="80" t="s">
        <v>925</v>
      </c>
      <c r="G1487" s="80" t="s">
        <v>120</v>
      </c>
      <c r="H1487" s="80" t="s">
        <v>480</v>
      </c>
      <c r="I1487" s="94"/>
      <c r="J1487" s="195">
        <f t="shared" ref="J1487" si="300">CHOOSE(year_selection, L1487,M1487,N1487,O1487,P1487,Q1487,R1487,S1487)</f>
        <v>111734.49537012567</v>
      </c>
      <c r="K1487" s="196"/>
      <c r="L1487" s="280"/>
      <c r="M1487" s="280">
        <v>77857.433456864877</v>
      </c>
      <c r="N1487" s="280">
        <v>93389.149121203503</v>
      </c>
      <c r="O1487" s="280">
        <v>111734.49537012567</v>
      </c>
      <c r="P1487" s="280">
        <f t="shared" ref="P1487:S1487" si="301">$O1487</f>
        <v>111734.49537012567</v>
      </c>
      <c r="Q1487" s="280">
        <f t="shared" si="301"/>
        <v>111734.49537012567</v>
      </c>
      <c r="R1487" s="280">
        <f t="shared" si="301"/>
        <v>111734.49537012567</v>
      </c>
      <c r="S1487" s="280">
        <f t="shared" si="301"/>
        <v>111734.49537012567</v>
      </c>
    </row>
    <row r="1488" spans="5:19" x14ac:dyDescent="0.25">
      <c r="F1488" t="s">
        <v>926</v>
      </c>
      <c r="G1488" t="s">
        <v>120</v>
      </c>
      <c r="H1488" t="s">
        <v>480</v>
      </c>
      <c r="J1488" s="202"/>
      <c r="K1488" s="198"/>
      <c r="L1488" s="202"/>
      <c r="M1488" s="202"/>
      <c r="N1488" s="202"/>
      <c r="O1488" s="202"/>
      <c r="P1488" s="202"/>
      <c r="Q1488" s="202"/>
      <c r="R1488" s="202"/>
      <c r="S1488" s="202"/>
    </row>
    <row r="1489" spans="5:19" x14ac:dyDescent="0.25">
      <c r="F1489" t="s">
        <v>927</v>
      </c>
      <c r="G1489" t="s">
        <v>120</v>
      </c>
      <c r="H1489" t="s">
        <v>480</v>
      </c>
      <c r="J1489" s="197">
        <f t="shared" ref="J1489" si="302">CHOOSE(year_selection, L1489,M1489,N1489,O1489,P1489,Q1489,R1489,S1489)</f>
        <v>1184.7621059224277</v>
      </c>
      <c r="K1489" s="198"/>
      <c r="L1489" s="281"/>
      <c r="M1489" s="281">
        <v>339.58954043707547</v>
      </c>
      <c r="N1489" s="281">
        <v>732.80775577851966</v>
      </c>
      <c r="O1489" s="281">
        <v>1184.7621059224277</v>
      </c>
      <c r="P1489" s="281">
        <f t="shared" ref="P1489:S1489" si="303">$O1489</f>
        <v>1184.7621059224277</v>
      </c>
      <c r="Q1489" s="281">
        <f t="shared" si="303"/>
        <v>1184.7621059224277</v>
      </c>
      <c r="R1489" s="281">
        <f t="shared" si="303"/>
        <v>1184.7621059224277</v>
      </c>
      <c r="S1489" s="281">
        <f t="shared" si="303"/>
        <v>1184.7621059224277</v>
      </c>
    </row>
    <row r="1490" spans="5:19" x14ac:dyDescent="0.25">
      <c r="F1490" t="s">
        <v>928</v>
      </c>
      <c r="G1490" t="s">
        <v>120</v>
      </c>
      <c r="H1490" t="s">
        <v>480</v>
      </c>
      <c r="J1490" s="202"/>
      <c r="K1490" s="198"/>
      <c r="L1490" s="202"/>
      <c r="M1490" s="202"/>
      <c r="N1490" s="202"/>
      <c r="O1490" s="202"/>
      <c r="P1490" s="202"/>
      <c r="Q1490" s="202"/>
      <c r="R1490" s="202"/>
      <c r="S1490" s="202"/>
    </row>
    <row r="1491" spans="5:19" x14ac:dyDescent="0.25">
      <c r="F1491" t="s">
        <v>929</v>
      </c>
      <c r="G1491" t="s">
        <v>120</v>
      </c>
      <c r="H1491" t="s">
        <v>480</v>
      </c>
      <c r="J1491" s="197">
        <f t="shared" ref="J1491:J1494" si="304">CHOOSE(year_selection, L1491,M1491,N1491,O1491,P1491,Q1491,R1491,S1491)</f>
        <v>3229.4664471734022</v>
      </c>
      <c r="K1491" s="198"/>
      <c r="L1491" s="281"/>
      <c r="M1491" s="281">
        <v>3007.3741590635541</v>
      </c>
      <c r="N1491" s="281">
        <v>3160.094864426982</v>
      </c>
      <c r="O1491" s="281">
        <v>3229.4664471734022</v>
      </c>
      <c r="P1491" s="281">
        <f t="shared" ref="P1491:S1494" si="305">$O1491</f>
        <v>3229.4664471734022</v>
      </c>
      <c r="Q1491" s="281">
        <f t="shared" si="305"/>
        <v>3229.4664471734022</v>
      </c>
      <c r="R1491" s="281">
        <f t="shared" si="305"/>
        <v>3229.4664471734022</v>
      </c>
      <c r="S1491" s="281">
        <f t="shared" si="305"/>
        <v>3229.4664471734022</v>
      </c>
    </row>
    <row r="1492" spans="5:19" x14ac:dyDescent="0.25">
      <c r="F1492" t="s">
        <v>930</v>
      </c>
      <c r="G1492" t="s">
        <v>120</v>
      </c>
      <c r="H1492" t="s">
        <v>480</v>
      </c>
      <c r="J1492" s="197">
        <f t="shared" si="304"/>
        <v>0</v>
      </c>
      <c r="K1492" s="198"/>
      <c r="L1492" s="281"/>
      <c r="M1492" s="281">
        <v>0</v>
      </c>
      <c r="N1492" s="281">
        <v>0</v>
      </c>
      <c r="O1492" s="281">
        <v>0</v>
      </c>
      <c r="P1492" s="281">
        <f t="shared" si="305"/>
        <v>0</v>
      </c>
      <c r="Q1492" s="281">
        <f t="shared" si="305"/>
        <v>0</v>
      </c>
      <c r="R1492" s="281">
        <f t="shared" si="305"/>
        <v>0</v>
      </c>
      <c r="S1492" s="281">
        <f t="shared" si="305"/>
        <v>0</v>
      </c>
    </row>
    <row r="1493" spans="5:19" x14ac:dyDescent="0.25">
      <c r="F1493" t="s">
        <v>931</v>
      </c>
      <c r="G1493" t="s">
        <v>120</v>
      </c>
      <c r="H1493" t="s">
        <v>480</v>
      </c>
      <c r="J1493" s="197">
        <f t="shared" si="304"/>
        <v>1796.7110888868503</v>
      </c>
      <c r="K1493" s="198"/>
      <c r="L1493" s="281"/>
      <c r="M1493" s="281">
        <v>2410.7302681859042</v>
      </c>
      <c r="N1493" s="281">
        <v>1652.628283372735</v>
      </c>
      <c r="O1493" s="281">
        <v>1796.7110888868503</v>
      </c>
      <c r="P1493" s="281">
        <f t="shared" si="305"/>
        <v>1796.7110888868503</v>
      </c>
      <c r="Q1493" s="281">
        <f t="shared" si="305"/>
        <v>1796.7110888868503</v>
      </c>
      <c r="R1493" s="281">
        <f t="shared" si="305"/>
        <v>1796.7110888868503</v>
      </c>
      <c r="S1493" s="281">
        <f t="shared" si="305"/>
        <v>1796.7110888868503</v>
      </c>
    </row>
    <row r="1494" spans="5:19" x14ac:dyDescent="0.25">
      <c r="F1494" t="s">
        <v>932</v>
      </c>
      <c r="G1494" t="s">
        <v>120</v>
      </c>
      <c r="H1494" t="s">
        <v>480</v>
      </c>
      <c r="J1494" s="197">
        <f t="shared" si="304"/>
        <v>294.53399033816419</v>
      </c>
      <c r="K1494" s="198"/>
      <c r="L1494" s="281"/>
      <c r="M1494" s="281">
        <v>516.44098890961186</v>
      </c>
      <c r="N1494" s="281">
        <v>425.67698927242418</v>
      </c>
      <c r="O1494" s="281">
        <v>294.53399033816419</v>
      </c>
      <c r="P1494" s="281">
        <f t="shared" si="305"/>
        <v>294.53399033816419</v>
      </c>
      <c r="Q1494" s="281">
        <f t="shared" si="305"/>
        <v>294.53399033816419</v>
      </c>
      <c r="R1494" s="281">
        <f t="shared" si="305"/>
        <v>294.53399033816419</v>
      </c>
      <c r="S1494" s="281">
        <f t="shared" si="305"/>
        <v>294.53399033816419</v>
      </c>
    </row>
    <row r="1495" spans="5:19" x14ac:dyDescent="0.25">
      <c r="F1495" t="s">
        <v>933</v>
      </c>
      <c r="G1495" t="s">
        <v>120</v>
      </c>
      <c r="H1495" t="s">
        <v>480</v>
      </c>
      <c r="J1495" s="202"/>
      <c r="K1495" s="198"/>
      <c r="L1495" s="202"/>
      <c r="M1495" s="202"/>
      <c r="N1495" s="202"/>
      <c r="O1495" s="202"/>
      <c r="P1495" s="202"/>
      <c r="Q1495" s="202"/>
      <c r="R1495" s="202"/>
      <c r="S1495" s="202"/>
    </row>
    <row r="1496" spans="5:19" x14ac:dyDescent="0.25">
      <c r="F1496" t="s">
        <v>934</v>
      </c>
      <c r="G1496" t="s">
        <v>120</v>
      </c>
      <c r="H1496" t="s">
        <v>480</v>
      </c>
      <c r="J1496" s="202"/>
      <c r="K1496" s="198"/>
      <c r="L1496" s="202"/>
      <c r="M1496" s="202"/>
      <c r="N1496" s="202"/>
      <c r="O1496" s="202"/>
      <c r="P1496" s="202"/>
      <c r="Q1496" s="202"/>
      <c r="R1496" s="202"/>
      <c r="S1496" s="202"/>
    </row>
    <row r="1497" spans="5:19" x14ac:dyDescent="0.25">
      <c r="F1497" t="s">
        <v>935</v>
      </c>
      <c r="G1497" t="s">
        <v>120</v>
      </c>
      <c r="H1497" t="s">
        <v>480</v>
      </c>
      <c r="J1497" s="202"/>
      <c r="K1497" s="198"/>
      <c r="L1497" s="202"/>
      <c r="M1497" s="202"/>
      <c r="N1497" s="202"/>
      <c r="O1497" s="202"/>
      <c r="P1497" s="202"/>
      <c r="Q1497" s="202"/>
      <c r="R1497" s="202"/>
      <c r="S1497" s="202"/>
    </row>
    <row r="1498" spans="5:19" x14ac:dyDescent="0.25">
      <c r="F1498" t="s">
        <v>936</v>
      </c>
      <c r="G1498" t="s">
        <v>120</v>
      </c>
      <c r="H1498" t="s">
        <v>480</v>
      </c>
      <c r="J1498" s="202"/>
      <c r="K1498" s="198"/>
      <c r="L1498" s="202"/>
      <c r="M1498" s="202"/>
      <c r="N1498" s="202"/>
      <c r="O1498" s="202"/>
      <c r="P1498" s="202"/>
      <c r="Q1498" s="202"/>
      <c r="R1498" s="202"/>
      <c r="S1498" s="202"/>
    </row>
    <row r="1499" spans="5:19" x14ac:dyDescent="0.25">
      <c r="F1499" t="s">
        <v>937</v>
      </c>
      <c r="G1499" t="s">
        <v>120</v>
      </c>
      <c r="H1499" t="s">
        <v>480</v>
      </c>
      <c r="J1499" s="202"/>
      <c r="K1499" s="198"/>
      <c r="L1499" s="202"/>
      <c r="M1499" s="202"/>
      <c r="N1499" s="202"/>
      <c r="O1499" s="202"/>
      <c r="P1499" s="202"/>
      <c r="Q1499" s="202"/>
      <c r="R1499" s="202"/>
      <c r="S1499" s="202"/>
    </row>
    <row r="1500" spans="5:19" x14ac:dyDescent="0.25">
      <c r="F1500" t="s">
        <v>938</v>
      </c>
      <c r="G1500" t="s">
        <v>120</v>
      </c>
      <c r="H1500" t="s">
        <v>480</v>
      </c>
      <c r="J1500" s="202"/>
      <c r="K1500" s="198"/>
      <c r="L1500" s="202"/>
      <c r="M1500" s="202"/>
      <c r="N1500" s="202"/>
      <c r="O1500" s="202"/>
      <c r="P1500" s="202"/>
      <c r="Q1500" s="202"/>
      <c r="R1500" s="202"/>
      <c r="S1500" s="202"/>
    </row>
    <row r="1501" spans="5:19" x14ac:dyDescent="0.25">
      <c r="F1501" t="s">
        <v>939</v>
      </c>
      <c r="G1501" t="s">
        <v>120</v>
      </c>
      <c r="H1501" t="s">
        <v>480</v>
      </c>
      <c r="J1501" s="202"/>
      <c r="K1501" s="198"/>
      <c r="L1501" s="202"/>
      <c r="M1501" s="202"/>
      <c r="N1501" s="202"/>
      <c r="O1501" s="202"/>
      <c r="P1501" s="202"/>
      <c r="Q1501" s="202"/>
      <c r="R1501" s="202"/>
      <c r="S1501" s="202"/>
    </row>
    <row r="1502" spans="5:19" x14ac:dyDescent="0.25">
      <c r="F1502" s="17" t="s">
        <v>940</v>
      </c>
      <c r="G1502" s="17" t="s">
        <v>120</v>
      </c>
      <c r="H1502" s="17" t="s">
        <v>480</v>
      </c>
      <c r="I1502" s="122"/>
      <c r="J1502" s="203"/>
      <c r="K1502" s="200"/>
      <c r="L1502" s="203"/>
      <c r="M1502" s="203"/>
      <c r="N1502" s="203"/>
      <c r="O1502" s="203"/>
      <c r="P1502" s="203"/>
      <c r="Q1502" s="203"/>
      <c r="R1502" s="203"/>
      <c r="S1502" s="203"/>
    </row>
    <row r="1503" spans="5:19" x14ac:dyDescent="0.25">
      <c r="J1503" s="198"/>
      <c r="K1503" s="198"/>
      <c r="L1503" s="198"/>
      <c r="M1503" s="198"/>
      <c r="N1503" s="198"/>
      <c r="O1503" s="198"/>
      <c r="P1503" s="198"/>
      <c r="Q1503" s="198"/>
      <c r="R1503" s="198"/>
      <c r="S1503" s="198"/>
    </row>
    <row r="1504" spans="5:19" x14ac:dyDescent="0.25">
      <c r="E1504" s="121" t="s">
        <v>201</v>
      </c>
      <c r="J1504" s="198"/>
      <c r="K1504" s="198"/>
      <c r="L1504" s="198"/>
      <c r="M1504" s="198"/>
      <c r="N1504" s="198"/>
      <c r="O1504" s="198"/>
      <c r="P1504" s="198"/>
      <c r="Q1504" s="198"/>
      <c r="R1504" s="198"/>
      <c r="S1504" s="198"/>
    </row>
    <row r="1505" spans="6:19" x14ac:dyDescent="0.25">
      <c r="F1505" s="80" t="s">
        <v>925</v>
      </c>
      <c r="G1505" s="80" t="s">
        <v>120</v>
      </c>
      <c r="H1505" s="80" t="s">
        <v>480</v>
      </c>
      <c r="I1505" s="94"/>
      <c r="J1505" s="195">
        <f t="shared" ref="J1505" si="306">CHOOSE(year_selection, L1505,M1505,N1505,O1505,P1505,Q1505,R1505,S1505)</f>
        <v>100076.82667142931</v>
      </c>
      <c r="K1505" s="196"/>
      <c r="L1505" s="280"/>
      <c r="M1505" s="280">
        <v>71742.199619442865</v>
      </c>
      <c r="N1505" s="280">
        <v>86054.025683257685</v>
      </c>
      <c r="O1505" s="280">
        <v>100076.82667142931</v>
      </c>
      <c r="P1505" s="280">
        <f t="shared" ref="P1505:S1505" si="307">$O1505</f>
        <v>100076.82667142931</v>
      </c>
      <c r="Q1505" s="280">
        <f t="shared" si="307"/>
        <v>100076.82667142931</v>
      </c>
      <c r="R1505" s="280">
        <f t="shared" si="307"/>
        <v>100076.82667142931</v>
      </c>
      <c r="S1505" s="280">
        <f t="shared" si="307"/>
        <v>100076.82667142931</v>
      </c>
    </row>
    <row r="1506" spans="6:19" x14ac:dyDescent="0.25">
      <c r="F1506" t="s">
        <v>926</v>
      </c>
      <c r="G1506" t="s">
        <v>120</v>
      </c>
      <c r="H1506" t="s">
        <v>480</v>
      </c>
      <c r="J1506" s="202"/>
      <c r="K1506" s="198"/>
      <c r="L1506" s="202"/>
      <c r="M1506" s="202"/>
      <c r="N1506" s="202"/>
      <c r="O1506" s="202"/>
      <c r="P1506" s="202"/>
      <c r="Q1506" s="202"/>
      <c r="R1506" s="202"/>
      <c r="S1506" s="202"/>
    </row>
    <row r="1507" spans="6:19" x14ac:dyDescent="0.25">
      <c r="F1507" t="s">
        <v>927</v>
      </c>
      <c r="G1507" t="s">
        <v>120</v>
      </c>
      <c r="H1507" t="s">
        <v>480</v>
      </c>
      <c r="J1507" s="197">
        <f t="shared" ref="J1507" si="308">CHOOSE(year_selection, L1507,M1507,N1507,O1507,P1507,Q1507,R1507,S1507)</f>
        <v>924.10191609268861</v>
      </c>
      <c r="K1507" s="198"/>
      <c r="L1507" s="281"/>
      <c r="M1507" s="281">
        <v>327.83037672420721</v>
      </c>
      <c r="N1507" s="281">
        <v>707.58680977263282</v>
      </c>
      <c r="O1507" s="281">
        <v>924.10191609268861</v>
      </c>
      <c r="P1507" s="281">
        <f t="shared" ref="P1507:S1507" si="309">$O1507</f>
        <v>924.10191609268861</v>
      </c>
      <c r="Q1507" s="281">
        <f t="shared" si="309"/>
        <v>924.10191609268861</v>
      </c>
      <c r="R1507" s="281">
        <f t="shared" si="309"/>
        <v>924.10191609268861</v>
      </c>
      <c r="S1507" s="281">
        <f t="shared" si="309"/>
        <v>924.10191609268861</v>
      </c>
    </row>
    <row r="1508" spans="6:19" x14ac:dyDescent="0.25">
      <c r="F1508" t="s">
        <v>928</v>
      </c>
      <c r="G1508" t="s">
        <v>120</v>
      </c>
      <c r="H1508" t="s">
        <v>480</v>
      </c>
      <c r="J1508" s="202"/>
      <c r="K1508" s="198"/>
      <c r="L1508" s="202"/>
      <c r="M1508" s="202"/>
      <c r="N1508" s="202"/>
      <c r="O1508" s="202"/>
      <c r="P1508" s="202"/>
      <c r="Q1508" s="202"/>
      <c r="R1508" s="202"/>
      <c r="S1508" s="202"/>
    </row>
    <row r="1509" spans="6:19" x14ac:dyDescent="0.25">
      <c r="F1509" t="s">
        <v>929</v>
      </c>
      <c r="G1509" t="s">
        <v>120</v>
      </c>
      <c r="H1509" t="s">
        <v>480</v>
      </c>
      <c r="J1509" s="197">
        <f t="shared" ref="J1509:J1512" si="310">CHOOSE(year_selection, L1509,M1509,N1509,O1509,P1509,Q1509,R1509,S1509)</f>
        <v>2941.2496578870246</v>
      </c>
      <c r="K1509" s="198"/>
      <c r="L1509" s="281"/>
      <c r="M1509" s="281">
        <v>2606.5790117622564</v>
      </c>
      <c r="N1509" s="281">
        <v>2739.371480274428</v>
      </c>
      <c r="O1509" s="281">
        <v>2941.2496578870246</v>
      </c>
      <c r="P1509" s="281">
        <f t="shared" ref="P1509:S1512" si="311">$O1509</f>
        <v>2941.2496578870246</v>
      </c>
      <c r="Q1509" s="281">
        <f t="shared" si="311"/>
        <v>2941.2496578870246</v>
      </c>
      <c r="R1509" s="281">
        <f t="shared" si="311"/>
        <v>2941.2496578870246</v>
      </c>
      <c r="S1509" s="281">
        <f t="shared" si="311"/>
        <v>2941.2496578870246</v>
      </c>
    </row>
    <row r="1510" spans="6:19" x14ac:dyDescent="0.25">
      <c r="F1510" t="s">
        <v>930</v>
      </c>
      <c r="G1510" t="s">
        <v>120</v>
      </c>
      <c r="H1510" t="s">
        <v>480</v>
      </c>
      <c r="J1510" s="197">
        <f t="shared" si="310"/>
        <v>0</v>
      </c>
      <c r="K1510" s="198"/>
      <c r="L1510" s="281"/>
      <c r="M1510" s="281">
        <v>0</v>
      </c>
      <c r="N1510" s="281">
        <v>0</v>
      </c>
      <c r="O1510" s="281">
        <v>0</v>
      </c>
      <c r="P1510" s="281">
        <f t="shared" si="311"/>
        <v>0</v>
      </c>
      <c r="Q1510" s="281">
        <f t="shared" si="311"/>
        <v>0</v>
      </c>
      <c r="R1510" s="281">
        <f t="shared" si="311"/>
        <v>0</v>
      </c>
      <c r="S1510" s="281">
        <f t="shared" si="311"/>
        <v>0</v>
      </c>
    </row>
    <row r="1511" spans="6:19" x14ac:dyDescent="0.25">
      <c r="F1511" t="s">
        <v>931</v>
      </c>
      <c r="G1511" t="s">
        <v>120</v>
      </c>
      <c r="H1511" t="s">
        <v>480</v>
      </c>
      <c r="J1511" s="197">
        <f t="shared" si="310"/>
        <v>2105.8513088995433</v>
      </c>
      <c r="K1511" s="198"/>
      <c r="L1511" s="281"/>
      <c r="M1511" s="281">
        <v>2629.9846936139538</v>
      </c>
      <c r="N1511" s="281">
        <v>1803.1752790973892</v>
      </c>
      <c r="O1511" s="281">
        <v>2105.8513088995433</v>
      </c>
      <c r="P1511" s="281">
        <f t="shared" si="311"/>
        <v>2105.8513088995433</v>
      </c>
      <c r="Q1511" s="281">
        <f t="shared" si="311"/>
        <v>2105.8513088995433</v>
      </c>
      <c r="R1511" s="281">
        <f t="shared" si="311"/>
        <v>2105.8513088995433</v>
      </c>
      <c r="S1511" s="281">
        <f t="shared" si="311"/>
        <v>2105.8513088995433</v>
      </c>
    </row>
    <row r="1512" spans="6:19" x14ac:dyDescent="0.25">
      <c r="F1512" t="s">
        <v>932</v>
      </c>
      <c r="G1512" t="s">
        <v>120</v>
      </c>
      <c r="H1512" t="s">
        <v>480</v>
      </c>
      <c r="J1512" s="197">
        <f t="shared" si="310"/>
        <v>338.79760084541061</v>
      </c>
      <c r="K1512" s="198"/>
      <c r="L1512" s="281"/>
      <c r="M1512" s="281">
        <v>572.49879988195812</v>
      </c>
      <c r="N1512" s="281">
        <v>474.11579011936857</v>
      </c>
      <c r="O1512" s="281">
        <v>338.79760084541061</v>
      </c>
      <c r="P1512" s="281">
        <f t="shared" si="311"/>
        <v>338.79760084541061</v>
      </c>
      <c r="Q1512" s="281">
        <f t="shared" si="311"/>
        <v>338.79760084541061</v>
      </c>
      <c r="R1512" s="281">
        <f t="shared" si="311"/>
        <v>338.79760084541061</v>
      </c>
      <c r="S1512" s="281">
        <f t="shared" si="311"/>
        <v>338.79760084541061</v>
      </c>
    </row>
    <row r="1513" spans="6:19" x14ac:dyDescent="0.25">
      <c r="F1513" t="s">
        <v>933</v>
      </c>
      <c r="G1513" t="s">
        <v>120</v>
      </c>
      <c r="H1513" t="s">
        <v>480</v>
      </c>
      <c r="J1513" s="202"/>
      <c r="K1513" s="198"/>
      <c r="L1513" s="202"/>
      <c r="M1513" s="202"/>
      <c r="N1513" s="202"/>
      <c r="O1513" s="202"/>
      <c r="P1513" s="202"/>
      <c r="Q1513" s="202"/>
      <c r="R1513" s="202"/>
      <c r="S1513" s="202"/>
    </row>
    <row r="1514" spans="6:19" x14ac:dyDescent="0.25">
      <c r="F1514" t="s">
        <v>934</v>
      </c>
      <c r="G1514" t="s">
        <v>120</v>
      </c>
      <c r="H1514" t="s">
        <v>480</v>
      </c>
      <c r="J1514" s="202"/>
      <c r="K1514" s="198"/>
      <c r="L1514" s="202"/>
      <c r="M1514" s="202"/>
      <c r="N1514" s="202"/>
      <c r="O1514" s="202"/>
      <c r="P1514" s="202"/>
      <c r="Q1514" s="202"/>
      <c r="R1514" s="202"/>
      <c r="S1514" s="202"/>
    </row>
    <row r="1515" spans="6:19" x14ac:dyDescent="0.25">
      <c r="F1515" t="s">
        <v>935</v>
      </c>
      <c r="G1515" t="s">
        <v>120</v>
      </c>
      <c r="H1515" t="s">
        <v>480</v>
      </c>
      <c r="J1515" s="202"/>
      <c r="K1515" s="198"/>
      <c r="L1515" s="202"/>
      <c r="M1515" s="202"/>
      <c r="N1515" s="202"/>
      <c r="O1515" s="202"/>
      <c r="P1515" s="202"/>
      <c r="Q1515" s="202"/>
      <c r="R1515" s="202"/>
      <c r="S1515" s="202"/>
    </row>
    <row r="1516" spans="6:19" x14ac:dyDescent="0.25">
      <c r="F1516" t="s">
        <v>936</v>
      </c>
      <c r="G1516" t="s">
        <v>120</v>
      </c>
      <c r="H1516" t="s">
        <v>480</v>
      </c>
      <c r="J1516" s="202"/>
      <c r="K1516" s="198"/>
      <c r="L1516" s="202"/>
      <c r="M1516" s="202"/>
      <c r="N1516" s="202"/>
      <c r="O1516" s="202"/>
      <c r="P1516" s="202"/>
      <c r="Q1516" s="202"/>
      <c r="R1516" s="202"/>
      <c r="S1516" s="202"/>
    </row>
    <row r="1517" spans="6:19" x14ac:dyDescent="0.25">
      <c r="F1517" t="s">
        <v>937</v>
      </c>
      <c r="G1517" t="s">
        <v>120</v>
      </c>
      <c r="H1517" t="s">
        <v>480</v>
      </c>
      <c r="J1517" s="202"/>
      <c r="K1517" s="198"/>
      <c r="L1517" s="202"/>
      <c r="M1517" s="202"/>
      <c r="N1517" s="202"/>
      <c r="O1517" s="202"/>
      <c r="P1517" s="202"/>
      <c r="Q1517" s="202"/>
      <c r="R1517" s="202"/>
      <c r="S1517" s="202"/>
    </row>
    <row r="1518" spans="6:19" x14ac:dyDescent="0.25">
      <c r="F1518" t="s">
        <v>938</v>
      </c>
      <c r="G1518" t="s">
        <v>120</v>
      </c>
      <c r="H1518" t="s">
        <v>480</v>
      </c>
      <c r="J1518" s="202"/>
      <c r="K1518" s="198"/>
      <c r="L1518" s="202"/>
      <c r="M1518" s="202"/>
      <c r="N1518" s="202"/>
      <c r="O1518" s="202"/>
      <c r="P1518" s="202"/>
      <c r="Q1518" s="202"/>
      <c r="R1518" s="202"/>
      <c r="S1518" s="202"/>
    </row>
    <row r="1519" spans="6:19" x14ac:dyDescent="0.25">
      <c r="F1519" t="s">
        <v>939</v>
      </c>
      <c r="G1519" t="s">
        <v>120</v>
      </c>
      <c r="H1519" t="s">
        <v>480</v>
      </c>
      <c r="J1519" s="202"/>
      <c r="K1519" s="198"/>
      <c r="L1519" s="202"/>
      <c r="M1519" s="202"/>
      <c r="N1519" s="202"/>
      <c r="O1519" s="202"/>
      <c r="P1519" s="202"/>
      <c r="Q1519" s="202"/>
      <c r="R1519" s="202"/>
      <c r="S1519" s="202"/>
    </row>
    <row r="1520" spans="6:19" x14ac:dyDescent="0.25">
      <c r="F1520" s="17" t="s">
        <v>940</v>
      </c>
      <c r="G1520" s="17" t="s">
        <v>120</v>
      </c>
      <c r="H1520" s="17" t="s">
        <v>480</v>
      </c>
      <c r="I1520" s="122"/>
      <c r="J1520" s="203"/>
      <c r="K1520" s="200"/>
      <c r="L1520" s="203"/>
      <c r="M1520" s="203"/>
      <c r="N1520" s="203"/>
      <c r="O1520" s="203"/>
      <c r="P1520" s="203"/>
      <c r="Q1520" s="203"/>
      <c r="R1520" s="203"/>
      <c r="S1520" s="203"/>
    </row>
    <row r="1521" spans="5:19" x14ac:dyDescent="0.25">
      <c r="J1521" s="198"/>
      <c r="K1521" s="198"/>
      <c r="L1521" s="198"/>
      <c r="M1521" s="198"/>
      <c r="N1521" s="198"/>
      <c r="O1521" s="198"/>
      <c r="P1521" s="198"/>
      <c r="Q1521" s="198"/>
      <c r="R1521" s="198"/>
      <c r="S1521" s="198"/>
    </row>
    <row r="1522" spans="5:19" x14ac:dyDescent="0.25">
      <c r="E1522" s="121" t="s">
        <v>74</v>
      </c>
      <c r="J1522" s="198"/>
      <c r="K1522" s="198"/>
      <c r="L1522" s="198"/>
      <c r="M1522" s="198"/>
      <c r="N1522" s="198"/>
      <c r="O1522" s="198"/>
      <c r="P1522" s="198"/>
      <c r="Q1522" s="198"/>
      <c r="R1522" s="198"/>
      <c r="S1522" s="198"/>
    </row>
    <row r="1523" spans="5:19" x14ac:dyDescent="0.25">
      <c r="F1523" s="80" t="s">
        <v>925</v>
      </c>
      <c r="G1523" s="80" t="s">
        <v>74</v>
      </c>
      <c r="H1523" s="80" t="s">
        <v>480</v>
      </c>
      <c r="I1523" s="94"/>
      <c r="J1523" s="195">
        <f t="shared" ref="J1523" si="312">CHOOSE(year_selection, L1523,M1523,N1523,O1523,P1523,Q1523,R1523,S1523)</f>
        <v>84249.703927492461</v>
      </c>
      <c r="K1523" s="196"/>
      <c r="L1523" s="280"/>
      <c r="M1523" s="280">
        <v>66053</v>
      </c>
      <c r="N1523" s="280">
        <v>74778</v>
      </c>
      <c r="O1523" s="280">
        <v>84249.703927492461</v>
      </c>
      <c r="P1523" s="280">
        <f t="shared" ref="P1523:S1523" si="313">$O1523</f>
        <v>84249.703927492461</v>
      </c>
      <c r="Q1523" s="280">
        <f t="shared" si="313"/>
        <v>84249.703927492461</v>
      </c>
      <c r="R1523" s="280">
        <f t="shared" si="313"/>
        <v>84249.703927492461</v>
      </c>
      <c r="S1523" s="280">
        <f t="shared" si="313"/>
        <v>84249.703927492461</v>
      </c>
    </row>
    <row r="1524" spans="5:19" x14ac:dyDescent="0.25">
      <c r="F1524" t="s">
        <v>926</v>
      </c>
      <c r="G1524" t="s">
        <v>74</v>
      </c>
      <c r="H1524" t="s">
        <v>480</v>
      </c>
      <c r="J1524" s="202"/>
      <c r="K1524" s="198"/>
      <c r="L1524" s="202"/>
      <c r="M1524" s="202"/>
      <c r="N1524" s="202"/>
      <c r="O1524" s="202"/>
      <c r="P1524" s="202"/>
      <c r="Q1524" s="202"/>
      <c r="R1524" s="202"/>
      <c r="S1524" s="202"/>
    </row>
    <row r="1525" spans="5:19" x14ac:dyDescent="0.25">
      <c r="F1525" t="s">
        <v>927</v>
      </c>
      <c r="G1525" t="s">
        <v>74</v>
      </c>
      <c r="H1525" t="s">
        <v>480</v>
      </c>
      <c r="J1525" s="197">
        <f t="shared" ref="J1525" si="314">CHOOSE(year_selection, L1525,M1525,N1525,O1525,P1525,Q1525,R1525,S1525)</f>
        <v>587</v>
      </c>
      <c r="K1525" s="198"/>
      <c r="L1525" s="281"/>
      <c r="M1525" s="281">
        <v>576</v>
      </c>
      <c r="N1525" s="281">
        <v>599</v>
      </c>
      <c r="O1525" s="281">
        <v>587</v>
      </c>
      <c r="P1525" s="281">
        <f t="shared" ref="P1525:S1525" si="315">$O1525</f>
        <v>587</v>
      </c>
      <c r="Q1525" s="281">
        <f t="shared" si="315"/>
        <v>587</v>
      </c>
      <c r="R1525" s="281">
        <f t="shared" si="315"/>
        <v>587</v>
      </c>
      <c r="S1525" s="281">
        <f t="shared" si="315"/>
        <v>587</v>
      </c>
    </row>
    <row r="1526" spans="5:19" x14ac:dyDescent="0.25">
      <c r="F1526" t="s">
        <v>928</v>
      </c>
      <c r="G1526" t="s">
        <v>74</v>
      </c>
      <c r="H1526" t="s">
        <v>480</v>
      </c>
      <c r="J1526" s="202"/>
      <c r="K1526" s="198"/>
      <c r="L1526" s="202"/>
      <c r="M1526" s="202"/>
      <c r="N1526" s="202"/>
      <c r="O1526" s="202"/>
      <c r="P1526" s="202"/>
      <c r="Q1526" s="202"/>
      <c r="R1526" s="202"/>
      <c r="S1526" s="202"/>
    </row>
    <row r="1527" spans="5:19" x14ac:dyDescent="0.25">
      <c r="F1527" t="s">
        <v>929</v>
      </c>
      <c r="G1527" t="s">
        <v>74</v>
      </c>
      <c r="H1527" t="s">
        <v>480</v>
      </c>
      <c r="J1527" s="197">
        <f t="shared" ref="J1527:J1530" si="316">CHOOSE(year_selection, L1527,M1527,N1527,O1527,P1527,Q1527,R1527,S1527)</f>
        <v>89</v>
      </c>
      <c r="K1527" s="198"/>
      <c r="L1527" s="281"/>
      <c r="M1527" s="281">
        <v>78</v>
      </c>
      <c r="N1527" s="281">
        <v>87</v>
      </c>
      <c r="O1527" s="281">
        <v>89</v>
      </c>
      <c r="P1527" s="281">
        <f t="shared" ref="P1527:S1530" si="317">$O1527</f>
        <v>89</v>
      </c>
      <c r="Q1527" s="281">
        <f t="shared" si="317"/>
        <v>89</v>
      </c>
      <c r="R1527" s="281">
        <f t="shared" si="317"/>
        <v>89</v>
      </c>
      <c r="S1527" s="281">
        <f t="shared" si="317"/>
        <v>89</v>
      </c>
    </row>
    <row r="1528" spans="5:19" x14ac:dyDescent="0.25">
      <c r="F1528" t="s">
        <v>930</v>
      </c>
      <c r="G1528" t="s">
        <v>74</v>
      </c>
      <c r="H1528" t="s">
        <v>480</v>
      </c>
      <c r="J1528" s="197">
        <f t="shared" si="316"/>
        <v>0</v>
      </c>
      <c r="K1528" s="198"/>
      <c r="L1528" s="281"/>
      <c r="M1528" s="281">
        <v>0</v>
      </c>
      <c r="N1528" s="281">
        <v>0</v>
      </c>
      <c r="O1528" s="281">
        <v>0</v>
      </c>
      <c r="P1528" s="281">
        <f t="shared" si="317"/>
        <v>0</v>
      </c>
      <c r="Q1528" s="281">
        <f t="shared" si="317"/>
        <v>0</v>
      </c>
      <c r="R1528" s="281">
        <f t="shared" si="317"/>
        <v>0</v>
      </c>
      <c r="S1528" s="281">
        <f t="shared" si="317"/>
        <v>0</v>
      </c>
    </row>
    <row r="1529" spans="5:19" x14ac:dyDescent="0.25">
      <c r="F1529" t="s">
        <v>931</v>
      </c>
      <c r="G1529" t="s">
        <v>74</v>
      </c>
      <c r="H1529" t="s">
        <v>480</v>
      </c>
      <c r="J1529" s="197">
        <f t="shared" si="316"/>
        <v>9</v>
      </c>
      <c r="K1529" s="198"/>
      <c r="L1529" s="281"/>
      <c r="M1529" s="281">
        <v>9</v>
      </c>
      <c r="N1529" s="281">
        <v>9</v>
      </c>
      <c r="O1529" s="281">
        <v>9</v>
      </c>
      <c r="P1529" s="281">
        <f t="shared" si="317"/>
        <v>9</v>
      </c>
      <c r="Q1529" s="281">
        <f t="shared" si="317"/>
        <v>9</v>
      </c>
      <c r="R1529" s="281">
        <f t="shared" si="317"/>
        <v>9</v>
      </c>
      <c r="S1529" s="281">
        <f t="shared" si="317"/>
        <v>9</v>
      </c>
    </row>
    <row r="1530" spans="5:19" x14ac:dyDescent="0.25">
      <c r="F1530" t="s">
        <v>932</v>
      </c>
      <c r="G1530" t="s">
        <v>74</v>
      </c>
      <c r="H1530" t="s">
        <v>480</v>
      </c>
      <c r="J1530" s="197">
        <f t="shared" si="316"/>
        <v>71</v>
      </c>
      <c r="K1530" s="198"/>
      <c r="L1530" s="281"/>
      <c r="M1530" s="281">
        <v>55</v>
      </c>
      <c r="N1530" s="281">
        <v>70</v>
      </c>
      <c r="O1530" s="281">
        <v>71</v>
      </c>
      <c r="P1530" s="281">
        <f t="shared" si="317"/>
        <v>71</v>
      </c>
      <c r="Q1530" s="281">
        <f t="shared" si="317"/>
        <v>71</v>
      </c>
      <c r="R1530" s="281">
        <f t="shared" si="317"/>
        <v>71</v>
      </c>
      <c r="S1530" s="281">
        <f t="shared" si="317"/>
        <v>71</v>
      </c>
    </row>
    <row r="1531" spans="5:19" x14ac:dyDescent="0.25">
      <c r="F1531" t="s">
        <v>933</v>
      </c>
      <c r="G1531" t="s">
        <v>74</v>
      </c>
      <c r="H1531" t="s">
        <v>480</v>
      </c>
      <c r="J1531" s="202"/>
      <c r="K1531" s="198"/>
      <c r="L1531" s="202"/>
      <c r="M1531" s="202"/>
      <c r="N1531" s="202"/>
      <c r="O1531" s="202"/>
      <c r="P1531" s="202"/>
      <c r="Q1531" s="202"/>
      <c r="R1531" s="202"/>
      <c r="S1531" s="202"/>
    </row>
    <row r="1532" spans="5:19" x14ac:dyDescent="0.25">
      <c r="F1532" t="s">
        <v>934</v>
      </c>
      <c r="G1532" t="s">
        <v>74</v>
      </c>
      <c r="H1532" t="s">
        <v>480</v>
      </c>
      <c r="J1532" s="202"/>
      <c r="K1532" s="198"/>
      <c r="L1532" s="202"/>
      <c r="M1532" s="202"/>
      <c r="N1532" s="202"/>
      <c r="O1532" s="202"/>
      <c r="P1532" s="202"/>
      <c r="Q1532" s="202"/>
      <c r="R1532" s="202"/>
      <c r="S1532" s="202"/>
    </row>
    <row r="1533" spans="5:19" x14ac:dyDescent="0.25">
      <c r="F1533" t="s">
        <v>935</v>
      </c>
      <c r="G1533" t="s">
        <v>74</v>
      </c>
      <c r="H1533" t="s">
        <v>480</v>
      </c>
      <c r="J1533" s="202"/>
      <c r="K1533" s="198"/>
      <c r="L1533" s="202"/>
      <c r="M1533" s="202"/>
      <c r="N1533" s="202"/>
      <c r="O1533" s="202"/>
      <c r="P1533" s="202"/>
      <c r="Q1533" s="202"/>
      <c r="R1533" s="202"/>
      <c r="S1533" s="202"/>
    </row>
    <row r="1534" spans="5:19" x14ac:dyDescent="0.25">
      <c r="F1534" t="s">
        <v>936</v>
      </c>
      <c r="G1534" t="s">
        <v>74</v>
      </c>
      <c r="H1534" t="s">
        <v>480</v>
      </c>
      <c r="J1534" s="202"/>
      <c r="K1534" s="198"/>
      <c r="L1534" s="202"/>
      <c r="M1534" s="202"/>
      <c r="N1534" s="202"/>
      <c r="O1534" s="202"/>
      <c r="P1534" s="202"/>
      <c r="Q1534" s="202"/>
      <c r="R1534" s="202"/>
      <c r="S1534" s="202"/>
    </row>
    <row r="1535" spans="5:19" x14ac:dyDescent="0.25">
      <c r="F1535" t="s">
        <v>937</v>
      </c>
      <c r="G1535" t="s">
        <v>74</v>
      </c>
      <c r="H1535" t="s">
        <v>480</v>
      </c>
      <c r="J1535" s="202"/>
      <c r="K1535" s="198"/>
      <c r="L1535" s="202"/>
      <c r="M1535" s="202"/>
      <c r="N1535" s="202"/>
      <c r="O1535" s="202"/>
      <c r="P1535" s="202"/>
      <c r="Q1535" s="202"/>
      <c r="R1535" s="202"/>
      <c r="S1535" s="202"/>
    </row>
    <row r="1536" spans="5:19" x14ac:dyDescent="0.25">
      <c r="F1536" t="s">
        <v>938</v>
      </c>
      <c r="G1536" t="s">
        <v>74</v>
      </c>
      <c r="H1536" t="s">
        <v>480</v>
      </c>
      <c r="J1536" s="202"/>
      <c r="K1536" s="198"/>
      <c r="L1536" s="202"/>
      <c r="M1536" s="202"/>
      <c r="N1536" s="202"/>
      <c r="O1536" s="202"/>
      <c r="P1536" s="202"/>
      <c r="Q1536" s="202"/>
      <c r="R1536" s="202"/>
      <c r="S1536" s="202"/>
    </row>
    <row r="1537" spans="5:19" x14ac:dyDescent="0.25">
      <c r="F1537" t="s">
        <v>939</v>
      </c>
      <c r="G1537" t="s">
        <v>74</v>
      </c>
      <c r="H1537" t="s">
        <v>480</v>
      </c>
      <c r="J1537" s="202"/>
      <c r="K1537" s="198"/>
      <c r="L1537" s="202"/>
      <c r="M1537" s="202"/>
      <c r="N1537" s="202"/>
      <c r="O1537" s="202"/>
      <c r="P1537" s="202"/>
      <c r="Q1537" s="202"/>
      <c r="R1537" s="202"/>
      <c r="S1537" s="202"/>
    </row>
    <row r="1538" spans="5:19" x14ac:dyDescent="0.25">
      <c r="F1538" s="17" t="s">
        <v>940</v>
      </c>
      <c r="G1538" s="17" t="s">
        <v>74</v>
      </c>
      <c r="H1538" s="17" t="s">
        <v>480</v>
      </c>
      <c r="I1538" s="122"/>
      <c r="J1538" s="203"/>
      <c r="K1538" s="200"/>
      <c r="L1538" s="203"/>
      <c r="M1538" s="203"/>
      <c r="N1538" s="203"/>
      <c r="O1538" s="203"/>
      <c r="P1538" s="203"/>
      <c r="Q1538" s="203"/>
      <c r="R1538" s="203"/>
      <c r="S1538" s="203"/>
    </row>
    <row r="1539" spans="5:19" x14ac:dyDescent="0.25">
      <c r="J1539" s="198"/>
      <c r="K1539" s="198"/>
      <c r="L1539" s="198"/>
      <c r="M1539" s="198"/>
      <c r="N1539" s="198"/>
      <c r="O1539" s="198"/>
      <c r="P1539" s="198"/>
      <c r="Q1539" s="198"/>
      <c r="R1539" s="198"/>
      <c r="S1539" s="198"/>
    </row>
    <row r="1540" spans="5:19" x14ac:dyDescent="0.25">
      <c r="E1540" s="121" t="s">
        <v>202</v>
      </c>
      <c r="J1540" s="198"/>
      <c r="K1540" s="198"/>
      <c r="L1540" s="198"/>
      <c r="M1540" s="198"/>
      <c r="N1540" s="198"/>
      <c r="O1540" s="198"/>
      <c r="P1540" s="198"/>
      <c r="Q1540" s="198"/>
      <c r="R1540" s="198"/>
      <c r="S1540" s="198"/>
    </row>
    <row r="1541" spans="5:19" x14ac:dyDescent="0.25">
      <c r="F1541" s="80" t="s">
        <v>925</v>
      </c>
      <c r="G1541" s="80" t="s">
        <v>169</v>
      </c>
      <c r="H1541" s="80" t="s">
        <v>480</v>
      </c>
      <c r="I1541" s="94"/>
      <c r="J1541" s="201"/>
      <c r="K1541" s="196"/>
      <c r="L1541" s="201"/>
      <c r="M1541" s="201"/>
      <c r="N1541" s="201"/>
      <c r="O1541" s="201"/>
      <c r="P1541" s="201"/>
      <c r="Q1541" s="201"/>
      <c r="R1541" s="201"/>
      <c r="S1541" s="201"/>
    </row>
    <row r="1542" spans="5:19" x14ac:dyDescent="0.25">
      <c r="F1542" t="s">
        <v>926</v>
      </c>
      <c r="G1542" t="s">
        <v>169</v>
      </c>
      <c r="H1542" t="s">
        <v>480</v>
      </c>
      <c r="J1542" s="202"/>
      <c r="K1542" s="198"/>
      <c r="L1542" s="202"/>
      <c r="M1542" s="202"/>
      <c r="N1542" s="202"/>
      <c r="O1542" s="202"/>
      <c r="P1542" s="202"/>
      <c r="Q1542" s="202"/>
      <c r="R1542" s="202"/>
      <c r="S1542" s="202"/>
    </row>
    <row r="1543" spans="5:19" x14ac:dyDescent="0.25">
      <c r="F1543" t="s">
        <v>927</v>
      </c>
      <c r="G1543" t="s">
        <v>169</v>
      </c>
      <c r="H1543" t="s">
        <v>480</v>
      </c>
      <c r="J1543" s="202"/>
      <c r="K1543" s="198"/>
      <c r="L1543" s="202"/>
      <c r="M1543" s="202"/>
      <c r="N1543" s="202"/>
      <c r="O1543" s="202"/>
      <c r="P1543" s="202"/>
      <c r="Q1543" s="202"/>
      <c r="R1543" s="202"/>
      <c r="S1543" s="202"/>
    </row>
    <row r="1544" spans="5:19" x14ac:dyDescent="0.25">
      <c r="F1544" t="s">
        <v>928</v>
      </c>
      <c r="G1544" t="s">
        <v>169</v>
      </c>
      <c r="H1544" t="s">
        <v>480</v>
      </c>
      <c r="J1544" s="202"/>
      <c r="K1544" s="198"/>
      <c r="L1544" s="202"/>
      <c r="M1544" s="202"/>
      <c r="N1544" s="202"/>
      <c r="O1544" s="202"/>
      <c r="P1544" s="202"/>
      <c r="Q1544" s="202"/>
      <c r="R1544" s="202"/>
      <c r="S1544" s="202"/>
    </row>
    <row r="1545" spans="5:19" x14ac:dyDescent="0.25">
      <c r="F1545" t="s">
        <v>929</v>
      </c>
      <c r="G1545" t="s">
        <v>169</v>
      </c>
      <c r="H1545" t="s">
        <v>480</v>
      </c>
      <c r="J1545" s="197">
        <f t="shared" ref="J1545:J1547" si="318">CHOOSE(year_selection, L1545,M1545,N1545,O1545,P1545,Q1545,R1545,S1545)</f>
        <v>4960</v>
      </c>
      <c r="K1545" s="198"/>
      <c r="L1545" s="281"/>
      <c r="M1545" s="281">
        <v>4147</v>
      </c>
      <c r="N1545" s="281">
        <v>4716</v>
      </c>
      <c r="O1545" s="281">
        <v>4960</v>
      </c>
      <c r="P1545" s="281">
        <f t="shared" ref="P1545:S1547" si="319">$O1545</f>
        <v>4960</v>
      </c>
      <c r="Q1545" s="281">
        <f t="shared" si="319"/>
        <v>4960</v>
      </c>
      <c r="R1545" s="281">
        <f t="shared" si="319"/>
        <v>4960</v>
      </c>
      <c r="S1545" s="281">
        <f t="shared" si="319"/>
        <v>4960</v>
      </c>
    </row>
    <row r="1546" spans="5:19" x14ac:dyDescent="0.25">
      <c r="F1546" t="s">
        <v>930</v>
      </c>
      <c r="G1546" t="s">
        <v>169</v>
      </c>
      <c r="H1546" t="s">
        <v>480</v>
      </c>
      <c r="J1546" s="197">
        <f t="shared" si="318"/>
        <v>0</v>
      </c>
      <c r="K1546" s="198"/>
      <c r="L1546" s="281"/>
      <c r="M1546" s="281">
        <v>0</v>
      </c>
      <c r="N1546" s="281">
        <v>0</v>
      </c>
      <c r="O1546" s="281">
        <v>0</v>
      </c>
      <c r="P1546" s="281">
        <f t="shared" si="319"/>
        <v>0</v>
      </c>
      <c r="Q1546" s="281">
        <f t="shared" si="319"/>
        <v>0</v>
      </c>
      <c r="R1546" s="281">
        <f t="shared" si="319"/>
        <v>0</v>
      </c>
      <c r="S1546" s="281">
        <f t="shared" si="319"/>
        <v>0</v>
      </c>
    </row>
    <row r="1547" spans="5:19" x14ac:dyDescent="0.25">
      <c r="F1547" t="s">
        <v>931</v>
      </c>
      <c r="G1547" t="s">
        <v>169</v>
      </c>
      <c r="H1547" t="s">
        <v>480</v>
      </c>
      <c r="J1547" s="197">
        <f t="shared" si="318"/>
        <v>2743</v>
      </c>
      <c r="K1547" s="198"/>
      <c r="L1547" s="281"/>
      <c r="M1547" s="281">
        <v>2743</v>
      </c>
      <c r="N1547" s="281">
        <v>2743</v>
      </c>
      <c r="O1547" s="281">
        <v>2743</v>
      </c>
      <c r="P1547" s="281">
        <f t="shared" si="319"/>
        <v>2743</v>
      </c>
      <c r="Q1547" s="281">
        <f t="shared" si="319"/>
        <v>2743</v>
      </c>
      <c r="R1547" s="281">
        <f t="shared" si="319"/>
        <v>2743</v>
      </c>
      <c r="S1547" s="281">
        <f t="shared" si="319"/>
        <v>2743</v>
      </c>
    </row>
    <row r="1548" spans="5:19" x14ac:dyDescent="0.25">
      <c r="F1548" t="s">
        <v>932</v>
      </c>
      <c r="G1548" t="s">
        <v>169</v>
      </c>
      <c r="H1548" t="s">
        <v>480</v>
      </c>
      <c r="J1548" s="202"/>
      <c r="K1548" s="198"/>
      <c r="L1548" s="202"/>
      <c r="M1548" s="202"/>
      <c r="N1548" s="202"/>
      <c r="O1548" s="202"/>
      <c r="P1548" s="202"/>
      <c r="Q1548" s="202"/>
      <c r="R1548" s="202"/>
      <c r="S1548" s="202"/>
    </row>
    <row r="1549" spans="5:19" x14ac:dyDescent="0.25">
      <c r="F1549" t="s">
        <v>933</v>
      </c>
      <c r="G1549" t="s">
        <v>169</v>
      </c>
      <c r="H1549" t="s">
        <v>480</v>
      </c>
      <c r="J1549" s="202"/>
      <c r="K1549" s="198"/>
      <c r="L1549" s="202"/>
      <c r="M1549" s="202"/>
      <c r="N1549" s="202"/>
      <c r="O1549" s="202"/>
      <c r="P1549" s="202"/>
      <c r="Q1549" s="202"/>
      <c r="R1549" s="202"/>
      <c r="S1549" s="202"/>
    </row>
    <row r="1550" spans="5:19" x14ac:dyDescent="0.25">
      <c r="F1550" t="s">
        <v>934</v>
      </c>
      <c r="G1550" t="s">
        <v>169</v>
      </c>
      <c r="H1550" t="s">
        <v>480</v>
      </c>
      <c r="J1550" s="202"/>
      <c r="K1550" s="198"/>
      <c r="L1550" s="202"/>
      <c r="M1550" s="202"/>
      <c r="N1550" s="202"/>
      <c r="O1550" s="202"/>
      <c r="P1550" s="202"/>
      <c r="Q1550" s="202"/>
      <c r="R1550" s="202"/>
      <c r="S1550" s="202"/>
    </row>
    <row r="1551" spans="5:19" x14ac:dyDescent="0.25">
      <c r="F1551" t="s">
        <v>935</v>
      </c>
      <c r="G1551" t="s">
        <v>169</v>
      </c>
      <c r="H1551" t="s">
        <v>480</v>
      </c>
      <c r="J1551" s="202"/>
      <c r="K1551" s="198"/>
      <c r="L1551" s="202"/>
      <c r="M1551" s="202"/>
      <c r="N1551" s="202"/>
      <c r="O1551" s="202"/>
      <c r="P1551" s="202"/>
      <c r="Q1551" s="202"/>
      <c r="R1551" s="202"/>
      <c r="S1551" s="202"/>
    </row>
    <row r="1552" spans="5:19" x14ac:dyDescent="0.25">
      <c r="F1552" t="s">
        <v>936</v>
      </c>
      <c r="G1552" t="s">
        <v>169</v>
      </c>
      <c r="H1552" t="s">
        <v>480</v>
      </c>
      <c r="J1552" s="202"/>
      <c r="K1552" s="198"/>
      <c r="L1552" s="202"/>
      <c r="M1552" s="202"/>
      <c r="N1552" s="202"/>
      <c r="O1552" s="202"/>
      <c r="P1552" s="202"/>
      <c r="Q1552" s="202"/>
      <c r="R1552" s="202"/>
      <c r="S1552" s="202"/>
    </row>
    <row r="1553" spans="5:19" x14ac:dyDescent="0.25">
      <c r="F1553" t="s">
        <v>937</v>
      </c>
      <c r="G1553" t="s">
        <v>169</v>
      </c>
      <c r="H1553" t="s">
        <v>480</v>
      </c>
      <c r="J1553" s="202"/>
      <c r="K1553" s="198"/>
      <c r="L1553" s="202"/>
      <c r="M1553" s="202"/>
      <c r="N1553" s="202"/>
      <c r="O1553" s="202"/>
      <c r="P1553" s="202"/>
      <c r="Q1553" s="202"/>
      <c r="R1553" s="202"/>
      <c r="S1553" s="202"/>
    </row>
    <row r="1554" spans="5:19" x14ac:dyDescent="0.25">
      <c r="F1554" t="s">
        <v>938</v>
      </c>
      <c r="G1554" t="s">
        <v>169</v>
      </c>
      <c r="H1554" t="s">
        <v>480</v>
      </c>
      <c r="J1554" s="202"/>
      <c r="K1554" s="198"/>
      <c r="L1554" s="202"/>
      <c r="M1554" s="202"/>
      <c r="N1554" s="202"/>
      <c r="O1554" s="202"/>
      <c r="P1554" s="202"/>
      <c r="Q1554" s="202"/>
      <c r="R1554" s="202"/>
      <c r="S1554" s="202"/>
    </row>
    <row r="1555" spans="5:19" x14ac:dyDescent="0.25">
      <c r="F1555" t="s">
        <v>939</v>
      </c>
      <c r="G1555" t="s">
        <v>169</v>
      </c>
      <c r="H1555" t="s">
        <v>480</v>
      </c>
      <c r="J1555" s="202"/>
      <c r="K1555" s="198"/>
      <c r="L1555" s="202"/>
      <c r="M1555" s="202"/>
      <c r="N1555" s="202"/>
      <c r="O1555" s="202"/>
      <c r="P1555" s="202"/>
      <c r="Q1555" s="202"/>
      <c r="R1555" s="202"/>
      <c r="S1555" s="202"/>
    </row>
    <row r="1556" spans="5:19" x14ac:dyDescent="0.25">
      <c r="F1556" s="17" t="s">
        <v>940</v>
      </c>
      <c r="G1556" s="17" t="s">
        <v>169</v>
      </c>
      <c r="H1556" s="17" t="s">
        <v>480</v>
      </c>
      <c r="I1556" s="122"/>
      <c r="J1556" s="203"/>
      <c r="K1556" s="200"/>
      <c r="L1556" s="203"/>
      <c r="M1556" s="203"/>
      <c r="N1556" s="203"/>
      <c r="O1556" s="203"/>
      <c r="P1556" s="203"/>
      <c r="Q1556" s="203"/>
      <c r="R1556" s="203"/>
      <c r="S1556" s="203"/>
    </row>
    <row r="1557" spans="5:19" x14ac:dyDescent="0.25">
      <c r="J1557" s="198"/>
      <c r="K1557" s="198"/>
      <c r="L1557" s="198"/>
      <c r="M1557" s="198"/>
      <c r="N1557" s="198"/>
      <c r="O1557" s="198"/>
      <c r="P1557" s="198"/>
      <c r="Q1557" s="198"/>
      <c r="R1557" s="198"/>
      <c r="S1557" s="198"/>
    </row>
    <row r="1558" spans="5:19" x14ac:dyDescent="0.25">
      <c r="E1558" s="121" t="s">
        <v>203</v>
      </c>
      <c r="J1558" s="198"/>
      <c r="K1558" s="198"/>
      <c r="L1558" s="198"/>
      <c r="M1558" s="198"/>
      <c r="N1558" s="198"/>
      <c r="O1558" s="198"/>
      <c r="P1558" s="198"/>
      <c r="Q1558" s="198"/>
      <c r="R1558" s="198"/>
      <c r="S1558" s="198"/>
    </row>
    <row r="1559" spans="5:19" x14ac:dyDescent="0.25">
      <c r="F1559" s="80" t="s">
        <v>925</v>
      </c>
      <c r="G1559" s="80" t="s">
        <v>169</v>
      </c>
      <c r="H1559" s="80" t="s">
        <v>480</v>
      </c>
      <c r="I1559" s="94"/>
      <c r="J1559" s="201"/>
      <c r="K1559" s="196"/>
      <c r="L1559" s="201"/>
      <c r="M1559" s="201"/>
      <c r="N1559" s="201"/>
      <c r="O1559" s="201"/>
      <c r="P1559" s="201"/>
      <c r="Q1559" s="201"/>
      <c r="R1559" s="201"/>
      <c r="S1559" s="201"/>
    </row>
    <row r="1560" spans="5:19" x14ac:dyDescent="0.25">
      <c r="F1560" t="s">
        <v>926</v>
      </c>
      <c r="G1560" t="s">
        <v>169</v>
      </c>
      <c r="H1560" t="s">
        <v>480</v>
      </c>
      <c r="J1560" s="202"/>
      <c r="K1560" s="198"/>
      <c r="L1560" s="202"/>
      <c r="M1560" s="202"/>
      <c r="N1560" s="202"/>
      <c r="O1560" s="202"/>
      <c r="P1560" s="202"/>
      <c r="Q1560" s="202"/>
      <c r="R1560" s="202"/>
      <c r="S1560" s="202"/>
    </row>
    <row r="1561" spans="5:19" x14ac:dyDescent="0.25">
      <c r="F1561" t="s">
        <v>927</v>
      </c>
      <c r="G1561" t="s">
        <v>169</v>
      </c>
      <c r="H1561" t="s">
        <v>480</v>
      </c>
      <c r="J1561" s="202"/>
      <c r="K1561" s="198"/>
      <c r="L1561" s="202"/>
      <c r="M1561" s="202"/>
      <c r="N1561" s="202"/>
      <c r="O1561" s="202"/>
      <c r="P1561" s="202"/>
      <c r="Q1561" s="202"/>
      <c r="R1561" s="202"/>
      <c r="S1561" s="202"/>
    </row>
    <row r="1562" spans="5:19" x14ac:dyDescent="0.25">
      <c r="F1562" t="s">
        <v>928</v>
      </c>
      <c r="G1562" t="s">
        <v>169</v>
      </c>
      <c r="H1562" t="s">
        <v>480</v>
      </c>
      <c r="J1562" s="202"/>
      <c r="K1562" s="198"/>
      <c r="L1562" s="202"/>
      <c r="M1562" s="202"/>
      <c r="N1562" s="202"/>
      <c r="O1562" s="202"/>
      <c r="P1562" s="202"/>
      <c r="Q1562" s="202"/>
      <c r="R1562" s="202"/>
      <c r="S1562" s="202"/>
    </row>
    <row r="1563" spans="5:19" x14ac:dyDescent="0.25">
      <c r="F1563" t="s">
        <v>929</v>
      </c>
      <c r="G1563" t="s">
        <v>169</v>
      </c>
      <c r="H1563" t="s">
        <v>480</v>
      </c>
      <c r="J1563" s="197">
        <f t="shared" ref="J1563:J1565" si="320">CHOOSE(year_selection, L1563,M1563,N1563,O1563,P1563,Q1563,R1563,S1563)</f>
        <v>12</v>
      </c>
      <c r="K1563" s="198"/>
      <c r="L1563" s="281"/>
      <c r="M1563" s="281">
        <v>12</v>
      </c>
      <c r="N1563" s="281">
        <v>13</v>
      </c>
      <c r="O1563" s="281">
        <v>12</v>
      </c>
      <c r="P1563" s="281">
        <f t="shared" ref="P1563:S1565" si="321">$O1563</f>
        <v>12</v>
      </c>
      <c r="Q1563" s="281">
        <f t="shared" si="321"/>
        <v>12</v>
      </c>
      <c r="R1563" s="281">
        <f t="shared" si="321"/>
        <v>12</v>
      </c>
      <c r="S1563" s="281">
        <f t="shared" si="321"/>
        <v>12</v>
      </c>
    </row>
    <row r="1564" spans="5:19" x14ac:dyDescent="0.25">
      <c r="F1564" t="s">
        <v>930</v>
      </c>
      <c r="G1564" t="s">
        <v>169</v>
      </c>
      <c r="H1564" t="s">
        <v>480</v>
      </c>
      <c r="J1564" s="197">
        <f t="shared" si="320"/>
        <v>0</v>
      </c>
      <c r="K1564" s="198"/>
      <c r="L1564" s="281"/>
      <c r="M1564" s="281">
        <v>0</v>
      </c>
      <c r="N1564" s="281">
        <v>0</v>
      </c>
      <c r="O1564" s="281">
        <v>0</v>
      </c>
      <c r="P1564" s="281">
        <f t="shared" si="321"/>
        <v>0</v>
      </c>
      <c r="Q1564" s="281">
        <f t="shared" si="321"/>
        <v>0</v>
      </c>
      <c r="R1564" s="281">
        <f t="shared" si="321"/>
        <v>0</v>
      </c>
      <c r="S1564" s="281">
        <f t="shared" si="321"/>
        <v>0</v>
      </c>
    </row>
    <row r="1565" spans="5:19" x14ac:dyDescent="0.25">
      <c r="F1565" t="s">
        <v>931</v>
      </c>
      <c r="G1565" t="s">
        <v>169</v>
      </c>
      <c r="H1565" t="s">
        <v>480</v>
      </c>
      <c r="J1565" s="197">
        <f t="shared" si="320"/>
        <v>12</v>
      </c>
      <c r="K1565" s="198"/>
      <c r="L1565" s="281"/>
      <c r="M1565" s="281">
        <v>5</v>
      </c>
      <c r="N1565" s="281">
        <v>6</v>
      </c>
      <c r="O1565" s="281">
        <v>12</v>
      </c>
      <c r="P1565" s="281">
        <f t="shared" si="321"/>
        <v>12</v>
      </c>
      <c r="Q1565" s="281">
        <f t="shared" si="321"/>
        <v>12</v>
      </c>
      <c r="R1565" s="281">
        <f t="shared" si="321"/>
        <v>12</v>
      </c>
      <c r="S1565" s="281">
        <f t="shared" si="321"/>
        <v>12</v>
      </c>
    </row>
    <row r="1566" spans="5:19" x14ac:dyDescent="0.25">
      <c r="F1566" t="s">
        <v>932</v>
      </c>
      <c r="G1566" t="s">
        <v>169</v>
      </c>
      <c r="H1566" t="s">
        <v>480</v>
      </c>
      <c r="J1566" s="202"/>
      <c r="K1566" s="198"/>
      <c r="L1566" s="202"/>
      <c r="M1566" s="202"/>
      <c r="N1566" s="202"/>
      <c r="O1566" s="202"/>
      <c r="P1566" s="202"/>
      <c r="Q1566" s="202"/>
      <c r="R1566" s="202"/>
      <c r="S1566" s="202"/>
    </row>
    <row r="1567" spans="5:19" x14ac:dyDescent="0.25">
      <c r="F1567" t="s">
        <v>933</v>
      </c>
      <c r="G1567" t="s">
        <v>169</v>
      </c>
      <c r="H1567" t="s">
        <v>480</v>
      </c>
      <c r="J1567" s="202"/>
      <c r="K1567" s="198"/>
      <c r="L1567" s="202"/>
      <c r="M1567" s="202"/>
      <c r="N1567" s="202"/>
      <c r="O1567" s="202"/>
      <c r="P1567" s="202"/>
      <c r="Q1567" s="202"/>
      <c r="R1567" s="202"/>
      <c r="S1567" s="202"/>
    </row>
    <row r="1568" spans="5:19" x14ac:dyDescent="0.25">
      <c r="F1568" t="s">
        <v>934</v>
      </c>
      <c r="G1568" t="s">
        <v>169</v>
      </c>
      <c r="H1568" t="s">
        <v>480</v>
      </c>
      <c r="J1568" s="202"/>
      <c r="K1568" s="198"/>
      <c r="L1568" s="202"/>
      <c r="M1568" s="202"/>
      <c r="N1568" s="202"/>
      <c r="O1568" s="202"/>
      <c r="P1568" s="202"/>
      <c r="Q1568" s="202"/>
      <c r="R1568" s="202"/>
      <c r="S1568" s="202"/>
    </row>
    <row r="1569" spans="5:19" x14ac:dyDescent="0.25">
      <c r="F1569" t="s">
        <v>935</v>
      </c>
      <c r="G1569" t="s">
        <v>169</v>
      </c>
      <c r="H1569" t="s">
        <v>480</v>
      </c>
      <c r="J1569" s="202"/>
      <c r="K1569" s="198"/>
      <c r="L1569" s="202"/>
      <c r="M1569" s="202"/>
      <c r="N1569" s="202"/>
      <c r="O1569" s="202"/>
      <c r="P1569" s="202"/>
      <c r="Q1569" s="202"/>
      <c r="R1569" s="202"/>
      <c r="S1569" s="202"/>
    </row>
    <row r="1570" spans="5:19" x14ac:dyDescent="0.25">
      <c r="F1570" t="s">
        <v>936</v>
      </c>
      <c r="G1570" t="s">
        <v>169</v>
      </c>
      <c r="H1570" t="s">
        <v>480</v>
      </c>
      <c r="J1570" s="202"/>
      <c r="K1570" s="198"/>
      <c r="L1570" s="202"/>
      <c r="M1570" s="202"/>
      <c r="N1570" s="202"/>
      <c r="O1570" s="202"/>
      <c r="P1570" s="202"/>
      <c r="Q1570" s="202"/>
      <c r="R1570" s="202"/>
      <c r="S1570" s="202"/>
    </row>
    <row r="1571" spans="5:19" x14ac:dyDescent="0.25">
      <c r="F1571" t="s">
        <v>937</v>
      </c>
      <c r="G1571" t="s">
        <v>169</v>
      </c>
      <c r="H1571" t="s">
        <v>480</v>
      </c>
      <c r="J1571" s="202"/>
      <c r="K1571" s="198"/>
      <c r="L1571" s="202"/>
      <c r="M1571" s="202"/>
      <c r="N1571" s="202"/>
      <c r="O1571" s="202"/>
      <c r="P1571" s="202"/>
      <c r="Q1571" s="202"/>
      <c r="R1571" s="202"/>
      <c r="S1571" s="202"/>
    </row>
    <row r="1572" spans="5:19" x14ac:dyDescent="0.25">
      <c r="F1572" t="s">
        <v>938</v>
      </c>
      <c r="G1572" t="s">
        <v>169</v>
      </c>
      <c r="H1572" t="s">
        <v>480</v>
      </c>
      <c r="J1572" s="202"/>
      <c r="K1572" s="198"/>
      <c r="L1572" s="202"/>
      <c r="M1572" s="202"/>
      <c r="N1572" s="202"/>
      <c r="O1572" s="202"/>
      <c r="P1572" s="202"/>
      <c r="Q1572" s="202"/>
      <c r="R1572" s="202"/>
      <c r="S1572" s="202"/>
    </row>
    <row r="1573" spans="5:19" x14ac:dyDescent="0.25">
      <c r="F1573" t="s">
        <v>939</v>
      </c>
      <c r="G1573" t="s">
        <v>169</v>
      </c>
      <c r="H1573" t="s">
        <v>480</v>
      </c>
      <c r="J1573" s="202"/>
      <c r="K1573" s="198"/>
      <c r="L1573" s="202"/>
      <c r="M1573" s="202"/>
      <c r="N1573" s="202"/>
      <c r="O1573" s="202"/>
      <c r="P1573" s="202"/>
      <c r="Q1573" s="202"/>
      <c r="R1573" s="202"/>
      <c r="S1573" s="202"/>
    </row>
    <row r="1574" spans="5:19" x14ac:dyDescent="0.25">
      <c r="F1574" s="17" t="s">
        <v>940</v>
      </c>
      <c r="G1574" s="17" t="s">
        <v>169</v>
      </c>
      <c r="H1574" s="17" t="s">
        <v>480</v>
      </c>
      <c r="I1574" s="122"/>
      <c r="J1574" s="203"/>
      <c r="K1574" s="200"/>
      <c r="L1574" s="203"/>
      <c r="M1574" s="203"/>
      <c r="N1574" s="203"/>
      <c r="O1574" s="203"/>
      <c r="P1574" s="203"/>
      <c r="Q1574" s="203"/>
      <c r="R1574" s="203"/>
      <c r="S1574" s="203"/>
    </row>
    <row r="1575" spans="5:19" x14ac:dyDescent="0.25">
      <c r="J1575" s="198"/>
      <c r="K1575" s="198"/>
      <c r="L1575" s="198"/>
      <c r="M1575" s="198"/>
      <c r="N1575" s="198"/>
      <c r="O1575" s="198"/>
      <c r="P1575" s="198"/>
      <c r="Q1575" s="198"/>
      <c r="R1575" s="198"/>
      <c r="S1575" s="198"/>
    </row>
    <row r="1576" spans="5:19" x14ac:dyDescent="0.25">
      <c r="E1576" s="121" t="s">
        <v>204</v>
      </c>
      <c r="J1576" s="198"/>
      <c r="K1576" s="198"/>
      <c r="L1576" s="198"/>
      <c r="M1576" s="198"/>
      <c r="N1576" s="198"/>
      <c r="O1576" s="198"/>
      <c r="P1576" s="198"/>
      <c r="Q1576" s="198"/>
      <c r="R1576" s="198"/>
      <c r="S1576" s="198"/>
    </row>
    <row r="1577" spans="5:19" x14ac:dyDescent="0.25">
      <c r="F1577" s="80" t="s">
        <v>925</v>
      </c>
      <c r="G1577" s="80" t="s">
        <v>170</v>
      </c>
      <c r="H1577" s="80" t="s">
        <v>480</v>
      </c>
      <c r="I1577" s="94"/>
      <c r="J1577" s="201"/>
      <c r="K1577" s="196"/>
      <c r="L1577" s="201"/>
      <c r="M1577" s="201"/>
      <c r="N1577" s="201"/>
      <c r="O1577" s="201"/>
      <c r="P1577" s="201"/>
      <c r="Q1577" s="201"/>
      <c r="R1577" s="201"/>
      <c r="S1577" s="201"/>
    </row>
    <row r="1578" spans="5:19" x14ac:dyDescent="0.25">
      <c r="F1578" t="s">
        <v>926</v>
      </c>
      <c r="G1578" t="s">
        <v>170</v>
      </c>
      <c r="H1578" t="s">
        <v>480</v>
      </c>
      <c r="J1578" s="202"/>
      <c r="K1578" s="198"/>
      <c r="L1578" s="202"/>
      <c r="M1578" s="202"/>
      <c r="N1578" s="202"/>
      <c r="O1578" s="202"/>
      <c r="P1578" s="202"/>
      <c r="Q1578" s="202"/>
      <c r="R1578" s="202"/>
      <c r="S1578" s="202"/>
    </row>
    <row r="1579" spans="5:19" x14ac:dyDescent="0.25">
      <c r="F1579" t="s">
        <v>927</v>
      </c>
      <c r="G1579" t="s">
        <v>170</v>
      </c>
      <c r="H1579" t="s">
        <v>480</v>
      </c>
      <c r="J1579" s="202"/>
      <c r="K1579" s="198"/>
      <c r="L1579" s="202"/>
      <c r="M1579" s="202"/>
      <c r="N1579" s="202"/>
      <c r="O1579" s="202"/>
      <c r="P1579" s="202"/>
      <c r="Q1579" s="202"/>
      <c r="R1579" s="202"/>
      <c r="S1579" s="202"/>
    </row>
    <row r="1580" spans="5:19" x14ac:dyDescent="0.25">
      <c r="F1580" t="s">
        <v>928</v>
      </c>
      <c r="G1580" t="s">
        <v>170</v>
      </c>
      <c r="H1580" t="s">
        <v>480</v>
      </c>
      <c r="J1580" s="202"/>
      <c r="K1580" s="198"/>
      <c r="L1580" s="202"/>
      <c r="M1580" s="202"/>
      <c r="N1580" s="202"/>
      <c r="O1580" s="202"/>
      <c r="P1580" s="202"/>
      <c r="Q1580" s="202"/>
      <c r="R1580" s="202"/>
      <c r="S1580" s="202"/>
    </row>
    <row r="1581" spans="5:19" x14ac:dyDescent="0.25">
      <c r="F1581" t="s">
        <v>929</v>
      </c>
      <c r="G1581" t="s">
        <v>170</v>
      </c>
      <c r="H1581" t="s">
        <v>480</v>
      </c>
      <c r="J1581" s="197">
        <f t="shared" ref="J1581:J1583" si="322">CHOOSE(year_selection, L1581,M1581,N1581,O1581,P1581,Q1581,R1581,S1581)</f>
        <v>335.12900000000002</v>
      </c>
      <c r="K1581" s="198"/>
      <c r="L1581" s="281"/>
      <c r="M1581" s="281">
        <v>401.327</v>
      </c>
      <c r="N1581" s="281">
        <v>397.02699999999999</v>
      </c>
      <c r="O1581" s="281">
        <v>335.12900000000002</v>
      </c>
      <c r="P1581" s="281">
        <f t="shared" ref="P1581:S1583" si="323">$O1581</f>
        <v>335.12900000000002</v>
      </c>
      <c r="Q1581" s="281">
        <f t="shared" si="323"/>
        <v>335.12900000000002</v>
      </c>
      <c r="R1581" s="281">
        <f t="shared" si="323"/>
        <v>335.12900000000002</v>
      </c>
      <c r="S1581" s="281">
        <f t="shared" si="323"/>
        <v>335.12900000000002</v>
      </c>
    </row>
    <row r="1582" spans="5:19" x14ac:dyDescent="0.25">
      <c r="F1582" t="s">
        <v>930</v>
      </c>
      <c r="G1582" t="s">
        <v>170</v>
      </c>
      <c r="H1582" t="s">
        <v>480</v>
      </c>
      <c r="J1582" s="197">
        <f t="shared" si="322"/>
        <v>0</v>
      </c>
      <c r="K1582" s="198"/>
      <c r="L1582" s="281"/>
      <c r="M1582" s="281">
        <v>0</v>
      </c>
      <c r="N1582" s="281">
        <v>0</v>
      </c>
      <c r="O1582" s="281">
        <v>0</v>
      </c>
      <c r="P1582" s="281">
        <f t="shared" si="323"/>
        <v>0</v>
      </c>
      <c r="Q1582" s="281">
        <f t="shared" si="323"/>
        <v>0</v>
      </c>
      <c r="R1582" s="281">
        <f t="shared" si="323"/>
        <v>0</v>
      </c>
      <c r="S1582" s="281">
        <f t="shared" si="323"/>
        <v>0</v>
      </c>
    </row>
    <row r="1583" spans="5:19" x14ac:dyDescent="0.25">
      <c r="F1583" t="s">
        <v>931</v>
      </c>
      <c r="G1583" t="s">
        <v>170</v>
      </c>
      <c r="H1583" t="s">
        <v>480</v>
      </c>
      <c r="J1583" s="197">
        <f t="shared" si="322"/>
        <v>139.03299999999999</v>
      </c>
      <c r="K1583" s="198"/>
      <c r="L1583" s="281"/>
      <c r="M1583" s="281">
        <v>211.4665630789458</v>
      </c>
      <c r="N1583" s="281">
        <v>84.717779042631918</v>
      </c>
      <c r="O1583" s="281">
        <v>139.03299999999999</v>
      </c>
      <c r="P1583" s="281">
        <f t="shared" si="323"/>
        <v>139.03299999999999</v>
      </c>
      <c r="Q1583" s="281">
        <f t="shared" si="323"/>
        <v>139.03299999999999</v>
      </c>
      <c r="R1583" s="281">
        <f t="shared" si="323"/>
        <v>139.03299999999999</v>
      </c>
      <c r="S1583" s="281">
        <f t="shared" si="323"/>
        <v>139.03299999999999</v>
      </c>
    </row>
    <row r="1584" spans="5:19" x14ac:dyDescent="0.25">
      <c r="F1584" t="s">
        <v>932</v>
      </c>
      <c r="G1584" t="s">
        <v>170</v>
      </c>
      <c r="H1584" t="s">
        <v>480</v>
      </c>
      <c r="J1584" s="202"/>
      <c r="K1584" s="198"/>
      <c r="L1584" s="202"/>
      <c r="M1584" s="202"/>
      <c r="N1584" s="202"/>
      <c r="O1584" s="202"/>
      <c r="P1584" s="202"/>
      <c r="Q1584" s="202"/>
      <c r="R1584" s="202"/>
      <c r="S1584" s="202"/>
    </row>
    <row r="1585" spans="3:21" x14ac:dyDescent="0.25">
      <c r="F1585" t="s">
        <v>933</v>
      </c>
      <c r="G1585" t="s">
        <v>170</v>
      </c>
      <c r="H1585" t="s">
        <v>480</v>
      </c>
      <c r="J1585" s="202"/>
      <c r="K1585" s="198"/>
      <c r="L1585" s="202"/>
      <c r="M1585" s="202"/>
      <c r="N1585" s="202"/>
      <c r="O1585" s="202"/>
      <c r="P1585" s="202"/>
      <c r="Q1585" s="202"/>
      <c r="R1585" s="202"/>
      <c r="S1585" s="202"/>
    </row>
    <row r="1586" spans="3:21" x14ac:dyDescent="0.25">
      <c r="F1586" t="s">
        <v>934</v>
      </c>
      <c r="G1586" t="s">
        <v>170</v>
      </c>
      <c r="H1586" t="s">
        <v>480</v>
      </c>
      <c r="J1586" s="202"/>
      <c r="K1586" s="198"/>
      <c r="L1586" s="202"/>
      <c r="M1586" s="202"/>
      <c r="N1586" s="202"/>
      <c r="O1586" s="202"/>
      <c r="P1586" s="202"/>
      <c r="Q1586" s="202"/>
      <c r="R1586" s="202"/>
      <c r="S1586" s="202"/>
    </row>
    <row r="1587" spans="3:21" x14ac:dyDescent="0.25">
      <c r="F1587" t="s">
        <v>935</v>
      </c>
      <c r="G1587" t="s">
        <v>170</v>
      </c>
      <c r="H1587" t="s">
        <v>480</v>
      </c>
      <c r="J1587" s="202"/>
      <c r="K1587" s="198"/>
      <c r="L1587" s="202"/>
      <c r="M1587" s="202"/>
      <c r="N1587" s="202"/>
      <c r="O1587" s="202"/>
      <c r="P1587" s="202"/>
      <c r="Q1587" s="202"/>
      <c r="R1587" s="202"/>
      <c r="S1587" s="202"/>
    </row>
    <row r="1588" spans="3:21" x14ac:dyDescent="0.25">
      <c r="F1588" t="s">
        <v>936</v>
      </c>
      <c r="G1588" t="s">
        <v>170</v>
      </c>
      <c r="H1588" t="s">
        <v>480</v>
      </c>
      <c r="J1588" s="202"/>
      <c r="K1588" s="198"/>
      <c r="L1588" s="202"/>
      <c r="M1588" s="202"/>
      <c r="N1588" s="202"/>
      <c r="O1588" s="202"/>
      <c r="P1588" s="202"/>
      <c r="Q1588" s="202"/>
      <c r="R1588" s="202"/>
      <c r="S1588" s="202"/>
    </row>
    <row r="1589" spans="3:21" x14ac:dyDescent="0.25">
      <c r="F1589" t="s">
        <v>937</v>
      </c>
      <c r="G1589" t="s">
        <v>170</v>
      </c>
      <c r="H1589" t="s">
        <v>480</v>
      </c>
      <c r="J1589" s="202"/>
      <c r="K1589" s="198"/>
      <c r="L1589" s="202"/>
      <c r="M1589" s="202"/>
      <c r="N1589" s="202"/>
      <c r="O1589" s="202"/>
      <c r="P1589" s="202"/>
      <c r="Q1589" s="202"/>
      <c r="R1589" s="202"/>
      <c r="S1589" s="202"/>
    </row>
    <row r="1590" spans="3:21" x14ac:dyDescent="0.25">
      <c r="F1590" t="s">
        <v>938</v>
      </c>
      <c r="G1590" t="s">
        <v>170</v>
      </c>
      <c r="H1590" t="s">
        <v>480</v>
      </c>
      <c r="J1590" s="202"/>
      <c r="K1590" s="198"/>
      <c r="L1590" s="202"/>
      <c r="M1590" s="202"/>
      <c r="N1590" s="202"/>
      <c r="O1590" s="202"/>
      <c r="P1590" s="202"/>
      <c r="Q1590" s="202"/>
      <c r="R1590" s="202"/>
      <c r="S1590" s="202"/>
    </row>
    <row r="1591" spans="3:21" x14ac:dyDescent="0.25">
      <c r="F1591" t="s">
        <v>939</v>
      </c>
      <c r="G1591" t="s">
        <v>170</v>
      </c>
      <c r="H1591" t="s">
        <v>480</v>
      </c>
      <c r="J1591" s="202"/>
      <c r="K1591" s="198"/>
      <c r="L1591" s="202"/>
      <c r="M1591" s="202"/>
      <c r="N1591" s="202"/>
      <c r="O1591" s="202"/>
      <c r="P1591" s="202"/>
      <c r="Q1591" s="202"/>
      <c r="R1591" s="202"/>
      <c r="S1591" s="202"/>
    </row>
    <row r="1592" spans="3:21" x14ac:dyDescent="0.25">
      <c r="F1592" s="17" t="s">
        <v>940</v>
      </c>
      <c r="G1592" s="17" t="s">
        <v>170</v>
      </c>
      <c r="H1592" s="17" t="s">
        <v>480</v>
      </c>
      <c r="I1592" s="122"/>
      <c r="J1592" s="203"/>
      <c r="K1592" s="200"/>
      <c r="L1592" s="203"/>
      <c r="M1592" s="203"/>
      <c r="N1592" s="203"/>
      <c r="O1592" s="203"/>
      <c r="P1592" s="203"/>
      <c r="Q1592" s="203"/>
      <c r="R1592" s="203"/>
      <c r="S1592" s="203"/>
    </row>
    <row r="1593" spans="3:21" x14ac:dyDescent="0.25">
      <c r="J1593" s="59"/>
      <c r="K1593" s="59"/>
      <c r="L1593" s="59"/>
      <c r="M1593" s="59"/>
      <c r="N1593" s="59"/>
      <c r="O1593" s="59"/>
      <c r="P1593" s="59"/>
      <c r="Q1593" s="59"/>
      <c r="R1593" s="59"/>
      <c r="S1593" s="59"/>
    </row>
    <row r="1594" spans="3:21" x14ac:dyDescent="0.25">
      <c r="C1594" s="5" t="str">
        <f ca="1">INDEX('Version control'!$H$36:$H$62,MATCH($A$1,'Version control'!$F$36:$F$62,0),1)&amp;"-O: LDNO HV volumes - Residual band 2"</f>
        <v>Input 501-O: LDNO HV volumes - Residual band 2</v>
      </c>
      <c r="D1594" s="5"/>
      <c r="E1594" s="5"/>
      <c r="F1594" s="5"/>
      <c r="G1594" s="5"/>
      <c r="H1594" s="5"/>
      <c r="I1594" s="143"/>
      <c r="J1594" s="205"/>
      <c r="K1594" s="205"/>
      <c r="L1594" s="205"/>
      <c r="M1594" s="205"/>
      <c r="N1594" s="205"/>
      <c r="O1594" s="205"/>
      <c r="P1594" s="205"/>
      <c r="Q1594" s="205"/>
      <c r="R1594" s="205"/>
      <c r="S1594" s="205"/>
      <c r="T1594" s="5"/>
      <c r="U1594" s="5"/>
    </row>
    <row r="1595" spans="3:21" x14ac:dyDescent="0.25">
      <c r="D1595" s="52"/>
    </row>
    <row r="1596" spans="3:21" x14ac:dyDescent="0.25">
      <c r="E1596" s="121" t="s">
        <v>199</v>
      </c>
      <c r="I1596" s="59" t="s">
        <v>359</v>
      </c>
      <c r="J1596" s="198"/>
      <c r="K1596" s="198"/>
      <c r="L1596" s="198"/>
      <c r="M1596" s="198"/>
      <c r="N1596" s="198"/>
      <c r="O1596" s="198"/>
      <c r="P1596" s="198"/>
      <c r="Q1596" s="198"/>
      <c r="R1596" s="198"/>
      <c r="S1596" s="198"/>
      <c r="U1596" t="s">
        <v>691</v>
      </c>
    </row>
    <row r="1597" spans="3:21" x14ac:dyDescent="0.25">
      <c r="F1597" s="80" t="s">
        <v>925</v>
      </c>
      <c r="G1597" s="80" t="s">
        <v>120</v>
      </c>
      <c r="H1597" s="80" t="s">
        <v>480</v>
      </c>
      <c r="I1597" s="94"/>
      <c r="J1597" s="201"/>
      <c r="K1597" s="196"/>
      <c r="L1597" s="201"/>
      <c r="M1597" s="201"/>
      <c r="N1597" s="201"/>
      <c r="O1597" s="201"/>
      <c r="P1597" s="201"/>
      <c r="Q1597" s="201"/>
      <c r="R1597" s="201"/>
      <c r="S1597" s="201"/>
    </row>
    <row r="1598" spans="3:21" x14ac:dyDescent="0.25">
      <c r="F1598" t="s">
        <v>926</v>
      </c>
      <c r="G1598" t="s">
        <v>120</v>
      </c>
      <c r="H1598" t="s">
        <v>480</v>
      </c>
      <c r="J1598" s="202"/>
      <c r="K1598" s="198"/>
      <c r="L1598" s="202"/>
      <c r="M1598" s="202"/>
      <c r="N1598" s="202"/>
      <c r="O1598" s="202"/>
      <c r="P1598" s="202"/>
      <c r="Q1598" s="202"/>
      <c r="R1598" s="202"/>
      <c r="S1598" s="202"/>
    </row>
    <row r="1599" spans="3:21" x14ac:dyDescent="0.25">
      <c r="F1599" t="s">
        <v>927</v>
      </c>
      <c r="G1599" t="s">
        <v>120</v>
      </c>
      <c r="H1599" t="s">
        <v>480</v>
      </c>
      <c r="J1599" s="197">
        <f t="shared" ref="J1599" si="324">CHOOSE(year_selection, L1599,M1599,N1599,O1599,P1599,Q1599,R1599,S1599)</f>
        <v>359.61296770970398</v>
      </c>
      <c r="K1599" s="198"/>
      <c r="L1599" s="281"/>
      <c r="M1599" s="281">
        <v>278.64973537788171</v>
      </c>
      <c r="N1599" s="281">
        <v>276.21593976144248</v>
      </c>
      <c r="O1599" s="281">
        <v>359.61296770970398</v>
      </c>
      <c r="P1599" s="281">
        <f t="shared" ref="P1599:S1603" si="325">$O1599</f>
        <v>359.61296770970398</v>
      </c>
      <c r="Q1599" s="281">
        <f t="shared" si="325"/>
        <v>359.61296770970398</v>
      </c>
      <c r="R1599" s="281">
        <f t="shared" si="325"/>
        <v>359.61296770970398</v>
      </c>
      <c r="S1599" s="281">
        <f t="shared" si="325"/>
        <v>359.61296770970398</v>
      </c>
    </row>
    <row r="1600" spans="3:21" x14ac:dyDescent="0.25">
      <c r="F1600" t="s">
        <v>928</v>
      </c>
      <c r="G1600" t="s">
        <v>120</v>
      </c>
      <c r="H1600" t="s">
        <v>480</v>
      </c>
      <c r="J1600" s="202"/>
      <c r="K1600" s="198"/>
      <c r="L1600" s="202"/>
      <c r="M1600" s="202"/>
      <c r="N1600" s="202"/>
      <c r="O1600" s="202"/>
      <c r="P1600" s="202"/>
      <c r="Q1600" s="202"/>
      <c r="R1600" s="202"/>
      <c r="S1600" s="202"/>
    </row>
    <row r="1601" spans="5:19" x14ac:dyDescent="0.25">
      <c r="F1601" t="s">
        <v>929</v>
      </c>
      <c r="G1601" t="s">
        <v>120</v>
      </c>
      <c r="H1601" t="s">
        <v>480</v>
      </c>
      <c r="J1601" s="197">
        <f t="shared" ref="J1601:J1603" si="326">CHOOSE(year_selection, L1601,M1601,N1601,O1601,P1601,Q1601,R1601,S1601)</f>
        <v>2384.6120788141361</v>
      </c>
      <c r="K1601" s="198"/>
      <c r="L1601" s="281"/>
      <c r="M1601" s="281">
        <v>2253.2021963692664</v>
      </c>
      <c r="N1601" s="281">
        <v>2248.3627710269925</v>
      </c>
      <c r="O1601" s="281">
        <v>2384.6120788141361</v>
      </c>
      <c r="P1601" s="281">
        <f t="shared" si="325"/>
        <v>2384.6120788141361</v>
      </c>
      <c r="Q1601" s="281">
        <f t="shared" si="325"/>
        <v>2384.6120788141361</v>
      </c>
      <c r="R1601" s="281">
        <f t="shared" si="325"/>
        <v>2384.6120788141361</v>
      </c>
      <c r="S1601" s="281">
        <f t="shared" si="325"/>
        <v>2384.6120788141361</v>
      </c>
    </row>
    <row r="1602" spans="5:19" x14ac:dyDescent="0.25">
      <c r="F1602" t="s">
        <v>930</v>
      </c>
      <c r="G1602" t="s">
        <v>120</v>
      </c>
      <c r="H1602" t="s">
        <v>480</v>
      </c>
      <c r="J1602" s="197">
        <f t="shared" si="326"/>
        <v>49.851444293283741</v>
      </c>
      <c r="K1602" s="198"/>
      <c r="L1602" s="281"/>
      <c r="M1602" s="281">
        <v>14.714662463748059</v>
      </c>
      <c r="N1602" s="281">
        <v>50.668976444084912</v>
      </c>
      <c r="O1602" s="281">
        <v>49.851444293283741</v>
      </c>
      <c r="P1602" s="281">
        <f t="shared" si="325"/>
        <v>49.851444293283741</v>
      </c>
      <c r="Q1602" s="281">
        <f t="shared" si="325"/>
        <v>49.851444293283741</v>
      </c>
      <c r="R1602" s="281">
        <f t="shared" si="325"/>
        <v>49.851444293283741</v>
      </c>
      <c r="S1602" s="281">
        <f t="shared" si="325"/>
        <v>49.851444293283741</v>
      </c>
    </row>
    <row r="1603" spans="5:19" x14ac:dyDescent="0.25">
      <c r="F1603" t="s">
        <v>931</v>
      </c>
      <c r="G1603" t="s">
        <v>120</v>
      </c>
      <c r="H1603" t="s">
        <v>480</v>
      </c>
      <c r="J1603" s="197">
        <f t="shared" si="326"/>
        <v>546.80429321484007</v>
      </c>
      <c r="K1603" s="198"/>
      <c r="L1603" s="281"/>
      <c r="M1603" s="281">
        <v>724.66609705900294</v>
      </c>
      <c r="N1603" s="281">
        <v>496.75981385046589</v>
      </c>
      <c r="O1603" s="281">
        <v>546.80429321484007</v>
      </c>
      <c r="P1603" s="281">
        <f t="shared" si="325"/>
        <v>546.80429321484007</v>
      </c>
      <c r="Q1603" s="281">
        <f t="shared" si="325"/>
        <v>546.80429321484007</v>
      </c>
      <c r="R1603" s="281">
        <f t="shared" si="325"/>
        <v>546.80429321484007</v>
      </c>
      <c r="S1603" s="281">
        <f t="shared" si="325"/>
        <v>546.80429321484007</v>
      </c>
    </row>
    <row r="1604" spans="5:19" x14ac:dyDescent="0.25">
      <c r="F1604" t="s">
        <v>932</v>
      </c>
      <c r="G1604" t="s">
        <v>120</v>
      </c>
      <c r="H1604" t="s">
        <v>480</v>
      </c>
      <c r="J1604" s="202"/>
      <c r="K1604" s="198"/>
      <c r="L1604" s="202"/>
      <c r="M1604" s="202"/>
      <c r="N1604" s="202"/>
      <c r="O1604" s="202"/>
      <c r="P1604" s="202"/>
      <c r="Q1604" s="202"/>
      <c r="R1604" s="202"/>
      <c r="S1604" s="202"/>
    </row>
    <row r="1605" spans="5:19" x14ac:dyDescent="0.25">
      <c r="F1605" t="s">
        <v>933</v>
      </c>
      <c r="G1605" t="s">
        <v>120</v>
      </c>
      <c r="H1605" t="s">
        <v>480</v>
      </c>
      <c r="J1605" s="202"/>
      <c r="K1605" s="198"/>
      <c r="L1605" s="202"/>
      <c r="M1605" s="202"/>
      <c r="N1605" s="202"/>
      <c r="O1605" s="202"/>
      <c r="P1605" s="202"/>
      <c r="Q1605" s="202"/>
      <c r="R1605" s="202"/>
      <c r="S1605" s="202"/>
    </row>
    <row r="1606" spans="5:19" x14ac:dyDescent="0.25">
      <c r="F1606" t="s">
        <v>934</v>
      </c>
      <c r="G1606" t="s">
        <v>120</v>
      </c>
      <c r="H1606" t="s">
        <v>480</v>
      </c>
      <c r="J1606" s="202"/>
      <c r="K1606" s="198"/>
      <c r="L1606" s="202"/>
      <c r="M1606" s="202"/>
      <c r="N1606" s="202"/>
      <c r="O1606" s="202"/>
      <c r="P1606" s="202"/>
      <c r="Q1606" s="202"/>
      <c r="R1606" s="202"/>
      <c r="S1606" s="202"/>
    </row>
    <row r="1607" spans="5:19" x14ac:dyDescent="0.25">
      <c r="F1607" t="s">
        <v>935</v>
      </c>
      <c r="G1607" t="s">
        <v>120</v>
      </c>
      <c r="H1607" t="s">
        <v>480</v>
      </c>
      <c r="J1607" s="202"/>
      <c r="K1607" s="198"/>
      <c r="L1607" s="202"/>
      <c r="M1607" s="202"/>
      <c r="N1607" s="202"/>
      <c r="O1607" s="202"/>
      <c r="P1607" s="202"/>
      <c r="Q1607" s="202"/>
      <c r="R1607" s="202"/>
      <c r="S1607" s="202"/>
    </row>
    <row r="1608" spans="5:19" x14ac:dyDescent="0.25">
      <c r="F1608" t="s">
        <v>936</v>
      </c>
      <c r="G1608" t="s">
        <v>120</v>
      </c>
      <c r="H1608" t="s">
        <v>480</v>
      </c>
      <c r="J1608" s="202"/>
      <c r="K1608" s="198"/>
      <c r="L1608" s="202"/>
      <c r="M1608" s="202"/>
      <c r="N1608" s="202"/>
      <c r="O1608" s="202"/>
      <c r="P1608" s="202"/>
      <c r="Q1608" s="202"/>
      <c r="R1608" s="202"/>
      <c r="S1608" s="202"/>
    </row>
    <row r="1609" spans="5:19" x14ac:dyDescent="0.25">
      <c r="F1609" t="s">
        <v>937</v>
      </c>
      <c r="G1609" t="s">
        <v>120</v>
      </c>
      <c r="H1609" t="s">
        <v>480</v>
      </c>
      <c r="J1609" s="202"/>
      <c r="K1609" s="198"/>
      <c r="L1609" s="202"/>
      <c r="M1609" s="202"/>
      <c r="N1609" s="202"/>
      <c r="O1609" s="202"/>
      <c r="P1609" s="202"/>
      <c r="Q1609" s="202"/>
      <c r="R1609" s="202"/>
      <c r="S1609" s="202"/>
    </row>
    <row r="1610" spans="5:19" x14ac:dyDescent="0.25">
      <c r="F1610" t="s">
        <v>938</v>
      </c>
      <c r="G1610" t="s">
        <v>120</v>
      </c>
      <c r="H1610" t="s">
        <v>480</v>
      </c>
      <c r="J1610" s="202"/>
      <c r="K1610" s="198"/>
      <c r="L1610" s="202"/>
      <c r="M1610" s="202"/>
      <c r="N1610" s="202"/>
      <c r="O1610" s="202"/>
      <c r="P1610" s="202"/>
      <c r="Q1610" s="202"/>
      <c r="R1610" s="202"/>
      <c r="S1610" s="202"/>
    </row>
    <row r="1611" spans="5:19" x14ac:dyDescent="0.25">
      <c r="F1611" t="s">
        <v>939</v>
      </c>
      <c r="G1611" t="s">
        <v>120</v>
      </c>
      <c r="H1611" t="s">
        <v>480</v>
      </c>
      <c r="J1611" s="202"/>
      <c r="K1611" s="198"/>
      <c r="L1611" s="202"/>
      <c r="M1611" s="202"/>
      <c r="N1611" s="202"/>
      <c r="O1611" s="202"/>
      <c r="P1611" s="202"/>
      <c r="Q1611" s="202"/>
      <c r="R1611" s="202"/>
      <c r="S1611" s="202"/>
    </row>
    <row r="1612" spans="5:19" x14ac:dyDescent="0.25">
      <c r="F1612" s="17" t="s">
        <v>940</v>
      </c>
      <c r="G1612" s="17" t="s">
        <v>120</v>
      </c>
      <c r="H1612" s="17" t="s">
        <v>480</v>
      </c>
      <c r="I1612" s="122"/>
      <c r="J1612" s="203"/>
      <c r="K1612" s="200"/>
      <c r="L1612" s="203"/>
      <c r="M1612" s="203"/>
      <c r="N1612" s="203"/>
      <c r="O1612" s="203"/>
      <c r="P1612" s="203"/>
      <c r="Q1612" s="203"/>
      <c r="R1612" s="203"/>
      <c r="S1612" s="203"/>
    </row>
    <row r="1613" spans="5:19" x14ac:dyDescent="0.25">
      <c r="J1613" s="198"/>
      <c r="K1613" s="198"/>
      <c r="L1613" s="198"/>
      <c r="M1613" s="198"/>
      <c r="N1613" s="198"/>
      <c r="O1613" s="198"/>
      <c r="P1613" s="198"/>
      <c r="Q1613" s="198"/>
      <c r="R1613" s="198"/>
      <c r="S1613" s="198"/>
    </row>
    <row r="1614" spans="5:19" x14ac:dyDescent="0.25">
      <c r="E1614" s="121" t="s">
        <v>200</v>
      </c>
      <c r="J1614" s="198"/>
      <c r="K1614" s="198"/>
      <c r="L1614" s="198"/>
      <c r="M1614" s="198"/>
      <c r="N1614" s="198"/>
      <c r="O1614" s="198"/>
      <c r="P1614" s="198"/>
      <c r="Q1614" s="198"/>
      <c r="R1614" s="198"/>
      <c r="S1614" s="198"/>
    </row>
    <row r="1615" spans="5:19" x14ac:dyDescent="0.25">
      <c r="F1615" s="80" t="s">
        <v>925</v>
      </c>
      <c r="G1615" s="80" t="s">
        <v>120</v>
      </c>
      <c r="H1615" s="80" t="s">
        <v>480</v>
      </c>
      <c r="I1615" s="94"/>
      <c r="J1615" s="201"/>
      <c r="K1615" s="196"/>
      <c r="L1615" s="201"/>
      <c r="M1615" s="201"/>
      <c r="N1615" s="201"/>
      <c r="O1615" s="201"/>
      <c r="P1615" s="201"/>
      <c r="Q1615" s="201"/>
      <c r="R1615" s="201"/>
      <c r="S1615" s="201"/>
    </row>
    <row r="1616" spans="5:19" x14ac:dyDescent="0.25">
      <c r="F1616" t="s">
        <v>926</v>
      </c>
      <c r="G1616" t="s">
        <v>120</v>
      </c>
      <c r="H1616" t="s">
        <v>480</v>
      </c>
      <c r="J1616" s="202"/>
      <c r="K1616" s="198"/>
      <c r="L1616" s="202"/>
      <c r="M1616" s="202"/>
      <c r="N1616" s="202"/>
      <c r="O1616" s="202"/>
      <c r="P1616" s="202"/>
      <c r="Q1616" s="202"/>
      <c r="R1616" s="202"/>
      <c r="S1616" s="202"/>
    </row>
    <row r="1617" spans="5:19" x14ac:dyDescent="0.25">
      <c r="F1617" t="s">
        <v>927</v>
      </c>
      <c r="G1617" t="s">
        <v>120</v>
      </c>
      <c r="H1617" t="s">
        <v>480</v>
      </c>
      <c r="J1617" s="197">
        <f t="shared" ref="J1617" si="327">CHOOSE(year_selection, L1617,M1617,N1617,O1617,P1617,Q1617,R1617,S1617)</f>
        <v>1865.9897185045068</v>
      </c>
      <c r="K1617" s="198"/>
      <c r="L1617" s="281"/>
      <c r="M1617" s="281">
        <v>1508.2826602665946</v>
      </c>
      <c r="N1617" s="281">
        <v>1495.2528887333226</v>
      </c>
      <c r="O1617" s="281">
        <v>1865.9897185045068</v>
      </c>
      <c r="P1617" s="281">
        <f t="shared" ref="P1617:S1621" si="328">$O1617</f>
        <v>1865.9897185045068</v>
      </c>
      <c r="Q1617" s="281">
        <f t="shared" si="328"/>
        <v>1865.9897185045068</v>
      </c>
      <c r="R1617" s="281">
        <f t="shared" si="328"/>
        <v>1865.9897185045068</v>
      </c>
      <c r="S1617" s="281">
        <f t="shared" si="328"/>
        <v>1865.9897185045068</v>
      </c>
    </row>
    <row r="1618" spans="5:19" x14ac:dyDescent="0.25">
      <c r="F1618" t="s">
        <v>928</v>
      </c>
      <c r="G1618" t="s">
        <v>120</v>
      </c>
      <c r="H1618" t="s">
        <v>480</v>
      </c>
      <c r="J1618" s="202"/>
      <c r="K1618" s="198"/>
      <c r="L1618" s="202"/>
      <c r="M1618" s="202"/>
      <c r="N1618" s="202"/>
      <c r="O1618" s="202"/>
      <c r="P1618" s="202"/>
      <c r="Q1618" s="202"/>
      <c r="R1618" s="202"/>
      <c r="S1618" s="202"/>
    </row>
    <row r="1619" spans="5:19" x14ac:dyDescent="0.25">
      <c r="F1619" t="s">
        <v>929</v>
      </c>
      <c r="G1619" t="s">
        <v>120</v>
      </c>
      <c r="H1619" t="s">
        <v>480</v>
      </c>
      <c r="J1619" s="197">
        <f t="shared" ref="J1619:J1621" si="329">CHOOSE(year_selection, L1619,M1619,N1619,O1619,P1619,Q1619,R1619,S1619)</f>
        <v>10541.994202859791</v>
      </c>
      <c r="K1619" s="198"/>
      <c r="L1619" s="281"/>
      <c r="M1619" s="281">
        <v>9997.5066691222928</v>
      </c>
      <c r="N1619" s="281">
        <v>9976.1434142470116</v>
      </c>
      <c r="O1619" s="281">
        <v>10541.994202859791</v>
      </c>
      <c r="P1619" s="281">
        <f t="shared" si="328"/>
        <v>10541.994202859791</v>
      </c>
      <c r="Q1619" s="281">
        <f t="shared" si="328"/>
        <v>10541.994202859791</v>
      </c>
      <c r="R1619" s="281">
        <f t="shared" si="328"/>
        <v>10541.994202859791</v>
      </c>
      <c r="S1619" s="281">
        <f t="shared" si="328"/>
        <v>10541.994202859791</v>
      </c>
    </row>
    <row r="1620" spans="5:19" x14ac:dyDescent="0.25">
      <c r="F1620" t="s">
        <v>930</v>
      </c>
      <c r="G1620" t="s">
        <v>120</v>
      </c>
      <c r="H1620" t="s">
        <v>480</v>
      </c>
      <c r="J1620" s="197">
        <f t="shared" si="329"/>
        <v>227.46351702797563</v>
      </c>
      <c r="K1620" s="198"/>
      <c r="L1620" s="281"/>
      <c r="M1620" s="281">
        <v>64.353707204159889</v>
      </c>
      <c r="N1620" s="281">
        <v>221.5943180544659</v>
      </c>
      <c r="O1620" s="281">
        <v>227.46351702797563</v>
      </c>
      <c r="P1620" s="281">
        <f t="shared" si="328"/>
        <v>227.46351702797563</v>
      </c>
      <c r="Q1620" s="281">
        <f t="shared" si="328"/>
        <v>227.46351702797563</v>
      </c>
      <c r="R1620" s="281">
        <f t="shared" si="328"/>
        <v>227.46351702797563</v>
      </c>
      <c r="S1620" s="281">
        <f t="shared" si="328"/>
        <v>227.46351702797563</v>
      </c>
    </row>
    <row r="1621" spans="5:19" x14ac:dyDescent="0.25">
      <c r="F1621" t="s">
        <v>931</v>
      </c>
      <c r="G1621" t="s">
        <v>120</v>
      </c>
      <c r="H1621" t="s">
        <v>480</v>
      </c>
      <c r="J1621" s="197">
        <f t="shared" si="329"/>
        <v>2420.2870847382105</v>
      </c>
      <c r="K1621" s="198"/>
      <c r="L1621" s="281"/>
      <c r="M1621" s="281">
        <v>3247.4109883145884</v>
      </c>
      <c r="N1621" s="281">
        <v>2226.198143296484</v>
      </c>
      <c r="O1621" s="281">
        <v>2420.2870847382105</v>
      </c>
      <c r="P1621" s="281">
        <f t="shared" si="328"/>
        <v>2420.2870847382105</v>
      </c>
      <c r="Q1621" s="281">
        <f t="shared" si="328"/>
        <v>2420.2870847382105</v>
      </c>
      <c r="R1621" s="281">
        <f t="shared" si="328"/>
        <v>2420.2870847382105</v>
      </c>
      <c r="S1621" s="281">
        <f t="shared" si="328"/>
        <v>2420.2870847382105</v>
      </c>
    </row>
    <row r="1622" spans="5:19" x14ac:dyDescent="0.25">
      <c r="F1622" t="s">
        <v>932</v>
      </c>
      <c r="G1622" t="s">
        <v>120</v>
      </c>
      <c r="H1622" t="s">
        <v>480</v>
      </c>
      <c r="J1622" s="202"/>
      <c r="K1622" s="198"/>
      <c r="L1622" s="202"/>
      <c r="M1622" s="202"/>
      <c r="N1622" s="202"/>
      <c r="O1622" s="202"/>
      <c r="P1622" s="202"/>
      <c r="Q1622" s="202"/>
      <c r="R1622" s="202"/>
      <c r="S1622" s="202"/>
    </row>
    <row r="1623" spans="5:19" x14ac:dyDescent="0.25">
      <c r="F1623" t="s">
        <v>933</v>
      </c>
      <c r="G1623" t="s">
        <v>120</v>
      </c>
      <c r="H1623" t="s">
        <v>480</v>
      </c>
      <c r="J1623" s="202"/>
      <c r="K1623" s="198"/>
      <c r="L1623" s="202"/>
      <c r="M1623" s="202"/>
      <c r="N1623" s="202"/>
      <c r="O1623" s="202"/>
      <c r="P1623" s="202"/>
      <c r="Q1623" s="202"/>
      <c r="R1623" s="202"/>
      <c r="S1623" s="202"/>
    </row>
    <row r="1624" spans="5:19" x14ac:dyDescent="0.25">
      <c r="F1624" t="s">
        <v>934</v>
      </c>
      <c r="G1624" t="s">
        <v>120</v>
      </c>
      <c r="H1624" t="s">
        <v>480</v>
      </c>
      <c r="J1624" s="202"/>
      <c r="K1624" s="198"/>
      <c r="L1624" s="202"/>
      <c r="M1624" s="202"/>
      <c r="N1624" s="202"/>
      <c r="O1624" s="202"/>
      <c r="P1624" s="202"/>
      <c r="Q1624" s="202"/>
      <c r="R1624" s="202"/>
      <c r="S1624" s="202"/>
    </row>
    <row r="1625" spans="5:19" x14ac:dyDescent="0.25">
      <c r="F1625" t="s">
        <v>935</v>
      </c>
      <c r="G1625" t="s">
        <v>120</v>
      </c>
      <c r="H1625" t="s">
        <v>480</v>
      </c>
      <c r="J1625" s="202"/>
      <c r="K1625" s="198"/>
      <c r="L1625" s="202"/>
      <c r="M1625" s="202"/>
      <c r="N1625" s="202"/>
      <c r="O1625" s="202"/>
      <c r="P1625" s="202"/>
      <c r="Q1625" s="202"/>
      <c r="R1625" s="202"/>
      <c r="S1625" s="202"/>
    </row>
    <row r="1626" spans="5:19" x14ac:dyDescent="0.25">
      <c r="F1626" t="s">
        <v>936</v>
      </c>
      <c r="G1626" t="s">
        <v>120</v>
      </c>
      <c r="H1626" t="s">
        <v>480</v>
      </c>
      <c r="J1626" s="202"/>
      <c r="K1626" s="198"/>
      <c r="L1626" s="202"/>
      <c r="M1626" s="202"/>
      <c r="N1626" s="202"/>
      <c r="O1626" s="202"/>
      <c r="P1626" s="202"/>
      <c r="Q1626" s="202"/>
      <c r="R1626" s="202"/>
      <c r="S1626" s="202"/>
    </row>
    <row r="1627" spans="5:19" x14ac:dyDescent="0.25">
      <c r="F1627" t="s">
        <v>937</v>
      </c>
      <c r="G1627" t="s">
        <v>120</v>
      </c>
      <c r="H1627" t="s">
        <v>480</v>
      </c>
      <c r="J1627" s="202"/>
      <c r="K1627" s="198"/>
      <c r="L1627" s="202"/>
      <c r="M1627" s="202"/>
      <c r="N1627" s="202"/>
      <c r="O1627" s="202"/>
      <c r="P1627" s="202"/>
      <c r="Q1627" s="202"/>
      <c r="R1627" s="202"/>
      <c r="S1627" s="202"/>
    </row>
    <row r="1628" spans="5:19" x14ac:dyDescent="0.25">
      <c r="F1628" t="s">
        <v>938</v>
      </c>
      <c r="G1628" t="s">
        <v>120</v>
      </c>
      <c r="H1628" t="s">
        <v>480</v>
      </c>
      <c r="J1628" s="202"/>
      <c r="K1628" s="198"/>
      <c r="L1628" s="202"/>
      <c r="M1628" s="202"/>
      <c r="N1628" s="202"/>
      <c r="O1628" s="202"/>
      <c r="P1628" s="202"/>
      <c r="Q1628" s="202"/>
      <c r="R1628" s="202"/>
      <c r="S1628" s="202"/>
    </row>
    <row r="1629" spans="5:19" x14ac:dyDescent="0.25">
      <c r="F1629" t="s">
        <v>939</v>
      </c>
      <c r="G1629" t="s">
        <v>120</v>
      </c>
      <c r="H1629" t="s">
        <v>480</v>
      </c>
      <c r="J1629" s="202"/>
      <c r="K1629" s="198"/>
      <c r="L1629" s="202"/>
      <c r="M1629" s="202"/>
      <c r="N1629" s="202"/>
      <c r="O1629" s="202"/>
      <c r="P1629" s="202"/>
      <c r="Q1629" s="202"/>
      <c r="R1629" s="202"/>
      <c r="S1629" s="202"/>
    </row>
    <row r="1630" spans="5:19" x14ac:dyDescent="0.25">
      <c r="F1630" s="17" t="s">
        <v>940</v>
      </c>
      <c r="G1630" s="17" t="s">
        <v>120</v>
      </c>
      <c r="H1630" s="17" t="s">
        <v>480</v>
      </c>
      <c r="I1630" s="122"/>
      <c r="J1630" s="203"/>
      <c r="K1630" s="200"/>
      <c r="L1630" s="203"/>
      <c r="M1630" s="203"/>
      <c r="N1630" s="203"/>
      <c r="O1630" s="203"/>
      <c r="P1630" s="203"/>
      <c r="Q1630" s="203"/>
      <c r="R1630" s="203"/>
      <c r="S1630" s="203"/>
    </row>
    <row r="1631" spans="5:19" x14ac:dyDescent="0.25">
      <c r="J1631" s="198"/>
      <c r="K1631" s="198"/>
      <c r="L1631" s="198"/>
      <c r="M1631" s="198"/>
      <c r="N1631" s="198"/>
      <c r="O1631" s="198"/>
      <c r="P1631" s="198"/>
      <c r="Q1631" s="198"/>
      <c r="R1631" s="198"/>
      <c r="S1631" s="198"/>
    </row>
    <row r="1632" spans="5:19" x14ac:dyDescent="0.25">
      <c r="E1632" s="121" t="s">
        <v>201</v>
      </c>
      <c r="J1632" s="198"/>
      <c r="K1632" s="198"/>
      <c r="L1632" s="198"/>
      <c r="M1632" s="198"/>
      <c r="N1632" s="198"/>
      <c r="O1632" s="198"/>
      <c r="P1632" s="198"/>
      <c r="Q1632" s="198"/>
      <c r="R1632" s="198"/>
      <c r="S1632" s="198"/>
    </row>
    <row r="1633" spans="6:19" x14ac:dyDescent="0.25">
      <c r="F1633" s="80" t="s">
        <v>925</v>
      </c>
      <c r="G1633" s="80" t="s">
        <v>120</v>
      </c>
      <c r="H1633" s="80" t="s">
        <v>480</v>
      </c>
      <c r="I1633" s="94"/>
      <c r="J1633" s="201"/>
      <c r="K1633" s="196"/>
      <c r="L1633" s="201"/>
      <c r="M1633" s="201"/>
      <c r="N1633" s="201"/>
      <c r="O1633" s="201"/>
      <c r="P1633" s="201"/>
      <c r="Q1633" s="201"/>
      <c r="R1633" s="201"/>
      <c r="S1633" s="201"/>
    </row>
    <row r="1634" spans="6:19" x14ac:dyDescent="0.25">
      <c r="F1634" t="s">
        <v>926</v>
      </c>
      <c r="G1634" t="s">
        <v>120</v>
      </c>
      <c r="H1634" t="s">
        <v>480</v>
      </c>
      <c r="J1634" s="202"/>
      <c r="K1634" s="198"/>
      <c r="L1634" s="202"/>
      <c r="M1634" s="202"/>
      <c r="N1634" s="202"/>
      <c r="O1634" s="202"/>
      <c r="P1634" s="202"/>
      <c r="Q1634" s="202"/>
      <c r="R1634" s="202"/>
      <c r="S1634" s="202"/>
    </row>
    <row r="1635" spans="6:19" x14ac:dyDescent="0.25">
      <c r="F1635" t="s">
        <v>927</v>
      </c>
      <c r="G1635" t="s">
        <v>120</v>
      </c>
      <c r="H1635" t="s">
        <v>480</v>
      </c>
      <c r="J1635" s="197">
        <f t="shared" ref="J1635" si="330">CHOOSE(year_selection, L1635,M1635,N1635,O1635,P1635,Q1635,R1635,S1635)</f>
        <v>1455.4522512658536</v>
      </c>
      <c r="K1635" s="198"/>
      <c r="L1635" s="281"/>
      <c r="M1635" s="281">
        <v>1456.0544829660575</v>
      </c>
      <c r="N1635" s="281">
        <v>1443.7909710959668</v>
      </c>
      <c r="O1635" s="281">
        <v>1455.4522512658536</v>
      </c>
      <c r="P1635" s="281">
        <f t="shared" ref="P1635:S1639" si="331">$O1635</f>
        <v>1455.4522512658536</v>
      </c>
      <c r="Q1635" s="281">
        <f t="shared" si="331"/>
        <v>1455.4522512658536</v>
      </c>
      <c r="R1635" s="281">
        <f t="shared" si="331"/>
        <v>1455.4522512658536</v>
      </c>
      <c r="S1635" s="281">
        <f t="shared" si="331"/>
        <v>1455.4522512658536</v>
      </c>
    </row>
    <row r="1636" spans="6:19" x14ac:dyDescent="0.25">
      <c r="F1636" t="s">
        <v>928</v>
      </c>
      <c r="G1636" t="s">
        <v>120</v>
      </c>
      <c r="H1636" t="s">
        <v>480</v>
      </c>
      <c r="J1636" s="202"/>
      <c r="K1636" s="198"/>
      <c r="L1636" s="202"/>
      <c r="M1636" s="202"/>
      <c r="N1636" s="202"/>
      <c r="O1636" s="202"/>
      <c r="P1636" s="202"/>
      <c r="Q1636" s="202"/>
      <c r="R1636" s="202"/>
      <c r="S1636" s="202"/>
    </row>
    <row r="1637" spans="6:19" x14ac:dyDescent="0.25">
      <c r="F1637" t="s">
        <v>929</v>
      </c>
      <c r="G1637" t="s">
        <v>120</v>
      </c>
      <c r="H1637" t="s">
        <v>480</v>
      </c>
      <c r="J1637" s="197">
        <f t="shared" ref="J1637:J1639" si="332">CHOOSE(year_selection, L1637,M1637,N1637,O1637,P1637,Q1637,R1637,S1637)</f>
        <v>9601.1639538001637</v>
      </c>
      <c r="K1637" s="198"/>
      <c r="L1637" s="281"/>
      <c r="M1637" s="281">
        <v>8665.1309997961089</v>
      </c>
      <c r="N1637" s="281">
        <v>8647.9564457857687</v>
      </c>
      <c r="O1637" s="281">
        <v>9601.1639538001637</v>
      </c>
      <c r="P1637" s="281">
        <f t="shared" si="331"/>
        <v>9601.1639538001637</v>
      </c>
      <c r="Q1637" s="281">
        <f t="shared" si="331"/>
        <v>9601.1639538001637</v>
      </c>
      <c r="R1637" s="281">
        <f t="shared" si="331"/>
        <v>9601.1639538001637</v>
      </c>
      <c r="S1637" s="281">
        <f t="shared" si="331"/>
        <v>9601.1639538001637</v>
      </c>
    </row>
    <row r="1638" spans="6:19" x14ac:dyDescent="0.25">
      <c r="F1638" t="s">
        <v>930</v>
      </c>
      <c r="G1638" t="s">
        <v>120</v>
      </c>
      <c r="H1638" t="s">
        <v>480</v>
      </c>
      <c r="J1638" s="197">
        <f t="shared" si="332"/>
        <v>208.87225658450117</v>
      </c>
      <c r="K1638" s="198"/>
      <c r="L1638" s="281"/>
      <c r="M1638" s="281">
        <v>56.610882270903147</v>
      </c>
      <c r="N1638" s="281">
        <v>194.98574243046647</v>
      </c>
      <c r="O1638" s="281">
        <v>208.87225658450117</v>
      </c>
      <c r="P1638" s="281">
        <f t="shared" si="331"/>
        <v>208.87225658450117</v>
      </c>
      <c r="Q1638" s="281">
        <f t="shared" si="331"/>
        <v>208.87225658450117</v>
      </c>
      <c r="R1638" s="281">
        <f t="shared" si="331"/>
        <v>208.87225658450117</v>
      </c>
      <c r="S1638" s="281">
        <f t="shared" si="331"/>
        <v>208.87225658450117</v>
      </c>
    </row>
    <row r="1639" spans="6:19" x14ac:dyDescent="0.25">
      <c r="F1639" t="s">
        <v>931</v>
      </c>
      <c r="G1639" t="s">
        <v>120</v>
      </c>
      <c r="H1639" t="s">
        <v>480</v>
      </c>
      <c r="J1639" s="197">
        <f t="shared" si="332"/>
        <v>2836.719134664168</v>
      </c>
      <c r="K1639" s="198"/>
      <c r="L1639" s="281"/>
      <c r="M1639" s="281">
        <v>3542.7610072561283</v>
      </c>
      <c r="N1639" s="281">
        <v>2428.9947707855822</v>
      </c>
      <c r="O1639" s="281">
        <v>2836.719134664168</v>
      </c>
      <c r="P1639" s="281">
        <f t="shared" si="331"/>
        <v>2836.719134664168</v>
      </c>
      <c r="Q1639" s="281">
        <f t="shared" si="331"/>
        <v>2836.719134664168</v>
      </c>
      <c r="R1639" s="281">
        <f t="shared" si="331"/>
        <v>2836.719134664168</v>
      </c>
      <c r="S1639" s="281">
        <f t="shared" si="331"/>
        <v>2836.719134664168</v>
      </c>
    </row>
    <row r="1640" spans="6:19" x14ac:dyDescent="0.25">
      <c r="F1640" t="s">
        <v>932</v>
      </c>
      <c r="G1640" t="s">
        <v>120</v>
      </c>
      <c r="H1640" t="s">
        <v>480</v>
      </c>
      <c r="J1640" s="202"/>
      <c r="K1640" s="198"/>
      <c r="L1640" s="202"/>
      <c r="M1640" s="202"/>
      <c r="N1640" s="202"/>
      <c r="O1640" s="202"/>
      <c r="P1640" s="202"/>
      <c r="Q1640" s="202"/>
      <c r="R1640" s="202"/>
      <c r="S1640" s="202"/>
    </row>
    <row r="1641" spans="6:19" x14ac:dyDescent="0.25">
      <c r="F1641" t="s">
        <v>933</v>
      </c>
      <c r="G1641" t="s">
        <v>120</v>
      </c>
      <c r="H1641" t="s">
        <v>480</v>
      </c>
      <c r="J1641" s="202"/>
      <c r="K1641" s="198"/>
      <c r="L1641" s="202"/>
      <c r="M1641" s="202"/>
      <c r="N1641" s="202"/>
      <c r="O1641" s="202"/>
      <c r="P1641" s="202"/>
      <c r="Q1641" s="202"/>
      <c r="R1641" s="202"/>
      <c r="S1641" s="202"/>
    </row>
    <row r="1642" spans="6:19" x14ac:dyDescent="0.25">
      <c r="F1642" t="s">
        <v>934</v>
      </c>
      <c r="G1642" t="s">
        <v>120</v>
      </c>
      <c r="H1642" t="s">
        <v>480</v>
      </c>
      <c r="J1642" s="202"/>
      <c r="K1642" s="198"/>
      <c r="L1642" s="202"/>
      <c r="M1642" s="202"/>
      <c r="N1642" s="202"/>
      <c r="O1642" s="202"/>
      <c r="P1642" s="202"/>
      <c r="Q1642" s="202"/>
      <c r="R1642" s="202"/>
      <c r="S1642" s="202"/>
    </row>
    <row r="1643" spans="6:19" x14ac:dyDescent="0.25">
      <c r="F1643" t="s">
        <v>935</v>
      </c>
      <c r="G1643" t="s">
        <v>120</v>
      </c>
      <c r="H1643" t="s">
        <v>480</v>
      </c>
      <c r="J1643" s="202"/>
      <c r="K1643" s="198"/>
      <c r="L1643" s="202"/>
      <c r="M1643" s="202"/>
      <c r="N1643" s="202"/>
      <c r="O1643" s="202"/>
      <c r="P1643" s="202"/>
      <c r="Q1643" s="202"/>
      <c r="R1643" s="202"/>
      <c r="S1643" s="202"/>
    </row>
    <row r="1644" spans="6:19" x14ac:dyDescent="0.25">
      <c r="F1644" t="s">
        <v>936</v>
      </c>
      <c r="G1644" t="s">
        <v>120</v>
      </c>
      <c r="H1644" t="s">
        <v>480</v>
      </c>
      <c r="J1644" s="202"/>
      <c r="K1644" s="198"/>
      <c r="L1644" s="202"/>
      <c r="M1644" s="202"/>
      <c r="N1644" s="202"/>
      <c r="O1644" s="202"/>
      <c r="P1644" s="202"/>
      <c r="Q1644" s="202"/>
      <c r="R1644" s="202"/>
      <c r="S1644" s="202"/>
    </row>
    <row r="1645" spans="6:19" x14ac:dyDescent="0.25">
      <c r="F1645" t="s">
        <v>937</v>
      </c>
      <c r="G1645" t="s">
        <v>120</v>
      </c>
      <c r="H1645" t="s">
        <v>480</v>
      </c>
      <c r="J1645" s="202"/>
      <c r="K1645" s="198"/>
      <c r="L1645" s="202"/>
      <c r="M1645" s="202"/>
      <c r="N1645" s="202"/>
      <c r="O1645" s="202"/>
      <c r="P1645" s="202"/>
      <c r="Q1645" s="202"/>
      <c r="R1645" s="202"/>
      <c r="S1645" s="202"/>
    </row>
    <row r="1646" spans="6:19" x14ac:dyDescent="0.25">
      <c r="F1646" t="s">
        <v>938</v>
      </c>
      <c r="G1646" t="s">
        <v>120</v>
      </c>
      <c r="H1646" t="s">
        <v>480</v>
      </c>
      <c r="J1646" s="202"/>
      <c r="K1646" s="198"/>
      <c r="L1646" s="202"/>
      <c r="M1646" s="202"/>
      <c r="N1646" s="202"/>
      <c r="O1646" s="202"/>
      <c r="P1646" s="202"/>
      <c r="Q1646" s="202"/>
      <c r="R1646" s="202"/>
      <c r="S1646" s="202"/>
    </row>
    <row r="1647" spans="6:19" x14ac:dyDescent="0.25">
      <c r="F1647" t="s">
        <v>939</v>
      </c>
      <c r="G1647" t="s">
        <v>120</v>
      </c>
      <c r="H1647" t="s">
        <v>480</v>
      </c>
      <c r="J1647" s="202"/>
      <c r="K1647" s="198"/>
      <c r="L1647" s="202"/>
      <c r="M1647" s="202"/>
      <c r="N1647" s="202"/>
      <c r="O1647" s="202"/>
      <c r="P1647" s="202"/>
      <c r="Q1647" s="202"/>
      <c r="R1647" s="202"/>
      <c r="S1647" s="202"/>
    </row>
    <row r="1648" spans="6:19" x14ac:dyDescent="0.25">
      <c r="F1648" s="17" t="s">
        <v>940</v>
      </c>
      <c r="G1648" s="17" t="s">
        <v>120</v>
      </c>
      <c r="H1648" s="17" t="s">
        <v>480</v>
      </c>
      <c r="I1648" s="122"/>
      <c r="J1648" s="203"/>
      <c r="K1648" s="200"/>
      <c r="L1648" s="203"/>
      <c r="M1648" s="203"/>
      <c r="N1648" s="203"/>
      <c r="O1648" s="203"/>
      <c r="P1648" s="203"/>
      <c r="Q1648" s="203"/>
      <c r="R1648" s="203"/>
      <c r="S1648" s="203"/>
    </row>
    <row r="1649" spans="5:19" x14ac:dyDescent="0.25">
      <c r="J1649" s="198"/>
      <c r="K1649" s="198"/>
      <c r="L1649" s="198"/>
      <c r="M1649" s="198"/>
      <c r="N1649" s="198"/>
      <c r="O1649" s="198"/>
      <c r="P1649" s="198"/>
      <c r="Q1649" s="198"/>
      <c r="R1649" s="198"/>
      <c r="S1649" s="198"/>
    </row>
    <row r="1650" spans="5:19" x14ac:dyDescent="0.25">
      <c r="E1650" s="121" t="s">
        <v>74</v>
      </c>
      <c r="J1650" s="198"/>
      <c r="K1650" s="198"/>
      <c r="L1650" s="198"/>
      <c r="M1650" s="198"/>
      <c r="N1650" s="198"/>
      <c r="O1650" s="198"/>
      <c r="P1650" s="198"/>
      <c r="Q1650" s="198"/>
      <c r="R1650" s="198"/>
      <c r="S1650" s="198"/>
    </row>
    <row r="1651" spans="5:19" x14ac:dyDescent="0.25">
      <c r="F1651" s="80" t="s">
        <v>925</v>
      </c>
      <c r="G1651" s="80" t="s">
        <v>74</v>
      </c>
      <c r="H1651" s="80" t="s">
        <v>480</v>
      </c>
      <c r="I1651" s="94"/>
      <c r="J1651" s="201"/>
      <c r="K1651" s="196"/>
      <c r="L1651" s="201"/>
      <c r="M1651" s="201"/>
      <c r="N1651" s="201"/>
      <c r="O1651" s="201"/>
      <c r="P1651" s="201"/>
      <c r="Q1651" s="201"/>
      <c r="R1651" s="201"/>
      <c r="S1651" s="201"/>
    </row>
    <row r="1652" spans="5:19" x14ac:dyDescent="0.25">
      <c r="F1652" t="s">
        <v>926</v>
      </c>
      <c r="G1652" t="s">
        <v>74</v>
      </c>
      <c r="H1652" t="s">
        <v>480</v>
      </c>
      <c r="J1652" s="202"/>
      <c r="K1652" s="198"/>
      <c r="L1652" s="202"/>
      <c r="M1652" s="202"/>
      <c r="N1652" s="202"/>
      <c r="O1652" s="202"/>
      <c r="P1652" s="202"/>
      <c r="Q1652" s="202"/>
      <c r="R1652" s="202"/>
      <c r="S1652" s="202"/>
    </row>
    <row r="1653" spans="5:19" x14ac:dyDescent="0.25">
      <c r="F1653" t="s">
        <v>927</v>
      </c>
      <c r="G1653" t="s">
        <v>74</v>
      </c>
      <c r="H1653" t="s">
        <v>480</v>
      </c>
      <c r="J1653" s="197">
        <f t="shared" ref="J1653" si="333">CHOOSE(year_selection, L1653,M1653,N1653,O1653,P1653,Q1653,R1653,S1653)</f>
        <v>497</v>
      </c>
      <c r="K1653" s="198"/>
      <c r="L1653" s="281"/>
      <c r="M1653" s="281">
        <v>468</v>
      </c>
      <c r="N1653" s="281">
        <v>483</v>
      </c>
      <c r="O1653" s="281">
        <v>497</v>
      </c>
      <c r="P1653" s="281">
        <f t="shared" ref="P1653:S1657" si="334">$O1653</f>
        <v>497</v>
      </c>
      <c r="Q1653" s="281">
        <f t="shared" si="334"/>
        <v>497</v>
      </c>
      <c r="R1653" s="281">
        <f t="shared" si="334"/>
        <v>497</v>
      </c>
      <c r="S1653" s="281">
        <f t="shared" si="334"/>
        <v>497</v>
      </c>
    </row>
    <row r="1654" spans="5:19" x14ac:dyDescent="0.25">
      <c r="F1654" t="s">
        <v>928</v>
      </c>
      <c r="G1654" t="s">
        <v>74</v>
      </c>
      <c r="H1654" t="s">
        <v>480</v>
      </c>
      <c r="J1654" s="202"/>
      <c r="K1654" s="198"/>
      <c r="L1654" s="202"/>
      <c r="M1654" s="202"/>
      <c r="N1654" s="202"/>
      <c r="O1654" s="202"/>
      <c r="P1654" s="202"/>
      <c r="Q1654" s="202"/>
      <c r="R1654" s="202"/>
      <c r="S1654" s="202"/>
    </row>
    <row r="1655" spans="5:19" x14ac:dyDescent="0.25">
      <c r="F1655" t="s">
        <v>929</v>
      </c>
      <c r="G1655" t="s">
        <v>74</v>
      </c>
      <c r="H1655" t="s">
        <v>480</v>
      </c>
      <c r="J1655" s="197">
        <f t="shared" ref="J1655:J1657" si="335">CHOOSE(year_selection, L1655,M1655,N1655,O1655,P1655,Q1655,R1655,S1655)</f>
        <v>140</v>
      </c>
      <c r="K1655" s="198"/>
      <c r="L1655" s="281"/>
      <c r="M1655" s="281">
        <v>116</v>
      </c>
      <c r="N1655" s="281">
        <v>126</v>
      </c>
      <c r="O1655" s="281">
        <v>140</v>
      </c>
      <c r="P1655" s="281">
        <f t="shared" si="334"/>
        <v>140</v>
      </c>
      <c r="Q1655" s="281">
        <f t="shared" si="334"/>
        <v>140</v>
      </c>
      <c r="R1655" s="281">
        <f t="shared" si="334"/>
        <v>140</v>
      </c>
      <c r="S1655" s="281">
        <f t="shared" si="334"/>
        <v>140</v>
      </c>
    </row>
    <row r="1656" spans="5:19" x14ac:dyDescent="0.25">
      <c r="F1656" t="s">
        <v>930</v>
      </c>
      <c r="G1656" t="s">
        <v>74</v>
      </c>
      <c r="H1656" t="s">
        <v>480</v>
      </c>
      <c r="J1656" s="197">
        <f t="shared" si="335"/>
        <v>3</v>
      </c>
      <c r="K1656" s="198"/>
      <c r="L1656" s="281"/>
      <c r="M1656" s="281">
        <v>1</v>
      </c>
      <c r="N1656" s="281">
        <v>3</v>
      </c>
      <c r="O1656" s="281">
        <v>3</v>
      </c>
      <c r="P1656" s="281">
        <f t="shared" si="334"/>
        <v>3</v>
      </c>
      <c r="Q1656" s="281">
        <f t="shared" si="334"/>
        <v>3</v>
      </c>
      <c r="R1656" s="281">
        <f t="shared" si="334"/>
        <v>3</v>
      </c>
      <c r="S1656" s="281">
        <f t="shared" si="334"/>
        <v>3</v>
      </c>
    </row>
    <row r="1657" spans="5:19" x14ac:dyDescent="0.25">
      <c r="F1657" t="s">
        <v>931</v>
      </c>
      <c r="G1657" t="s">
        <v>74</v>
      </c>
      <c r="H1657" t="s">
        <v>480</v>
      </c>
      <c r="J1657" s="197">
        <f t="shared" si="335"/>
        <v>6</v>
      </c>
      <c r="K1657" s="198"/>
      <c r="L1657" s="281"/>
      <c r="M1657" s="281">
        <v>6</v>
      </c>
      <c r="N1657" s="281">
        <v>6</v>
      </c>
      <c r="O1657" s="281">
        <v>6</v>
      </c>
      <c r="P1657" s="281">
        <f t="shared" si="334"/>
        <v>6</v>
      </c>
      <c r="Q1657" s="281">
        <f t="shared" si="334"/>
        <v>6</v>
      </c>
      <c r="R1657" s="281">
        <f t="shared" si="334"/>
        <v>6</v>
      </c>
      <c r="S1657" s="281">
        <f t="shared" si="334"/>
        <v>6</v>
      </c>
    </row>
    <row r="1658" spans="5:19" x14ac:dyDescent="0.25">
      <c r="F1658" t="s">
        <v>932</v>
      </c>
      <c r="G1658" t="s">
        <v>74</v>
      </c>
      <c r="H1658" t="s">
        <v>480</v>
      </c>
      <c r="J1658" s="202"/>
      <c r="K1658" s="198"/>
      <c r="L1658" s="202"/>
      <c r="M1658" s="202"/>
      <c r="N1658" s="202"/>
      <c r="O1658" s="202"/>
      <c r="P1658" s="202"/>
      <c r="Q1658" s="202"/>
      <c r="R1658" s="202"/>
      <c r="S1658" s="202"/>
    </row>
    <row r="1659" spans="5:19" x14ac:dyDescent="0.25">
      <c r="F1659" t="s">
        <v>933</v>
      </c>
      <c r="G1659" t="s">
        <v>74</v>
      </c>
      <c r="H1659" t="s">
        <v>480</v>
      </c>
      <c r="J1659" s="202"/>
      <c r="K1659" s="198"/>
      <c r="L1659" s="202"/>
      <c r="M1659" s="202"/>
      <c r="N1659" s="202"/>
      <c r="O1659" s="202"/>
      <c r="P1659" s="202"/>
      <c r="Q1659" s="202"/>
      <c r="R1659" s="202"/>
      <c r="S1659" s="202"/>
    </row>
    <row r="1660" spans="5:19" x14ac:dyDescent="0.25">
      <c r="F1660" t="s">
        <v>934</v>
      </c>
      <c r="G1660" t="s">
        <v>74</v>
      </c>
      <c r="H1660" t="s">
        <v>480</v>
      </c>
      <c r="J1660" s="202"/>
      <c r="K1660" s="198"/>
      <c r="L1660" s="202"/>
      <c r="M1660" s="202"/>
      <c r="N1660" s="202"/>
      <c r="O1660" s="202"/>
      <c r="P1660" s="202"/>
      <c r="Q1660" s="202"/>
      <c r="R1660" s="202"/>
      <c r="S1660" s="202"/>
    </row>
    <row r="1661" spans="5:19" x14ac:dyDescent="0.25">
      <c r="F1661" t="s">
        <v>935</v>
      </c>
      <c r="G1661" t="s">
        <v>74</v>
      </c>
      <c r="H1661" t="s">
        <v>480</v>
      </c>
      <c r="J1661" s="202"/>
      <c r="K1661" s="198"/>
      <c r="L1661" s="202"/>
      <c r="M1661" s="202"/>
      <c r="N1661" s="202"/>
      <c r="O1661" s="202"/>
      <c r="P1661" s="202"/>
      <c r="Q1661" s="202"/>
      <c r="R1661" s="202"/>
      <c r="S1661" s="202"/>
    </row>
    <row r="1662" spans="5:19" x14ac:dyDescent="0.25">
      <c r="F1662" t="s">
        <v>936</v>
      </c>
      <c r="G1662" t="s">
        <v>74</v>
      </c>
      <c r="H1662" t="s">
        <v>480</v>
      </c>
      <c r="J1662" s="202"/>
      <c r="K1662" s="198"/>
      <c r="L1662" s="202"/>
      <c r="M1662" s="202"/>
      <c r="N1662" s="202"/>
      <c r="O1662" s="202"/>
      <c r="P1662" s="202"/>
      <c r="Q1662" s="202"/>
      <c r="R1662" s="202"/>
      <c r="S1662" s="202"/>
    </row>
    <row r="1663" spans="5:19" x14ac:dyDescent="0.25">
      <c r="F1663" t="s">
        <v>937</v>
      </c>
      <c r="G1663" t="s">
        <v>74</v>
      </c>
      <c r="H1663" t="s">
        <v>480</v>
      </c>
      <c r="J1663" s="202"/>
      <c r="K1663" s="198"/>
      <c r="L1663" s="202"/>
      <c r="M1663" s="202"/>
      <c r="N1663" s="202"/>
      <c r="O1663" s="202"/>
      <c r="P1663" s="202"/>
      <c r="Q1663" s="202"/>
      <c r="R1663" s="202"/>
      <c r="S1663" s="202"/>
    </row>
    <row r="1664" spans="5:19" x14ac:dyDescent="0.25">
      <c r="F1664" t="s">
        <v>938</v>
      </c>
      <c r="G1664" t="s">
        <v>74</v>
      </c>
      <c r="H1664" t="s">
        <v>480</v>
      </c>
      <c r="J1664" s="202"/>
      <c r="K1664" s="198"/>
      <c r="L1664" s="202"/>
      <c r="M1664" s="202"/>
      <c r="N1664" s="202"/>
      <c r="O1664" s="202"/>
      <c r="P1664" s="202"/>
      <c r="Q1664" s="202"/>
      <c r="R1664" s="202"/>
      <c r="S1664" s="202"/>
    </row>
    <row r="1665" spans="5:19" x14ac:dyDescent="0.25">
      <c r="F1665" t="s">
        <v>939</v>
      </c>
      <c r="G1665" t="s">
        <v>74</v>
      </c>
      <c r="H1665" t="s">
        <v>480</v>
      </c>
      <c r="J1665" s="202"/>
      <c r="K1665" s="198"/>
      <c r="L1665" s="202"/>
      <c r="M1665" s="202"/>
      <c r="N1665" s="202"/>
      <c r="O1665" s="202"/>
      <c r="P1665" s="202"/>
      <c r="Q1665" s="202"/>
      <c r="R1665" s="202"/>
      <c r="S1665" s="202"/>
    </row>
    <row r="1666" spans="5:19" x14ac:dyDescent="0.25">
      <c r="F1666" s="17" t="s">
        <v>940</v>
      </c>
      <c r="G1666" s="17" t="s">
        <v>74</v>
      </c>
      <c r="H1666" s="17" t="s">
        <v>480</v>
      </c>
      <c r="I1666" s="122"/>
      <c r="J1666" s="203"/>
      <c r="K1666" s="200"/>
      <c r="L1666" s="203"/>
      <c r="M1666" s="203"/>
      <c r="N1666" s="203"/>
      <c r="O1666" s="203"/>
      <c r="P1666" s="203"/>
      <c r="Q1666" s="203"/>
      <c r="R1666" s="203"/>
      <c r="S1666" s="203"/>
    </row>
    <row r="1667" spans="5:19" x14ac:dyDescent="0.25">
      <c r="J1667" s="198"/>
      <c r="K1667" s="198"/>
      <c r="L1667" s="198"/>
      <c r="M1667" s="198"/>
      <c r="N1667" s="198"/>
      <c r="O1667" s="198"/>
      <c r="P1667" s="198"/>
      <c r="Q1667" s="198"/>
      <c r="R1667" s="198"/>
      <c r="S1667" s="198"/>
    </row>
    <row r="1668" spans="5:19" x14ac:dyDescent="0.25">
      <c r="E1668" s="121" t="s">
        <v>202</v>
      </c>
      <c r="J1668" s="198"/>
      <c r="K1668" s="198"/>
      <c r="L1668" s="198"/>
      <c r="M1668" s="198"/>
      <c r="N1668" s="198"/>
      <c r="O1668" s="198"/>
      <c r="P1668" s="198"/>
      <c r="Q1668" s="198"/>
      <c r="R1668" s="198"/>
      <c r="S1668" s="198"/>
    </row>
    <row r="1669" spans="5:19" x14ac:dyDescent="0.25">
      <c r="F1669" s="80" t="s">
        <v>925</v>
      </c>
      <c r="G1669" s="80" t="s">
        <v>169</v>
      </c>
      <c r="H1669" s="80" t="s">
        <v>480</v>
      </c>
      <c r="I1669" s="94"/>
      <c r="J1669" s="201"/>
      <c r="K1669" s="196"/>
      <c r="L1669" s="201"/>
      <c r="M1669" s="201"/>
      <c r="N1669" s="201"/>
      <c r="O1669" s="201"/>
      <c r="P1669" s="201"/>
      <c r="Q1669" s="201"/>
      <c r="R1669" s="201"/>
      <c r="S1669" s="201"/>
    </row>
    <row r="1670" spans="5:19" x14ac:dyDescent="0.25">
      <c r="F1670" t="s">
        <v>926</v>
      </c>
      <c r="G1670" t="s">
        <v>169</v>
      </c>
      <c r="H1670" t="s">
        <v>480</v>
      </c>
      <c r="J1670" s="202"/>
      <c r="K1670" s="198"/>
      <c r="L1670" s="202"/>
      <c r="M1670" s="202"/>
      <c r="N1670" s="202"/>
      <c r="O1670" s="202"/>
      <c r="P1670" s="202"/>
      <c r="Q1670" s="202"/>
      <c r="R1670" s="202"/>
      <c r="S1670" s="202"/>
    </row>
    <row r="1671" spans="5:19" x14ac:dyDescent="0.25">
      <c r="F1671" t="s">
        <v>927</v>
      </c>
      <c r="G1671" t="s">
        <v>169</v>
      </c>
      <c r="H1671" t="s">
        <v>480</v>
      </c>
      <c r="J1671" s="202"/>
      <c r="K1671" s="198"/>
      <c r="L1671" s="202"/>
      <c r="M1671" s="202"/>
      <c r="N1671" s="202"/>
      <c r="O1671" s="202"/>
      <c r="P1671" s="202"/>
      <c r="Q1671" s="202"/>
      <c r="R1671" s="202"/>
      <c r="S1671" s="202"/>
    </row>
    <row r="1672" spans="5:19" x14ac:dyDescent="0.25">
      <c r="F1672" t="s">
        <v>928</v>
      </c>
      <c r="G1672" t="s">
        <v>169</v>
      </c>
      <c r="H1672" t="s">
        <v>480</v>
      </c>
      <c r="J1672" s="202"/>
      <c r="K1672" s="198"/>
      <c r="L1672" s="202"/>
      <c r="M1672" s="202"/>
      <c r="N1672" s="202"/>
      <c r="O1672" s="202"/>
      <c r="P1672" s="202"/>
      <c r="Q1672" s="202"/>
      <c r="R1672" s="202"/>
      <c r="S1672" s="202"/>
    </row>
    <row r="1673" spans="5:19" x14ac:dyDescent="0.25">
      <c r="F1673" t="s">
        <v>929</v>
      </c>
      <c r="G1673" t="s">
        <v>169</v>
      </c>
      <c r="H1673" t="s">
        <v>480</v>
      </c>
      <c r="J1673" s="197">
        <f t="shared" ref="J1673:J1675" si="336">CHOOSE(year_selection, L1673,M1673,N1673,O1673,P1673,Q1673,R1673,S1673)</f>
        <v>16191</v>
      </c>
      <c r="K1673" s="198"/>
      <c r="L1673" s="281"/>
      <c r="M1673" s="281">
        <v>13786</v>
      </c>
      <c r="N1673" s="281">
        <v>14888</v>
      </c>
      <c r="O1673" s="281">
        <v>16191</v>
      </c>
      <c r="P1673" s="281">
        <f t="shared" ref="P1673:S1675" si="337">$O1673</f>
        <v>16191</v>
      </c>
      <c r="Q1673" s="281">
        <f t="shared" si="337"/>
        <v>16191</v>
      </c>
      <c r="R1673" s="281">
        <f t="shared" si="337"/>
        <v>16191</v>
      </c>
      <c r="S1673" s="281">
        <f t="shared" si="337"/>
        <v>16191</v>
      </c>
    </row>
    <row r="1674" spans="5:19" x14ac:dyDescent="0.25">
      <c r="F1674" t="s">
        <v>930</v>
      </c>
      <c r="G1674" t="s">
        <v>169</v>
      </c>
      <c r="H1674" t="s">
        <v>480</v>
      </c>
      <c r="J1674" s="197">
        <f t="shared" si="336"/>
        <v>327</v>
      </c>
      <c r="K1674" s="198"/>
      <c r="L1674" s="281"/>
      <c r="M1674" s="281">
        <v>100</v>
      </c>
      <c r="N1674" s="281">
        <v>327</v>
      </c>
      <c r="O1674" s="281">
        <v>327</v>
      </c>
      <c r="P1674" s="281">
        <f t="shared" si="337"/>
        <v>327</v>
      </c>
      <c r="Q1674" s="281">
        <f t="shared" si="337"/>
        <v>327</v>
      </c>
      <c r="R1674" s="281">
        <f t="shared" si="337"/>
        <v>327</v>
      </c>
      <c r="S1674" s="281">
        <f t="shared" si="337"/>
        <v>327</v>
      </c>
    </row>
    <row r="1675" spans="5:19" x14ac:dyDescent="0.25">
      <c r="F1675" t="s">
        <v>931</v>
      </c>
      <c r="G1675" t="s">
        <v>169</v>
      </c>
      <c r="H1675" t="s">
        <v>480</v>
      </c>
      <c r="J1675" s="197">
        <f t="shared" si="336"/>
        <v>3695</v>
      </c>
      <c r="K1675" s="198"/>
      <c r="L1675" s="281"/>
      <c r="M1675" s="281">
        <v>3695</v>
      </c>
      <c r="N1675" s="281">
        <v>3695</v>
      </c>
      <c r="O1675" s="281">
        <v>3695</v>
      </c>
      <c r="P1675" s="281">
        <f t="shared" si="337"/>
        <v>3695</v>
      </c>
      <c r="Q1675" s="281">
        <f t="shared" si="337"/>
        <v>3695</v>
      </c>
      <c r="R1675" s="281">
        <f t="shared" si="337"/>
        <v>3695</v>
      </c>
      <c r="S1675" s="281">
        <f t="shared" si="337"/>
        <v>3695</v>
      </c>
    </row>
    <row r="1676" spans="5:19" x14ac:dyDescent="0.25">
      <c r="F1676" t="s">
        <v>932</v>
      </c>
      <c r="G1676" t="s">
        <v>169</v>
      </c>
      <c r="H1676" t="s">
        <v>480</v>
      </c>
      <c r="J1676" s="202"/>
      <c r="K1676" s="198"/>
      <c r="L1676" s="202"/>
      <c r="M1676" s="202"/>
      <c r="N1676" s="202"/>
      <c r="O1676" s="202"/>
      <c r="P1676" s="202"/>
      <c r="Q1676" s="202"/>
      <c r="R1676" s="202"/>
      <c r="S1676" s="202"/>
    </row>
    <row r="1677" spans="5:19" x14ac:dyDescent="0.25">
      <c r="F1677" t="s">
        <v>933</v>
      </c>
      <c r="G1677" t="s">
        <v>169</v>
      </c>
      <c r="H1677" t="s">
        <v>480</v>
      </c>
      <c r="J1677" s="202"/>
      <c r="K1677" s="198"/>
      <c r="L1677" s="202"/>
      <c r="M1677" s="202"/>
      <c r="N1677" s="202"/>
      <c r="O1677" s="202"/>
      <c r="P1677" s="202"/>
      <c r="Q1677" s="202"/>
      <c r="R1677" s="202"/>
      <c r="S1677" s="202"/>
    </row>
    <row r="1678" spans="5:19" x14ac:dyDescent="0.25">
      <c r="F1678" t="s">
        <v>934</v>
      </c>
      <c r="G1678" t="s">
        <v>169</v>
      </c>
      <c r="H1678" t="s">
        <v>480</v>
      </c>
      <c r="J1678" s="202"/>
      <c r="K1678" s="198"/>
      <c r="L1678" s="202"/>
      <c r="M1678" s="202"/>
      <c r="N1678" s="202"/>
      <c r="O1678" s="202"/>
      <c r="P1678" s="202"/>
      <c r="Q1678" s="202"/>
      <c r="R1678" s="202"/>
      <c r="S1678" s="202"/>
    </row>
    <row r="1679" spans="5:19" x14ac:dyDescent="0.25">
      <c r="F1679" t="s">
        <v>935</v>
      </c>
      <c r="G1679" t="s">
        <v>169</v>
      </c>
      <c r="H1679" t="s">
        <v>480</v>
      </c>
      <c r="J1679" s="202"/>
      <c r="K1679" s="198"/>
      <c r="L1679" s="202"/>
      <c r="M1679" s="202"/>
      <c r="N1679" s="202"/>
      <c r="O1679" s="202"/>
      <c r="P1679" s="202"/>
      <c r="Q1679" s="202"/>
      <c r="R1679" s="202"/>
      <c r="S1679" s="202"/>
    </row>
    <row r="1680" spans="5:19" x14ac:dyDescent="0.25">
      <c r="F1680" t="s">
        <v>936</v>
      </c>
      <c r="G1680" t="s">
        <v>169</v>
      </c>
      <c r="H1680" t="s">
        <v>480</v>
      </c>
      <c r="J1680" s="202"/>
      <c r="K1680" s="198"/>
      <c r="L1680" s="202"/>
      <c r="M1680" s="202"/>
      <c r="N1680" s="202"/>
      <c r="O1680" s="202"/>
      <c r="P1680" s="202"/>
      <c r="Q1680" s="202"/>
      <c r="R1680" s="202"/>
      <c r="S1680" s="202"/>
    </row>
    <row r="1681" spans="5:19" x14ac:dyDescent="0.25">
      <c r="F1681" t="s">
        <v>937</v>
      </c>
      <c r="G1681" t="s">
        <v>169</v>
      </c>
      <c r="H1681" t="s">
        <v>480</v>
      </c>
      <c r="J1681" s="202"/>
      <c r="K1681" s="198"/>
      <c r="L1681" s="202"/>
      <c r="M1681" s="202"/>
      <c r="N1681" s="202"/>
      <c r="O1681" s="202"/>
      <c r="P1681" s="202"/>
      <c r="Q1681" s="202"/>
      <c r="R1681" s="202"/>
      <c r="S1681" s="202"/>
    </row>
    <row r="1682" spans="5:19" x14ac:dyDescent="0.25">
      <c r="F1682" t="s">
        <v>938</v>
      </c>
      <c r="G1682" t="s">
        <v>169</v>
      </c>
      <c r="H1682" t="s">
        <v>480</v>
      </c>
      <c r="J1682" s="202"/>
      <c r="K1682" s="198"/>
      <c r="L1682" s="202"/>
      <c r="M1682" s="202"/>
      <c r="N1682" s="202"/>
      <c r="O1682" s="202"/>
      <c r="P1682" s="202"/>
      <c r="Q1682" s="202"/>
      <c r="R1682" s="202"/>
      <c r="S1682" s="202"/>
    </row>
    <row r="1683" spans="5:19" x14ac:dyDescent="0.25">
      <c r="F1683" t="s">
        <v>939</v>
      </c>
      <c r="G1683" t="s">
        <v>169</v>
      </c>
      <c r="H1683" t="s">
        <v>480</v>
      </c>
      <c r="J1683" s="202"/>
      <c r="K1683" s="198"/>
      <c r="L1683" s="202"/>
      <c r="M1683" s="202"/>
      <c r="N1683" s="202"/>
      <c r="O1683" s="202"/>
      <c r="P1683" s="202"/>
      <c r="Q1683" s="202"/>
      <c r="R1683" s="202"/>
      <c r="S1683" s="202"/>
    </row>
    <row r="1684" spans="5:19" x14ac:dyDescent="0.25">
      <c r="F1684" s="17" t="s">
        <v>940</v>
      </c>
      <c r="G1684" s="17" t="s">
        <v>169</v>
      </c>
      <c r="H1684" s="17" t="s">
        <v>480</v>
      </c>
      <c r="I1684" s="122"/>
      <c r="J1684" s="203"/>
      <c r="K1684" s="200"/>
      <c r="L1684" s="203"/>
      <c r="M1684" s="203"/>
      <c r="N1684" s="203"/>
      <c r="O1684" s="203"/>
      <c r="P1684" s="203"/>
      <c r="Q1684" s="203"/>
      <c r="R1684" s="203"/>
      <c r="S1684" s="203"/>
    </row>
    <row r="1685" spans="5:19" x14ac:dyDescent="0.25">
      <c r="J1685" s="198"/>
      <c r="K1685" s="198"/>
      <c r="L1685" s="198"/>
      <c r="M1685" s="198"/>
      <c r="N1685" s="198"/>
      <c r="O1685" s="198"/>
      <c r="P1685" s="198"/>
      <c r="Q1685" s="198"/>
      <c r="R1685" s="198"/>
      <c r="S1685" s="198"/>
    </row>
    <row r="1686" spans="5:19" x14ac:dyDescent="0.25">
      <c r="E1686" s="121" t="s">
        <v>203</v>
      </c>
      <c r="J1686" s="198"/>
      <c r="K1686" s="198"/>
      <c r="L1686" s="198"/>
      <c r="M1686" s="198"/>
      <c r="N1686" s="198"/>
      <c r="O1686" s="198"/>
      <c r="P1686" s="198"/>
      <c r="Q1686" s="198"/>
      <c r="R1686" s="198"/>
      <c r="S1686" s="198"/>
    </row>
    <row r="1687" spans="5:19" x14ac:dyDescent="0.25">
      <c r="F1687" s="80" t="s">
        <v>925</v>
      </c>
      <c r="G1687" s="80" t="s">
        <v>169</v>
      </c>
      <c r="H1687" s="80" t="s">
        <v>480</v>
      </c>
      <c r="I1687" s="94"/>
      <c r="J1687" s="201"/>
      <c r="K1687" s="196"/>
      <c r="L1687" s="201"/>
      <c r="M1687" s="201"/>
      <c r="N1687" s="201"/>
      <c r="O1687" s="201"/>
      <c r="P1687" s="201"/>
      <c r="Q1687" s="201"/>
      <c r="R1687" s="201"/>
      <c r="S1687" s="201"/>
    </row>
    <row r="1688" spans="5:19" x14ac:dyDescent="0.25">
      <c r="F1688" t="s">
        <v>926</v>
      </c>
      <c r="G1688" t="s">
        <v>169</v>
      </c>
      <c r="H1688" t="s">
        <v>480</v>
      </c>
      <c r="J1688" s="202"/>
      <c r="K1688" s="198"/>
      <c r="L1688" s="202"/>
      <c r="M1688" s="202"/>
      <c r="N1688" s="202"/>
      <c r="O1688" s="202"/>
      <c r="P1688" s="202"/>
      <c r="Q1688" s="202"/>
      <c r="R1688" s="202"/>
      <c r="S1688" s="202"/>
    </row>
    <row r="1689" spans="5:19" x14ac:dyDescent="0.25">
      <c r="F1689" t="s">
        <v>927</v>
      </c>
      <c r="G1689" t="s">
        <v>169</v>
      </c>
      <c r="H1689" t="s">
        <v>480</v>
      </c>
      <c r="J1689" s="202"/>
      <c r="K1689" s="198"/>
      <c r="L1689" s="202"/>
      <c r="M1689" s="202"/>
      <c r="N1689" s="202"/>
      <c r="O1689" s="202"/>
      <c r="P1689" s="202"/>
      <c r="Q1689" s="202"/>
      <c r="R1689" s="202"/>
      <c r="S1689" s="202"/>
    </row>
    <row r="1690" spans="5:19" x14ac:dyDescent="0.25">
      <c r="F1690" t="s">
        <v>928</v>
      </c>
      <c r="G1690" t="s">
        <v>169</v>
      </c>
      <c r="H1690" t="s">
        <v>480</v>
      </c>
      <c r="J1690" s="202"/>
      <c r="K1690" s="198"/>
      <c r="L1690" s="202"/>
      <c r="M1690" s="202"/>
      <c r="N1690" s="202"/>
      <c r="O1690" s="202"/>
      <c r="P1690" s="202"/>
      <c r="Q1690" s="202"/>
      <c r="R1690" s="202"/>
      <c r="S1690" s="202"/>
    </row>
    <row r="1691" spans="5:19" x14ac:dyDescent="0.25">
      <c r="F1691" t="s">
        <v>929</v>
      </c>
      <c r="G1691" t="s">
        <v>169</v>
      </c>
      <c r="H1691" t="s">
        <v>480</v>
      </c>
      <c r="J1691" s="197">
        <f t="shared" ref="J1691:J1693" si="338">CHOOSE(year_selection, L1691,M1691,N1691,O1691,P1691,Q1691,R1691,S1691)</f>
        <v>39</v>
      </c>
      <c r="K1691" s="198"/>
      <c r="L1691" s="281"/>
      <c r="M1691" s="281">
        <v>41</v>
      </c>
      <c r="N1691" s="281">
        <v>41</v>
      </c>
      <c r="O1691" s="281">
        <v>39</v>
      </c>
      <c r="P1691" s="281">
        <f t="shared" ref="P1691:S1693" si="339">$O1691</f>
        <v>39</v>
      </c>
      <c r="Q1691" s="281">
        <f t="shared" si="339"/>
        <v>39</v>
      </c>
      <c r="R1691" s="281">
        <f t="shared" si="339"/>
        <v>39</v>
      </c>
      <c r="S1691" s="281">
        <f t="shared" si="339"/>
        <v>39</v>
      </c>
    </row>
    <row r="1692" spans="5:19" x14ac:dyDescent="0.25">
      <c r="F1692" t="s">
        <v>930</v>
      </c>
      <c r="G1692" t="s">
        <v>169</v>
      </c>
      <c r="H1692" t="s">
        <v>480</v>
      </c>
      <c r="J1692" s="197">
        <f t="shared" si="338"/>
        <v>0</v>
      </c>
      <c r="K1692" s="198"/>
      <c r="L1692" s="281"/>
      <c r="M1692" s="281">
        <v>0</v>
      </c>
      <c r="N1692" s="281">
        <v>0</v>
      </c>
      <c r="O1692" s="281">
        <v>0</v>
      </c>
      <c r="P1692" s="281">
        <f t="shared" si="339"/>
        <v>0</v>
      </c>
      <c r="Q1692" s="281">
        <f t="shared" si="339"/>
        <v>0</v>
      </c>
      <c r="R1692" s="281">
        <f t="shared" si="339"/>
        <v>0</v>
      </c>
      <c r="S1692" s="281">
        <f t="shared" si="339"/>
        <v>0</v>
      </c>
    </row>
    <row r="1693" spans="5:19" x14ac:dyDescent="0.25">
      <c r="F1693" t="s">
        <v>931</v>
      </c>
      <c r="G1693" t="s">
        <v>169</v>
      </c>
      <c r="H1693" t="s">
        <v>480</v>
      </c>
      <c r="J1693" s="197">
        <f t="shared" si="338"/>
        <v>17</v>
      </c>
      <c r="K1693" s="198"/>
      <c r="L1693" s="281"/>
      <c r="M1693" s="281">
        <v>7</v>
      </c>
      <c r="N1693" s="281">
        <v>8</v>
      </c>
      <c r="O1693" s="281">
        <v>17</v>
      </c>
      <c r="P1693" s="281">
        <f t="shared" si="339"/>
        <v>17</v>
      </c>
      <c r="Q1693" s="281">
        <f t="shared" si="339"/>
        <v>17</v>
      </c>
      <c r="R1693" s="281">
        <f t="shared" si="339"/>
        <v>17</v>
      </c>
      <c r="S1693" s="281">
        <f t="shared" si="339"/>
        <v>17</v>
      </c>
    </row>
    <row r="1694" spans="5:19" x14ac:dyDescent="0.25">
      <c r="F1694" t="s">
        <v>932</v>
      </c>
      <c r="G1694" t="s">
        <v>169</v>
      </c>
      <c r="H1694" t="s">
        <v>480</v>
      </c>
      <c r="J1694" s="202"/>
      <c r="K1694" s="198"/>
      <c r="L1694" s="202"/>
      <c r="M1694" s="202"/>
      <c r="N1694" s="202"/>
      <c r="O1694" s="202"/>
      <c r="P1694" s="202"/>
      <c r="Q1694" s="202"/>
      <c r="R1694" s="202"/>
      <c r="S1694" s="202"/>
    </row>
    <row r="1695" spans="5:19" x14ac:dyDescent="0.25">
      <c r="F1695" t="s">
        <v>933</v>
      </c>
      <c r="G1695" t="s">
        <v>169</v>
      </c>
      <c r="H1695" t="s">
        <v>480</v>
      </c>
      <c r="J1695" s="202"/>
      <c r="K1695" s="198"/>
      <c r="L1695" s="202"/>
      <c r="M1695" s="202"/>
      <c r="N1695" s="202"/>
      <c r="O1695" s="202"/>
      <c r="P1695" s="202"/>
      <c r="Q1695" s="202"/>
      <c r="R1695" s="202"/>
      <c r="S1695" s="202"/>
    </row>
    <row r="1696" spans="5:19" x14ac:dyDescent="0.25">
      <c r="F1696" t="s">
        <v>934</v>
      </c>
      <c r="G1696" t="s">
        <v>169</v>
      </c>
      <c r="H1696" t="s">
        <v>480</v>
      </c>
      <c r="J1696" s="202"/>
      <c r="K1696" s="198"/>
      <c r="L1696" s="202"/>
      <c r="M1696" s="202"/>
      <c r="N1696" s="202"/>
      <c r="O1696" s="202"/>
      <c r="P1696" s="202"/>
      <c r="Q1696" s="202"/>
      <c r="R1696" s="202"/>
      <c r="S1696" s="202"/>
    </row>
    <row r="1697" spans="5:19" x14ac:dyDescent="0.25">
      <c r="F1697" t="s">
        <v>935</v>
      </c>
      <c r="G1697" t="s">
        <v>169</v>
      </c>
      <c r="H1697" t="s">
        <v>480</v>
      </c>
      <c r="J1697" s="202"/>
      <c r="K1697" s="198"/>
      <c r="L1697" s="202"/>
      <c r="M1697" s="202"/>
      <c r="N1697" s="202"/>
      <c r="O1697" s="202"/>
      <c r="P1697" s="202"/>
      <c r="Q1697" s="202"/>
      <c r="R1697" s="202"/>
      <c r="S1697" s="202"/>
    </row>
    <row r="1698" spans="5:19" x14ac:dyDescent="0.25">
      <c r="F1698" t="s">
        <v>936</v>
      </c>
      <c r="G1698" t="s">
        <v>169</v>
      </c>
      <c r="H1698" t="s">
        <v>480</v>
      </c>
      <c r="J1698" s="202"/>
      <c r="K1698" s="198"/>
      <c r="L1698" s="202"/>
      <c r="M1698" s="202"/>
      <c r="N1698" s="202"/>
      <c r="O1698" s="202"/>
      <c r="P1698" s="202"/>
      <c r="Q1698" s="202"/>
      <c r="R1698" s="202"/>
      <c r="S1698" s="202"/>
    </row>
    <row r="1699" spans="5:19" x14ac:dyDescent="0.25">
      <c r="F1699" t="s">
        <v>937</v>
      </c>
      <c r="G1699" t="s">
        <v>169</v>
      </c>
      <c r="H1699" t="s">
        <v>480</v>
      </c>
      <c r="J1699" s="202"/>
      <c r="K1699" s="198"/>
      <c r="L1699" s="202"/>
      <c r="M1699" s="202"/>
      <c r="N1699" s="202"/>
      <c r="O1699" s="202"/>
      <c r="P1699" s="202"/>
      <c r="Q1699" s="202"/>
      <c r="R1699" s="202"/>
      <c r="S1699" s="202"/>
    </row>
    <row r="1700" spans="5:19" x14ac:dyDescent="0.25">
      <c r="F1700" t="s">
        <v>938</v>
      </c>
      <c r="G1700" t="s">
        <v>169</v>
      </c>
      <c r="H1700" t="s">
        <v>480</v>
      </c>
      <c r="J1700" s="202"/>
      <c r="K1700" s="198"/>
      <c r="L1700" s="202"/>
      <c r="M1700" s="202"/>
      <c r="N1700" s="202"/>
      <c r="O1700" s="202"/>
      <c r="P1700" s="202"/>
      <c r="Q1700" s="202"/>
      <c r="R1700" s="202"/>
      <c r="S1700" s="202"/>
    </row>
    <row r="1701" spans="5:19" x14ac:dyDescent="0.25">
      <c r="F1701" t="s">
        <v>939</v>
      </c>
      <c r="G1701" t="s">
        <v>169</v>
      </c>
      <c r="H1701" t="s">
        <v>480</v>
      </c>
      <c r="J1701" s="202"/>
      <c r="K1701" s="198"/>
      <c r="L1701" s="202"/>
      <c r="M1701" s="202"/>
      <c r="N1701" s="202"/>
      <c r="O1701" s="202"/>
      <c r="P1701" s="202"/>
      <c r="Q1701" s="202"/>
      <c r="R1701" s="202"/>
      <c r="S1701" s="202"/>
    </row>
    <row r="1702" spans="5:19" x14ac:dyDescent="0.25">
      <c r="F1702" s="17" t="s">
        <v>940</v>
      </c>
      <c r="G1702" s="17" t="s">
        <v>169</v>
      </c>
      <c r="H1702" s="17" t="s">
        <v>480</v>
      </c>
      <c r="I1702" s="122"/>
      <c r="J1702" s="203"/>
      <c r="K1702" s="200"/>
      <c r="L1702" s="203"/>
      <c r="M1702" s="203"/>
      <c r="N1702" s="203"/>
      <c r="O1702" s="203"/>
      <c r="P1702" s="203"/>
      <c r="Q1702" s="203"/>
      <c r="R1702" s="203"/>
      <c r="S1702" s="203"/>
    </row>
    <row r="1703" spans="5:19" x14ac:dyDescent="0.25">
      <c r="J1703" s="198"/>
      <c r="K1703" s="198"/>
      <c r="L1703" s="198"/>
      <c r="M1703" s="198"/>
      <c r="N1703" s="198"/>
      <c r="O1703" s="198"/>
      <c r="P1703" s="198"/>
      <c r="Q1703" s="198"/>
      <c r="R1703" s="198"/>
      <c r="S1703" s="198"/>
    </row>
    <row r="1704" spans="5:19" x14ac:dyDescent="0.25">
      <c r="E1704" s="121" t="s">
        <v>204</v>
      </c>
      <c r="J1704" s="198"/>
      <c r="K1704" s="198"/>
      <c r="L1704" s="198"/>
      <c r="M1704" s="198"/>
      <c r="N1704" s="198"/>
      <c r="O1704" s="198"/>
      <c r="P1704" s="198"/>
      <c r="Q1704" s="198"/>
      <c r="R1704" s="198"/>
      <c r="S1704" s="198"/>
    </row>
    <row r="1705" spans="5:19" x14ac:dyDescent="0.25">
      <c r="F1705" s="80" t="s">
        <v>925</v>
      </c>
      <c r="G1705" s="80" t="s">
        <v>170</v>
      </c>
      <c r="H1705" s="80" t="s">
        <v>480</v>
      </c>
      <c r="I1705" s="94"/>
      <c r="J1705" s="201"/>
      <c r="K1705" s="196"/>
      <c r="L1705" s="201"/>
      <c r="M1705" s="201"/>
      <c r="N1705" s="201"/>
      <c r="O1705" s="201"/>
      <c r="P1705" s="201"/>
      <c r="Q1705" s="201"/>
      <c r="R1705" s="201"/>
      <c r="S1705" s="201"/>
    </row>
    <row r="1706" spans="5:19" x14ac:dyDescent="0.25">
      <c r="F1706" t="s">
        <v>926</v>
      </c>
      <c r="G1706" t="s">
        <v>170</v>
      </c>
      <c r="H1706" t="s">
        <v>480</v>
      </c>
      <c r="J1706" s="202"/>
      <c r="K1706" s="198"/>
      <c r="L1706" s="202"/>
      <c r="M1706" s="202"/>
      <c r="N1706" s="202"/>
      <c r="O1706" s="202"/>
      <c r="P1706" s="202"/>
      <c r="Q1706" s="202"/>
      <c r="R1706" s="202"/>
      <c r="S1706" s="202"/>
    </row>
    <row r="1707" spans="5:19" x14ac:dyDescent="0.25">
      <c r="F1707" t="s">
        <v>927</v>
      </c>
      <c r="G1707" t="s">
        <v>170</v>
      </c>
      <c r="H1707" t="s">
        <v>480</v>
      </c>
      <c r="J1707" s="202"/>
      <c r="K1707" s="198"/>
      <c r="L1707" s="202"/>
      <c r="M1707" s="202"/>
      <c r="N1707" s="202"/>
      <c r="O1707" s="202"/>
      <c r="P1707" s="202"/>
      <c r="Q1707" s="202"/>
      <c r="R1707" s="202"/>
      <c r="S1707" s="202"/>
    </row>
    <row r="1708" spans="5:19" x14ac:dyDescent="0.25">
      <c r="F1708" t="s">
        <v>928</v>
      </c>
      <c r="G1708" t="s">
        <v>170</v>
      </c>
      <c r="H1708" t="s">
        <v>480</v>
      </c>
      <c r="J1708" s="202"/>
      <c r="K1708" s="198"/>
      <c r="L1708" s="202"/>
      <c r="M1708" s="202"/>
      <c r="N1708" s="202"/>
      <c r="O1708" s="202"/>
      <c r="P1708" s="202"/>
      <c r="Q1708" s="202"/>
      <c r="R1708" s="202"/>
      <c r="S1708" s="202"/>
    </row>
    <row r="1709" spans="5:19" x14ac:dyDescent="0.25">
      <c r="F1709" t="s">
        <v>929</v>
      </c>
      <c r="G1709" t="s">
        <v>170</v>
      </c>
      <c r="H1709" t="s">
        <v>480</v>
      </c>
      <c r="J1709" s="197">
        <f t="shared" ref="J1709:J1711" si="340">CHOOSE(year_selection, L1709,M1709,N1709,O1709,P1709,Q1709,R1709,S1709)</f>
        <v>1093.9659999999999</v>
      </c>
      <c r="K1709" s="198"/>
      <c r="L1709" s="281"/>
      <c r="M1709" s="281">
        <v>1334.144</v>
      </c>
      <c r="N1709" s="281">
        <v>1253.3789999999999</v>
      </c>
      <c r="O1709" s="281">
        <v>1093.9659999999999</v>
      </c>
      <c r="P1709" s="281">
        <f t="shared" ref="P1709:S1711" si="341">$O1709</f>
        <v>1093.9659999999999</v>
      </c>
      <c r="Q1709" s="281">
        <f t="shared" si="341"/>
        <v>1093.9659999999999</v>
      </c>
      <c r="R1709" s="281">
        <f t="shared" si="341"/>
        <v>1093.9659999999999</v>
      </c>
      <c r="S1709" s="281">
        <f t="shared" si="341"/>
        <v>1093.9659999999999</v>
      </c>
    </row>
    <row r="1710" spans="5:19" x14ac:dyDescent="0.25">
      <c r="F1710" t="s">
        <v>930</v>
      </c>
      <c r="G1710" t="s">
        <v>170</v>
      </c>
      <c r="H1710" t="s">
        <v>480</v>
      </c>
      <c r="J1710" s="197">
        <f t="shared" si="340"/>
        <v>26.922000000000001</v>
      </c>
      <c r="K1710" s="198"/>
      <c r="L1710" s="281"/>
      <c r="M1710" s="281">
        <v>8.5</v>
      </c>
      <c r="N1710" s="281">
        <v>41.088000000000001</v>
      </c>
      <c r="O1710" s="281">
        <v>26.922000000000001</v>
      </c>
      <c r="P1710" s="281">
        <f t="shared" si="341"/>
        <v>26.922000000000001</v>
      </c>
      <c r="Q1710" s="281">
        <f t="shared" si="341"/>
        <v>26.922000000000001</v>
      </c>
      <c r="R1710" s="281">
        <f t="shared" si="341"/>
        <v>26.922000000000001</v>
      </c>
      <c r="S1710" s="281">
        <f t="shared" si="341"/>
        <v>26.922000000000001</v>
      </c>
    </row>
    <row r="1711" spans="5:19" x14ac:dyDescent="0.25">
      <c r="F1711" t="s">
        <v>931</v>
      </c>
      <c r="G1711" t="s">
        <v>170</v>
      </c>
      <c r="H1711" t="s">
        <v>480</v>
      </c>
      <c r="J1711" s="197">
        <f t="shared" si="340"/>
        <v>187.28700000000001</v>
      </c>
      <c r="K1711" s="198"/>
      <c r="L1711" s="281"/>
      <c r="M1711" s="281">
        <v>284.85926014462439</v>
      </c>
      <c r="N1711" s="281">
        <v>114.12037680004553</v>
      </c>
      <c r="O1711" s="281">
        <v>187.28700000000001</v>
      </c>
      <c r="P1711" s="281">
        <f t="shared" si="341"/>
        <v>187.28700000000001</v>
      </c>
      <c r="Q1711" s="281">
        <f t="shared" si="341"/>
        <v>187.28700000000001</v>
      </c>
      <c r="R1711" s="281">
        <f t="shared" si="341"/>
        <v>187.28700000000001</v>
      </c>
      <c r="S1711" s="281">
        <f t="shared" si="341"/>
        <v>187.28700000000001</v>
      </c>
    </row>
    <row r="1712" spans="5:19" x14ac:dyDescent="0.25">
      <c r="F1712" t="s">
        <v>932</v>
      </c>
      <c r="G1712" t="s">
        <v>170</v>
      </c>
      <c r="H1712" t="s">
        <v>480</v>
      </c>
      <c r="J1712" s="202"/>
      <c r="K1712" s="198"/>
      <c r="L1712" s="202"/>
      <c r="M1712" s="202"/>
      <c r="N1712" s="202"/>
      <c r="O1712" s="202"/>
      <c r="P1712" s="202"/>
      <c r="Q1712" s="202"/>
      <c r="R1712" s="202"/>
      <c r="S1712" s="202"/>
    </row>
    <row r="1713" spans="3:21" x14ac:dyDescent="0.25">
      <c r="F1713" t="s">
        <v>933</v>
      </c>
      <c r="G1713" t="s">
        <v>170</v>
      </c>
      <c r="H1713" t="s">
        <v>480</v>
      </c>
      <c r="J1713" s="202"/>
      <c r="K1713" s="198"/>
      <c r="L1713" s="202"/>
      <c r="M1713" s="202"/>
      <c r="N1713" s="202"/>
      <c r="O1713" s="202"/>
      <c r="P1713" s="202"/>
      <c r="Q1713" s="202"/>
      <c r="R1713" s="202"/>
      <c r="S1713" s="202"/>
    </row>
    <row r="1714" spans="3:21" x14ac:dyDescent="0.25">
      <c r="F1714" t="s">
        <v>934</v>
      </c>
      <c r="G1714" t="s">
        <v>170</v>
      </c>
      <c r="H1714" t="s">
        <v>480</v>
      </c>
      <c r="J1714" s="202"/>
      <c r="K1714" s="198"/>
      <c r="L1714" s="202"/>
      <c r="M1714" s="202"/>
      <c r="N1714" s="202"/>
      <c r="O1714" s="202"/>
      <c r="P1714" s="202"/>
      <c r="Q1714" s="202"/>
      <c r="R1714" s="202"/>
      <c r="S1714" s="202"/>
    </row>
    <row r="1715" spans="3:21" x14ac:dyDescent="0.25">
      <c r="F1715" t="s">
        <v>935</v>
      </c>
      <c r="G1715" t="s">
        <v>170</v>
      </c>
      <c r="H1715" t="s">
        <v>480</v>
      </c>
      <c r="J1715" s="202"/>
      <c r="K1715" s="198"/>
      <c r="L1715" s="202"/>
      <c r="M1715" s="202"/>
      <c r="N1715" s="202"/>
      <c r="O1715" s="202"/>
      <c r="P1715" s="202"/>
      <c r="Q1715" s="202"/>
      <c r="R1715" s="202"/>
      <c r="S1715" s="202"/>
    </row>
    <row r="1716" spans="3:21" x14ac:dyDescent="0.25">
      <c r="F1716" t="s">
        <v>936</v>
      </c>
      <c r="G1716" t="s">
        <v>170</v>
      </c>
      <c r="H1716" t="s">
        <v>480</v>
      </c>
      <c r="J1716" s="202"/>
      <c r="K1716" s="198"/>
      <c r="L1716" s="202"/>
      <c r="M1716" s="202"/>
      <c r="N1716" s="202"/>
      <c r="O1716" s="202"/>
      <c r="P1716" s="202"/>
      <c r="Q1716" s="202"/>
      <c r="R1716" s="202"/>
      <c r="S1716" s="202"/>
    </row>
    <row r="1717" spans="3:21" x14ac:dyDescent="0.25">
      <c r="F1717" t="s">
        <v>937</v>
      </c>
      <c r="G1717" t="s">
        <v>170</v>
      </c>
      <c r="H1717" t="s">
        <v>480</v>
      </c>
      <c r="J1717" s="202"/>
      <c r="K1717" s="198"/>
      <c r="L1717" s="202"/>
      <c r="M1717" s="202"/>
      <c r="N1717" s="202"/>
      <c r="O1717" s="202"/>
      <c r="P1717" s="202"/>
      <c r="Q1717" s="202"/>
      <c r="R1717" s="202"/>
      <c r="S1717" s="202"/>
    </row>
    <row r="1718" spans="3:21" x14ac:dyDescent="0.25">
      <c r="F1718" t="s">
        <v>938</v>
      </c>
      <c r="G1718" t="s">
        <v>170</v>
      </c>
      <c r="H1718" t="s">
        <v>480</v>
      </c>
      <c r="J1718" s="202"/>
      <c r="K1718" s="198"/>
      <c r="L1718" s="202"/>
      <c r="M1718" s="202"/>
      <c r="N1718" s="202"/>
      <c r="O1718" s="202"/>
      <c r="P1718" s="202"/>
      <c r="Q1718" s="202"/>
      <c r="R1718" s="202"/>
      <c r="S1718" s="202"/>
    </row>
    <row r="1719" spans="3:21" x14ac:dyDescent="0.25">
      <c r="F1719" t="s">
        <v>939</v>
      </c>
      <c r="G1719" t="s">
        <v>170</v>
      </c>
      <c r="H1719" t="s">
        <v>480</v>
      </c>
      <c r="J1719" s="202"/>
      <c r="K1719" s="198"/>
      <c r="L1719" s="202"/>
      <c r="M1719" s="202"/>
      <c r="N1719" s="202"/>
      <c r="O1719" s="202"/>
      <c r="P1719" s="202"/>
      <c r="Q1719" s="202"/>
      <c r="R1719" s="202"/>
      <c r="S1719" s="202"/>
    </row>
    <row r="1720" spans="3:21" x14ac:dyDescent="0.25">
      <c r="F1720" s="17" t="s">
        <v>940</v>
      </c>
      <c r="G1720" s="17" t="s">
        <v>170</v>
      </c>
      <c r="H1720" s="17" t="s">
        <v>480</v>
      </c>
      <c r="I1720" s="122"/>
      <c r="J1720" s="203"/>
      <c r="K1720" s="200"/>
      <c r="L1720" s="203"/>
      <c r="M1720" s="203"/>
      <c r="N1720" s="203"/>
      <c r="O1720" s="203"/>
      <c r="P1720" s="203"/>
      <c r="Q1720" s="203"/>
      <c r="R1720" s="203"/>
      <c r="S1720" s="203"/>
    </row>
    <row r="1721" spans="3:21" x14ac:dyDescent="0.25">
      <c r="J1721" s="59"/>
      <c r="K1721" s="59"/>
      <c r="L1721" s="59"/>
      <c r="M1721" s="59"/>
      <c r="N1721" s="59"/>
      <c r="O1721" s="59"/>
      <c r="P1721" s="59"/>
      <c r="Q1721" s="59"/>
      <c r="R1721" s="59"/>
      <c r="S1721" s="59"/>
    </row>
    <row r="1722" spans="3:21" x14ac:dyDescent="0.25">
      <c r="C1722" s="5" t="str">
        <f ca="1">INDEX('Version control'!$H$36:$H$62,MATCH($A$1,'Version control'!$F$36:$F$62,0),1)&amp;"-P: LDNO HV volumes - Residual band 3"</f>
        <v>Input 501-P: LDNO HV volumes - Residual band 3</v>
      </c>
      <c r="D1722" s="5"/>
      <c r="E1722" s="5"/>
      <c r="F1722" s="5"/>
      <c r="G1722" s="5"/>
      <c r="H1722" s="5"/>
      <c r="I1722" s="143"/>
      <c r="J1722" s="205"/>
      <c r="K1722" s="205"/>
      <c r="L1722" s="205"/>
      <c r="M1722" s="205"/>
      <c r="N1722" s="205"/>
      <c r="O1722" s="205"/>
      <c r="P1722" s="205"/>
      <c r="Q1722" s="205"/>
      <c r="R1722" s="205"/>
      <c r="S1722" s="205"/>
      <c r="T1722" s="5"/>
      <c r="U1722" s="5"/>
    </row>
    <row r="1723" spans="3:21" x14ac:dyDescent="0.25">
      <c r="D1723" s="52"/>
    </row>
    <row r="1724" spans="3:21" x14ac:dyDescent="0.25">
      <c r="E1724" s="121" t="s">
        <v>199</v>
      </c>
      <c r="I1724" s="59" t="s">
        <v>359</v>
      </c>
      <c r="J1724" s="198"/>
      <c r="K1724" s="198"/>
      <c r="L1724" s="198"/>
      <c r="M1724" s="198"/>
      <c r="N1724" s="198"/>
      <c r="O1724" s="198"/>
      <c r="P1724" s="198"/>
      <c r="Q1724" s="198"/>
      <c r="R1724" s="198"/>
      <c r="S1724" s="198"/>
      <c r="U1724" t="s">
        <v>691</v>
      </c>
    </row>
    <row r="1725" spans="3:21" x14ac:dyDescent="0.25">
      <c r="F1725" s="80" t="s">
        <v>925</v>
      </c>
      <c r="G1725" s="80" t="s">
        <v>120</v>
      </c>
      <c r="H1725" s="80" t="s">
        <v>480</v>
      </c>
      <c r="I1725" s="94"/>
      <c r="J1725" s="201"/>
      <c r="K1725" s="196"/>
      <c r="L1725" s="201"/>
      <c r="M1725" s="201"/>
      <c r="N1725" s="201"/>
      <c r="O1725" s="201"/>
      <c r="P1725" s="201"/>
      <c r="Q1725" s="201"/>
      <c r="R1725" s="201"/>
      <c r="S1725" s="201"/>
    </row>
    <row r="1726" spans="3:21" x14ac:dyDescent="0.25">
      <c r="F1726" t="s">
        <v>926</v>
      </c>
      <c r="G1726" t="s">
        <v>120</v>
      </c>
      <c r="H1726" t="s">
        <v>480</v>
      </c>
      <c r="J1726" s="202"/>
      <c r="K1726" s="198"/>
      <c r="L1726" s="202"/>
      <c r="M1726" s="202"/>
      <c r="N1726" s="202"/>
      <c r="O1726" s="202"/>
      <c r="P1726" s="202"/>
      <c r="Q1726" s="202"/>
      <c r="R1726" s="202"/>
      <c r="S1726" s="202"/>
    </row>
    <row r="1727" spans="3:21" x14ac:dyDescent="0.25">
      <c r="F1727" t="s">
        <v>927</v>
      </c>
      <c r="G1727" t="s">
        <v>120</v>
      </c>
      <c r="H1727" t="s">
        <v>480</v>
      </c>
      <c r="J1727" s="197">
        <f t="shared" ref="J1727" si="342">CHOOSE(year_selection, L1727,M1727,N1727,O1727,P1727,Q1727,R1727,S1727)</f>
        <v>568.53660376461573</v>
      </c>
      <c r="K1727" s="198"/>
      <c r="L1727" s="281"/>
      <c r="M1727" s="281">
        <v>397.23835099037058</v>
      </c>
      <c r="N1727" s="281">
        <v>355.06174161881233</v>
      </c>
      <c r="O1727" s="281">
        <v>568.53660376461573</v>
      </c>
      <c r="P1727" s="281">
        <f t="shared" ref="P1727:S1727" si="343">$O1727</f>
        <v>568.53660376461573</v>
      </c>
      <c r="Q1727" s="281">
        <f t="shared" si="343"/>
        <v>568.53660376461573</v>
      </c>
      <c r="R1727" s="281">
        <f t="shared" si="343"/>
        <v>568.53660376461573</v>
      </c>
      <c r="S1727" s="281">
        <f t="shared" si="343"/>
        <v>568.53660376461573</v>
      </c>
    </row>
    <row r="1728" spans="3:21" x14ac:dyDescent="0.25">
      <c r="F1728" t="s">
        <v>928</v>
      </c>
      <c r="G1728" t="s">
        <v>120</v>
      </c>
      <c r="H1728" t="s">
        <v>480</v>
      </c>
      <c r="J1728" s="202"/>
      <c r="K1728" s="198"/>
      <c r="L1728" s="202"/>
      <c r="M1728" s="202"/>
      <c r="N1728" s="202"/>
      <c r="O1728" s="202"/>
      <c r="P1728" s="202"/>
      <c r="Q1728" s="202"/>
      <c r="R1728" s="202"/>
      <c r="S1728" s="202"/>
    </row>
    <row r="1729" spans="5:19" x14ac:dyDescent="0.25">
      <c r="F1729" t="s">
        <v>929</v>
      </c>
      <c r="G1729" t="s">
        <v>120</v>
      </c>
      <c r="H1729" t="s">
        <v>480</v>
      </c>
      <c r="J1729" s="197">
        <f t="shared" ref="J1729:J1731" si="344">CHOOSE(year_selection, L1729,M1729,N1729,O1729,P1729,Q1729,R1729,S1729)</f>
        <v>2728.2165491910973</v>
      </c>
      <c r="K1729" s="198"/>
      <c r="L1729" s="281"/>
      <c r="M1729" s="281">
        <v>2614.2440977024821</v>
      </c>
      <c r="N1729" s="281">
        <v>2645.2392730594306</v>
      </c>
      <c r="O1729" s="281">
        <v>2728.2165491910973</v>
      </c>
      <c r="P1729" s="281">
        <f t="shared" ref="P1729:S1731" si="345">$O1729</f>
        <v>2728.2165491910973</v>
      </c>
      <c r="Q1729" s="281">
        <f t="shared" si="345"/>
        <v>2728.2165491910973</v>
      </c>
      <c r="R1729" s="281">
        <f t="shared" si="345"/>
        <v>2728.2165491910973</v>
      </c>
      <c r="S1729" s="281">
        <f t="shared" si="345"/>
        <v>2728.2165491910973</v>
      </c>
    </row>
    <row r="1730" spans="5:19" x14ac:dyDescent="0.25">
      <c r="F1730" t="s">
        <v>930</v>
      </c>
      <c r="G1730" t="s">
        <v>120</v>
      </c>
      <c r="H1730" t="s">
        <v>480</v>
      </c>
      <c r="J1730" s="197">
        <f t="shared" si="344"/>
        <v>34.301452495378719</v>
      </c>
      <c r="K1730" s="198"/>
      <c r="L1730" s="281"/>
      <c r="M1730" s="281">
        <v>33.107990543433132</v>
      </c>
      <c r="N1730" s="281">
        <v>34.863974617489625</v>
      </c>
      <c r="O1730" s="281">
        <v>34.301452495378719</v>
      </c>
      <c r="P1730" s="281">
        <f t="shared" si="345"/>
        <v>34.301452495378719</v>
      </c>
      <c r="Q1730" s="281">
        <f t="shared" si="345"/>
        <v>34.301452495378719</v>
      </c>
      <c r="R1730" s="281">
        <f t="shared" si="345"/>
        <v>34.301452495378719</v>
      </c>
      <c r="S1730" s="281">
        <f t="shared" si="345"/>
        <v>34.301452495378719</v>
      </c>
    </row>
    <row r="1731" spans="5:19" x14ac:dyDescent="0.25">
      <c r="F1731" t="s">
        <v>931</v>
      </c>
      <c r="G1731" t="s">
        <v>120</v>
      </c>
      <c r="H1731" t="s">
        <v>480</v>
      </c>
      <c r="J1731" s="197">
        <f t="shared" si="344"/>
        <v>1687.0281306222398</v>
      </c>
      <c r="K1731" s="198"/>
      <c r="L1731" s="281"/>
      <c r="M1731" s="281">
        <v>3196.7678977163055</v>
      </c>
      <c r="N1731" s="281">
        <v>1774.6223390598514</v>
      </c>
      <c r="O1731" s="281">
        <v>1687.0281306222398</v>
      </c>
      <c r="P1731" s="281">
        <f t="shared" si="345"/>
        <v>1687.0281306222398</v>
      </c>
      <c r="Q1731" s="281">
        <f t="shared" si="345"/>
        <v>1687.0281306222398</v>
      </c>
      <c r="R1731" s="281">
        <f t="shared" si="345"/>
        <v>1687.0281306222398</v>
      </c>
      <c r="S1731" s="281">
        <f t="shared" si="345"/>
        <v>1687.0281306222398</v>
      </c>
    </row>
    <row r="1732" spans="5:19" x14ac:dyDescent="0.25">
      <c r="F1732" t="s">
        <v>932</v>
      </c>
      <c r="G1732" t="s">
        <v>120</v>
      </c>
      <c r="H1732" t="s">
        <v>480</v>
      </c>
      <c r="J1732" s="202"/>
      <c r="K1732" s="198"/>
      <c r="L1732" s="202"/>
      <c r="M1732" s="202"/>
      <c r="N1732" s="202"/>
      <c r="O1732" s="202"/>
      <c r="P1732" s="202"/>
      <c r="Q1732" s="202"/>
      <c r="R1732" s="202"/>
      <c r="S1732" s="202"/>
    </row>
    <row r="1733" spans="5:19" x14ac:dyDescent="0.25">
      <c r="F1733" t="s">
        <v>933</v>
      </c>
      <c r="G1733" t="s">
        <v>120</v>
      </c>
      <c r="H1733" t="s">
        <v>480</v>
      </c>
      <c r="J1733" s="202"/>
      <c r="K1733" s="198"/>
      <c r="L1733" s="202"/>
      <c r="M1733" s="202"/>
      <c r="N1733" s="202"/>
      <c r="O1733" s="202"/>
      <c r="P1733" s="202"/>
      <c r="Q1733" s="202"/>
      <c r="R1733" s="202"/>
      <c r="S1733" s="202"/>
    </row>
    <row r="1734" spans="5:19" x14ac:dyDescent="0.25">
      <c r="F1734" t="s">
        <v>934</v>
      </c>
      <c r="G1734" t="s">
        <v>120</v>
      </c>
      <c r="H1734" t="s">
        <v>480</v>
      </c>
      <c r="J1734" s="202"/>
      <c r="K1734" s="198"/>
      <c r="L1734" s="202"/>
      <c r="M1734" s="202"/>
      <c r="N1734" s="202"/>
      <c r="O1734" s="202"/>
      <c r="P1734" s="202"/>
      <c r="Q1734" s="202"/>
      <c r="R1734" s="202"/>
      <c r="S1734" s="202"/>
    </row>
    <row r="1735" spans="5:19" x14ac:dyDescent="0.25">
      <c r="F1735" t="s">
        <v>935</v>
      </c>
      <c r="G1735" t="s">
        <v>120</v>
      </c>
      <c r="H1735" t="s">
        <v>480</v>
      </c>
      <c r="J1735" s="202"/>
      <c r="K1735" s="198"/>
      <c r="L1735" s="202"/>
      <c r="M1735" s="202"/>
      <c r="N1735" s="202"/>
      <c r="O1735" s="202"/>
      <c r="P1735" s="202"/>
      <c r="Q1735" s="202"/>
      <c r="R1735" s="202"/>
      <c r="S1735" s="202"/>
    </row>
    <row r="1736" spans="5:19" x14ac:dyDescent="0.25">
      <c r="F1736" t="s">
        <v>936</v>
      </c>
      <c r="G1736" t="s">
        <v>120</v>
      </c>
      <c r="H1736" t="s">
        <v>480</v>
      </c>
      <c r="J1736" s="202"/>
      <c r="K1736" s="198"/>
      <c r="L1736" s="202"/>
      <c r="M1736" s="202"/>
      <c r="N1736" s="202"/>
      <c r="O1736" s="202"/>
      <c r="P1736" s="202"/>
      <c r="Q1736" s="202"/>
      <c r="R1736" s="202"/>
      <c r="S1736" s="202"/>
    </row>
    <row r="1737" spans="5:19" x14ac:dyDescent="0.25">
      <c r="F1737" t="s">
        <v>937</v>
      </c>
      <c r="G1737" t="s">
        <v>120</v>
      </c>
      <c r="H1737" t="s">
        <v>480</v>
      </c>
      <c r="J1737" s="202"/>
      <c r="K1737" s="198"/>
      <c r="L1737" s="202"/>
      <c r="M1737" s="202"/>
      <c r="N1737" s="202"/>
      <c r="O1737" s="202"/>
      <c r="P1737" s="202"/>
      <c r="Q1737" s="202"/>
      <c r="R1737" s="202"/>
      <c r="S1737" s="202"/>
    </row>
    <row r="1738" spans="5:19" x14ac:dyDescent="0.25">
      <c r="F1738" t="s">
        <v>938</v>
      </c>
      <c r="G1738" t="s">
        <v>120</v>
      </c>
      <c r="H1738" t="s">
        <v>480</v>
      </c>
      <c r="J1738" s="202"/>
      <c r="K1738" s="198"/>
      <c r="L1738" s="202"/>
      <c r="M1738" s="202"/>
      <c r="N1738" s="202"/>
      <c r="O1738" s="202"/>
      <c r="P1738" s="202"/>
      <c r="Q1738" s="202"/>
      <c r="R1738" s="202"/>
      <c r="S1738" s="202"/>
    </row>
    <row r="1739" spans="5:19" x14ac:dyDescent="0.25">
      <c r="F1739" t="s">
        <v>939</v>
      </c>
      <c r="G1739" t="s">
        <v>120</v>
      </c>
      <c r="H1739" t="s">
        <v>480</v>
      </c>
      <c r="J1739" s="202"/>
      <c r="K1739" s="198"/>
      <c r="L1739" s="202"/>
      <c r="M1739" s="202"/>
      <c r="N1739" s="202"/>
      <c r="O1739" s="202"/>
      <c r="P1739" s="202"/>
      <c r="Q1739" s="202"/>
      <c r="R1739" s="202"/>
      <c r="S1739" s="202"/>
    </row>
    <row r="1740" spans="5:19" x14ac:dyDescent="0.25">
      <c r="F1740" s="17" t="s">
        <v>940</v>
      </c>
      <c r="G1740" s="17" t="s">
        <v>120</v>
      </c>
      <c r="H1740" s="17" t="s">
        <v>480</v>
      </c>
      <c r="I1740" s="122"/>
      <c r="J1740" s="203"/>
      <c r="K1740" s="200"/>
      <c r="L1740" s="203"/>
      <c r="M1740" s="203"/>
      <c r="N1740" s="203"/>
      <c r="O1740" s="203"/>
      <c r="P1740" s="203"/>
      <c r="Q1740" s="203"/>
      <c r="R1740" s="203"/>
      <c r="S1740" s="203"/>
    </row>
    <row r="1741" spans="5:19" x14ac:dyDescent="0.25">
      <c r="J1741" s="198"/>
      <c r="K1741" s="198"/>
      <c r="L1741" s="198"/>
      <c r="M1741" s="198"/>
      <c r="N1741" s="198"/>
      <c r="O1741" s="198"/>
      <c r="P1741" s="198"/>
      <c r="Q1741" s="198"/>
      <c r="R1741" s="198"/>
      <c r="S1741" s="198"/>
    </row>
    <row r="1742" spans="5:19" x14ac:dyDescent="0.25">
      <c r="E1742" s="121" t="s">
        <v>200</v>
      </c>
      <c r="J1742" s="198"/>
      <c r="K1742" s="198"/>
      <c r="L1742" s="198"/>
      <c r="M1742" s="198"/>
      <c r="N1742" s="198"/>
      <c r="O1742" s="198"/>
      <c r="P1742" s="198"/>
      <c r="Q1742" s="198"/>
      <c r="R1742" s="198"/>
      <c r="S1742" s="198"/>
    </row>
    <row r="1743" spans="5:19" x14ac:dyDescent="0.25">
      <c r="F1743" s="80" t="s">
        <v>925</v>
      </c>
      <c r="G1743" s="80" t="s">
        <v>120</v>
      </c>
      <c r="H1743" s="80" t="s">
        <v>480</v>
      </c>
      <c r="I1743" s="94"/>
      <c r="J1743" s="201"/>
      <c r="K1743" s="196"/>
      <c r="L1743" s="201"/>
      <c r="M1743" s="201"/>
      <c r="N1743" s="201"/>
      <c r="O1743" s="201"/>
      <c r="P1743" s="201"/>
      <c r="Q1743" s="201"/>
      <c r="R1743" s="201"/>
      <c r="S1743" s="201"/>
    </row>
    <row r="1744" spans="5:19" x14ac:dyDescent="0.25">
      <c r="F1744" t="s">
        <v>926</v>
      </c>
      <c r="G1744" t="s">
        <v>120</v>
      </c>
      <c r="H1744" t="s">
        <v>480</v>
      </c>
      <c r="J1744" s="202"/>
      <c r="K1744" s="198"/>
      <c r="L1744" s="202"/>
      <c r="M1744" s="202"/>
      <c r="N1744" s="202"/>
      <c r="O1744" s="202"/>
      <c r="P1744" s="202"/>
      <c r="Q1744" s="202"/>
      <c r="R1744" s="202"/>
      <c r="S1744" s="202"/>
    </row>
    <row r="1745" spans="5:19" x14ac:dyDescent="0.25">
      <c r="F1745" t="s">
        <v>927</v>
      </c>
      <c r="G1745" t="s">
        <v>120</v>
      </c>
      <c r="H1745" t="s">
        <v>480</v>
      </c>
      <c r="J1745" s="197">
        <f t="shared" ref="J1745" si="346">CHOOSE(year_selection, L1745,M1745,N1745,O1745,P1745,Q1745,R1745,S1745)</f>
        <v>2950.0700822186059</v>
      </c>
      <c r="K1745" s="198"/>
      <c r="L1745" s="281"/>
      <c r="M1745" s="281">
        <v>2150.1822565133848</v>
      </c>
      <c r="N1745" s="281">
        <v>1922.0726193163891</v>
      </c>
      <c r="O1745" s="281">
        <v>2950.0700822186059</v>
      </c>
      <c r="P1745" s="281">
        <f t="shared" ref="P1745:S1745" si="347">$O1745</f>
        <v>2950.0700822186059</v>
      </c>
      <c r="Q1745" s="281">
        <f t="shared" si="347"/>
        <v>2950.0700822186059</v>
      </c>
      <c r="R1745" s="281">
        <f t="shared" si="347"/>
        <v>2950.0700822186059</v>
      </c>
      <c r="S1745" s="281">
        <f t="shared" si="347"/>
        <v>2950.0700822186059</v>
      </c>
    </row>
    <row r="1746" spans="5:19" x14ac:dyDescent="0.25">
      <c r="F1746" t="s">
        <v>928</v>
      </c>
      <c r="G1746" t="s">
        <v>120</v>
      </c>
      <c r="H1746" t="s">
        <v>480</v>
      </c>
      <c r="J1746" s="202"/>
      <c r="K1746" s="198"/>
      <c r="L1746" s="202"/>
      <c r="M1746" s="202"/>
      <c r="N1746" s="202"/>
      <c r="O1746" s="202"/>
      <c r="P1746" s="202"/>
      <c r="Q1746" s="202"/>
      <c r="R1746" s="202"/>
      <c r="S1746" s="202"/>
    </row>
    <row r="1747" spans="5:19" x14ac:dyDescent="0.25">
      <c r="F1747" t="s">
        <v>929</v>
      </c>
      <c r="G1747" t="s">
        <v>120</v>
      </c>
      <c r="H1747" t="s">
        <v>480</v>
      </c>
      <c r="J1747" s="197">
        <f t="shared" ref="J1747:J1749" si="348">CHOOSE(year_selection, L1747,M1747,N1747,O1747,P1747,Q1747,R1747,S1747)</f>
        <v>12061.015416822602</v>
      </c>
      <c r="K1747" s="198"/>
      <c r="L1747" s="281"/>
      <c r="M1747" s="281">
        <v>11599.45736055499</v>
      </c>
      <c r="N1747" s="281">
        <v>11737.112308164338</v>
      </c>
      <c r="O1747" s="281">
        <v>12061.015416822602</v>
      </c>
      <c r="P1747" s="281">
        <f t="shared" ref="P1747:S1749" si="349">$O1747</f>
        <v>12061.015416822602</v>
      </c>
      <c r="Q1747" s="281">
        <f t="shared" si="349"/>
        <v>12061.015416822602</v>
      </c>
      <c r="R1747" s="281">
        <f t="shared" si="349"/>
        <v>12061.015416822602</v>
      </c>
      <c r="S1747" s="281">
        <f t="shared" si="349"/>
        <v>12061.015416822602</v>
      </c>
    </row>
    <row r="1748" spans="5:19" x14ac:dyDescent="0.25">
      <c r="F1748" t="s">
        <v>930</v>
      </c>
      <c r="G1748" t="s">
        <v>120</v>
      </c>
      <c r="H1748" t="s">
        <v>480</v>
      </c>
      <c r="J1748" s="197">
        <f t="shared" si="348"/>
        <v>156.51159428530434</v>
      </c>
      <c r="K1748" s="198"/>
      <c r="L1748" s="281"/>
      <c r="M1748" s="281">
        <v>144.79584120935976</v>
      </c>
      <c r="N1748" s="281">
        <v>152.47315462463251</v>
      </c>
      <c r="O1748" s="281">
        <v>156.51159428530434</v>
      </c>
      <c r="P1748" s="281">
        <f t="shared" si="349"/>
        <v>156.51159428530434</v>
      </c>
      <c r="Q1748" s="281">
        <f t="shared" si="349"/>
        <v>156.51159428530434</v>
      </c>
      <c r="R1748" s="281">
        <f t="shared" si="349"/>
        <v>156.51159428530434</v>
      </c>
      <c r="S1748" s="281">
        <f t="shared" si="349"/>
        <v>156.51159428530434</v>
      </c>
    </row>
    <row r="1749" spans="5:19" x14ac:dyDescent="0.25">
      <c r="F1749" t="s">
        <v>931</v>
      </c>
      <c r="G1749" t="s">
        <v>120</v>
      </c>
      <c r="H1749" t="s">
        <v>480</v>
      </c>
      <c r="J1749" s="197">
        <f t="shared" si="348"/>
        <v>7467.1915469595669</v>
      </c>
      <c r="K1749" s="198"/>
      <c r="L1749" s="281"/>
      <c r="M1749" s="281">
        <v>14325.520733295749</v>
      </c>
      <c r="N1749" s="281">
        <v>7952.8594023040851</v>
      </c>
      <c r="O1749" s="281">
        <v>7467.1915469595669</v>
      </c>
      <c r="P1749" s="281">
        <f t="shared" si="349"/>
        <v>7467.1915469595669</v>
      </c>
      <c r="Q1749" s="281">
        <f t="shared" si="349"/>
        <v>7467.1915469595669</v>
      </c>
      <c r="R1749" s="281">
        <f t="shared" si="349"/>
        <v>7467.1915469595669</v>
      </c>
      <c r="S1749" s="281">
        <f t="shared" si="349"/>
        <v>7467.1915469595669</v>
      </c>
    </row>
    <row r="1750" spans="5:19" x14ac:dyDescent="0.25">
      <c r="F1750" t="s">
        <v>932</v>
      </c>
      <c r="G1750" t="s">
        <v>120</v>
      </c>
      <c r="H1750" t="s">
        <v>480</v>
      </c>
      <c r="J1750" s="202"/>
      <c r="K1750" s="198"/>
      <c r="L1750" s="202"/>
      <c r="M1750" s="202"/>
      <c r="N1750" s="202"/>
      <c r="O1750" s="202"/>
      <c r="P1750" s="202"/>
      <c r="Q1750" s="202"/>
      <c r="R1750" s="202"/>
      <c r="S1750" s="202"/>
    </row>
    <row r="1751" spans="5:19" x14ac:dyDescent="0.25">
      <c r="F1751" t="s">
        <v>933</v>
      </c>
      <c r="G1751" t="s">
        <v>120</v>
      </c>
      <c r="H1751" t="s">
        <v>480</v>
      </c>
      <c r="J1751" s="202"/>
      <c r="K1751" s="198"/>
      <c r="L1751" s="202"/>
      <c r="M1751" s="202"/>
      <c r="N1751" s="202"/>
      <c r="O1751" s="202"/>
      <c r="P1751" s="202"/>
      <c r="Q1751" s="202"/>
      <c r="R1751" s="202"/>
      <c r="S1751" s="202"/>
    </row>
    <row r="1752" spans="5:19" x14ac:dyDescent="0.25">
      <c r="F1752" t="s">
        <v>934</v>
      </c>
      <c r="G1752" t="s">
        <v>120</v>
      </c>
      <c r="H1752" t="s">
        <v>480</v>
      </c>
      <c r="J1752" s="202"/>
      <c r="K1752" s="198"/>
      <c r="L1752" s="202"/>
      <c r="M1752" s="202"/>
      <c r="N1752" s="202"/>
      <c r="O1752" s="202"/>
      <c r="P1752" s="202"/>
      <c r="Q1752" s="202"/>
      <c r="R1752" s="202"/>
      <c r="S1752" s="202"/>
    </row>
    <row r="1753" spans="5:19" x14ac:dyDescent="0.25">
      <c r="F1753" t="s">
        <v>935</v>
      </c>
      <c r="G1753" t="s">
        <v>120</v>
      </c>
      <c r="H1753" t="s">
        <v>480</v>
      </c>
      <c r="J1753" s="202"/>
      <c r="K1753" s="198"/>
      <c r="L1753" s="202"/>
      <c r="M1753" s="202"/>
      <c r="N1753" s="202"/>
      <c r="O1753" s="202"/>
      <c r="P1753" s="202"/>
      <c r="Q1753" s="202"/>
      <c r="R1753" s="202"/>
      <c r="S1753" s="202"/>
    </row>
    <row r="1754" spans="5:19" x14ac:dyDescent="0.25">
      <c r="F1754" t="s">
        <v>936</v>
      </c>
      <c r="G1754" t="s">
        <v>120</v>
      </c>
      <c r="H1754" t="s">
        <v>480</v>
      </c>
      <c r="J1754" s="202"/>
      <c r="K1754" s="198"/>
      <c r="L1754" s="202"/>
      <c r="M1754" s="202"/>
      <c r="N1754" s="202"/>
      <c r="O1754" s="202"/>
      <c r="P1754" s="202"/>
      <c r="Q1754" s="202"/>
      <c r="R1754" s="202"/>
      <c r="S1754" s="202"/>
    </row>
    <row r="1755" spans="5:19" x14ac:dyDescent="0.25">
      <c r="F1755" t="s">
        <v>937</v>
      </c>
      <c r="G1755" t="s">
        <v>120</v>
      </c>
      <c r="H1755" t="s">
        <v>480</v>
      </c>
      <c r="J1755" s="202"/>
      <c r="K1755" s="198"/>
      <c r="L1755" s="202"/>
      <c r="M1755" s="202"/>
      <c r="N1755" s="202"/>
      <c r="O1755" s="202"/>
      <c r="P1755" s="202"/>
      <c r="Q1755" s="202"/>
      <c r="R1755" s="202"/>
      <c r="S1755" s="202"/>
    </row>
    <row r="1756" spans="5:19" x14ac:dyDescent="0.25">
      <c r="F1756" t="s">
        <v>938</v>
      </c>
      <c r="G1756" t="s">
        <v>120</v>
      </c>
      <c r="H1756" t="s">
        <v>480</v>
      </c>
      <c r="J1756" s="202"/>
      <c r="K1756" s="198"/>
      <c r="L1756" s="202"/>
      <c r="M1756" s="202"/>
      <c r="N1756" s="202"/>
      <c r="O1756" s="202"/>
      <c r="P1756" s="202"/>
      <c r="Q1756" s="202"/>
      <c r="R1756" s="202"/>
      <c r="S1756" s="202"/>
    </row>
    <row r="1757" spans="5:19" x14ac:dyDescent="0.25">
      <c r="F1757" t="s">
        <v>939</v>
      </c>
      <c r="G1757" t="s">
        <v>120</v>
      </c>
      <c r="H1757" t="s">
        <v>480</v>
      </c>
      <c r="J1757" s="202"/>
      <c r="K1757" s="198"/>
      <c r="L1757" s="202"/>
      <c r="M1757" s="202"/>
      <c r="N1757" s="202"/>
      <c r="O1757" s="202"/>
      <c r="P1757" s="202"/>
      <c r="Q1757" s="202"/>
      <c r="R1757" s="202"/>
      <c r="S1757" s="202"/>
    </row>
    <row r="1758" spans="5:19" x14ac:dyDescent="0.25">
      <c r="F1758" s="17" t="s">
        <v>940</v>
      </c>
      <c r="G1758" s="17" t="s">
        <v>120</v>
      </c>
      <c r="H1758" s="17" t="s">
        <v>480</v>
      </c>
      <c r="I1758" s="122"/>
      <c r="J1758" s="203"/>
      <c r="K1758" s="200"/>
      <c r="L1758" s="203"/>
      <c r="M1758" s="203"/>
      <c r="N1758" s="203"/>
      <c r="O1758" s="203"/>
      <c r="P1758" s="203"/>
      <c r="Q1758" s="203"/>
      <c r="R1758" s="203"/>
      <c r="S1758" s="203"/>
    </row>
    <row r="1759" spans="5:19" x14ac:dyDescent="0.25">
      <c r="J1759" s="198"/>
      <c r="K1759" s="198"/>
      <c r="L1759" s="198"/>
      <c r="M1759" s="198"/>
      <c r="N1759" s="198"/>
      <c r="O1759" s="198"/>
      <c r="P1759" s="198"/>
      <c r="Q1759" s="198"/>
      <c r="R1759" s="198"/>
      <c r="S1759" s="198"/>
    </row>
    <row r="1760" spans="5:19" x14ac:dyDescent="0.25">
      <c r="E1760" s="121" t="s">
        <v>201</v>
      </c>
      <c r="J1760" s="198"/>
      <c r="K1760" s="198"/>
      <c r="L1760" s="198"/>
      <c r="M1760" s="198"/>
      <c r="N1760" s="198"/>
      <c r="O1760" s="198"/>
      <c r="P1760" s="198"/>
      <c r="Q1760" s="198"/>
      <c r="R1760" s="198"/>
      <c r="S1760" s="198"/>
    </row>
    <row r="1761" spans="6:19" x14ac:dyDescent="0.25">
      <c r="F1761" s="80" t="s">
        <v>925</v>
      </c>
      <c r="G1761" s="80" t="s">
        <v>120</v>
      </c>
      <c r="H1761" s="80" t="s">
        <v>480</v>
      </c>
      <c r="I1761" s="94"/>
      <c r="J1761" s="201"/>
      <c r="K1761" s="196"/>
      <c r="L1761" s="201"/>
      <c r="M1761" s="201"/>
      <c r="N1761" s="201"/>
      <c r="O1761" s="201"/>
      <c r="P1761" s="201"/>
      <c r="Q1761" s="201"/>
      <c r="R1761" s="201"/>
      <c r="S1761" s="201"/>
    </row>
    <row r="1762" spans="6:19" x14ac:dyDescent="0.25">
      <c r="F1762" t="s">
        <v>926</v>
      </c>
      <c r="G1762" t="s">
        <v>120</v>
      </c>
      <c r="H1762" t="s">
        <v>480</v>
      </c>
      <c r="J1762" s="202"/>
      <c r="K1762" s="198"/>
      <c r="L1762" s="202"/>
      <c r="M1762" s="202"/>
      <c r="N1762" s="202"/>
      <c r="O1762" s="202"/>
      <c r="P1762" s="202"/>
      <c r="Q1762" s="202"/>
      <c r="R1762" s="202"/>
      <c r="S1762" s="202"/>
    </row>
    <row r="1763" spans="6:19" x14ac:dyDescent="0.25">
      <c r="F1763" t="s">
        <v>927</v>
      </c>
      <c r="G1763" t="s">
        <v>120</v>
      </c>
      <c r="H1763" t="s">
        <v>480</v>
      </c>
      <c r="J1763" s="197">
        <f t="shared" ref="J1763" si="350">CHOOSE(year_selection, L1763,M1763,N1763,O1763,P1763,Q1763,R1763,S1763)</f>
        <v>2301.0234729472559</v>
      </c>
      <c r="K1763" s="198"/>
      <c r="L1763" s="281"/>
      <c r="M1763" s="281">
        <v>2075.7266500942269</v>
      </c>
      <c r="N1763" s="281">
        <v>1855.9209043967346</v>
      </c>
      <c r="O1763" s="281">
        <v>2301.0234729472559</v>
      </c>
      <c r="P1763" s="281">
        <f t="shared" ref="P1763:S1763" si="351">$O1763</f>
        <v>2301.0234729472559</v>
      </c>
      <c r="Q1763" s="281">
        <f t="shared" si="351"/>
        <v>2301.0234729472559</v>
      </c>
      <c r="R1763" s="281">
        <f t="shared" si="351"/>
        <v>2301.0234729472559</v>
      </c>
      <c r="S1763" s="281">
        <f t="shared" si="351"/>
        <v>2301.0234729472559</v>
      </c>
    </row>
    <row r="1764" spans="6:19" x14ac:dyDescent="0.25">
      <c r="F1764" t="s">
        <v>928</v>
      </c>
      <c r="G1764" t="s">
        <v>120</v>
      </c>
      <c r="H1764" t="s">
        <v>480</v>
      </c>
      <c r="J1764" s="202"/>
      <c r="K1764" s="198"/>
      <c r="L1764" s="202"/>
      <c r="M1764" s="202"/>
      <c r="N1764" s="202"/>
      <c r="O1764" s="202"/>
      <c r="P1764" s="202"/>
      <c r="Q1764" s="202"/>
      <c r="R1764" s="202"/>
      <c r="S1764" s="202"/>
    </row>
    <row r="1765" spans="6:19" x14ac:dyDescent="0.25">
      <c r="F1765" t="s">
        <v>929</v>
      </c>
      <c r="G1765" t="s">
        <v>120</v>
      </c>
      <c r="H1765" t="s">
        <v>480</v>
      </c>
      <c r="J1765" s="197">
        <f t="shared" ref="J1765:J1767" si="352">CHOOSE(year_selection, L1765,M1765,N1765,O1765,P1765,Q1765,R1765,S1765)</f>
        <v>10984.618681995815</v>
      </c>
      <c r="K1765" s="198"/>
      <c r="L1765" s="281"/>
      <c r="M1765" s="281">
        <v>10053.588447826693</v>
      </c>
      <c r="N1765" s="281">
        <v>10174.476430976862</v>
      </c>
      <c r="O1765" s="281">
        <v>10984.618681995815</v>
      </c>
      <c r="P1765" s="281">
        <f t="shared" ref="P1765:S1767" si="353">$O1765</f>
        <v>10984.618681995815</v>
      </c>
      <c r="Q1765" s="281">
        <f t="shared" si="353"/>
        <v>10984.618681995815</v>
      </c>
      <c r="R1765" s="281">
        <f t="shared" si="353"/>
        <v>10984.618681995815</v>
      </c>
      <c r="S1765" s="281">
        <f t="shared" si="353"/>
        <v>10984.618681995815</v>
      </c>
    </row>
    <row r="1766" spans="6:19" x14ac:dyDescent="0.25">
      <c r="F1766" t="s">
        <v>930</v>
      </c>
      <c r="G1766" t="s">
        <v>120</v>
      </c>
      <c r="H1766" t="s">
        <v>480</v>
      </c>
      <c r="J1766" s="197">
        <f t="shared" si="352"/>
        <v>143.71944260401457</v>
      </c>
      <c r="K1766" s="198"/>
      <c r="L1766" s="281"/>
      <c r="M1766" s="281">
        <v>127.37448510953209</v>
      </c>
      <c r="N1766" s="281">
        <v>134.16450167233936</v>
      </c>
      <c r="O1766" s="281">
        <v>143.71944260401457</v>
      </c>
      <c r="P1766" s="281">
        <f t="shared" si="353"/>
        <v>143.71944260401457</v>
      </c>
      <c r="Q1766" s="281">
        <f t="shared" si="353"/>
        <v>143.71944260401457</v>
      </c>
      <c r="R1766" s="281">
        <f t="shared" si="353"/>
        <v>143.71944260401457</v>
      </c>
      <c r="S1766" s="281">
        <f t="shared" si="353"/>
        <v>143.71944260401457</v>
      </c>
    </row>
    <row r="1767" spans="6:19" x14ac:dyDescent="0.25">
      <c r="F1767" t="s">
        <v>931</v>
      </c>
      <c r="G1767" t="s">
        <v>120</v>
      </c>
      <c r="H1767" t="s">
        <v>480</v>
      </c>
      <c r="J1767" s="197">
        <f t="shared" si="352"/>
        <v>8751.988669870505</v>
      </c>
      <c r="K1767" s="198"/>
      <c r="L1767" s="281"/>
      <c r="M1767" s="281">
        <v>15628.417975175884</v>
      </c>
      <c r="N1767" s="281">
        <v>8677.3290864329338</v>
      </c>
      <c r="O1767" s="281">
        <v>8751.988669870505</v>
      </c>
      <c r="P1767" s="281">
        <f t="shared" si="353"/>
        <v>8751.988669870505</v>
      </c>
      <c r="Q1767" s="281">
        <f t="shared" si="353"/>
        <v>8751.988669870505</v>
      </c>
      <c r="R1767" s="281">
        <f t="shared" si="353"/>
        <v>8751.988669870505</v>
      </c>
      <c r="S1767" s="281">
        <f t="shared" si="353"/>
        <v>8751.988669870505</v>
      </c>
    </row>
    <row r="1768" spans="6:19" x14ac:dyDescent="0.25">
      <c r="F1768" t="s">
        <v>932</v>
      </c>
      <c r="G1768" t="s">
        <v>120</v>
      </c>
      <c r="H1768" t="s">
        <v>480</v>
      </c>
      <c r="J1768" s="202"/>
      <c r="K1768" s="198"/>
      <c r="L1768" s="202"/>
      <c r="M1768" s="202"/>
      <c r="N1768" s="202"/>
      <c r="O1768" s="202"/>
      <c r="P1768" s="202"/>
      <c r="Q1768" s="202"/>
      <c r="R1768" s="202"/>
      <c r="S1768" s="202"/>
    </row>
    <row r="1769" spans="6:19" x14ac:dyDescent="0.25">
      <c r="F1769" t="s">
        <v>933</v>
      </c>
      <c r="G1769" t="s">
        <v>120</v>
      </c>
      <c r="H1769" t="s">
        <v>480</v>
      </c>
      <c r="J1769" s="202"/>
      <c r="K1769" s="198"/>
      <c r="L1769" s="202"/>
      <c r="M1769" s="202"/>
      <c r="N1769" s="202"/>
      <c r="O1769" s="202"/>
      <c r="P1769" s="202"/>
      <c r="Q1769" s="202"/>
      <c r="R1769" s="202"/>
      <c r="S1769" s="202"/>
    </row>
    <row r="1770" spans="6:19" x14ac:dyDescent="0.25">
      <c r="F1770" t="s">
        <v>934</v>
      </c>
      <c r="G1770" t="s">
        <v>120</v>
      </c>
      <c r="H1770" t="s">
        <v>480</v>
      </c>
      <c r="J1770" s="202"/>
      <c r="K1770" s="198"/>
      <c r="L1770" s="202"/>
      <c r="M1770" s="202"/>
      <c r="N1770" s="202"/>
      <c r="O1770" s="202"/>
      <c r="P1770" s="202"/>
      <c r="Q1770" s="202"/>
      <c r="R1770" s="202"/>
      <c r="S1770" s="202"/>
    </row>
    <row r="1771" spans="6:19" x14ac:dyDescent="0.25">
      <c r="F1771" t="s">
        <v>935</v>
      </c>
      <c r="G1771" t="s">
        <v>120</v>
      </c>
      <c r="H1771" t="s">
        <v>480</v>
      </c>
      <c r="J1771" s="202"/>
      <c r="K1771" s="198"/>
      <c r="L1771" s="202"/>
      <c r="M1771" s="202"/>
      <c r="N1771" s="202"/>
      <c r="O1771" s="202"/>
      <c r="P1771" s="202"/>
      <c r="Q1771" s="202"/>
      <c r="R1771" s="202"/>
      <c r="S1771" s="202"/>
    </row>
    <row r="1772" spans="6:19" x14ac:dyDescent="0.25">
      <c r="F1772" t="s">
        <v>936</v>
      </c>
      <c r="G1772" t="s">
        <v>120</v>
      </c>
      <c r="H1772" t="s">
        <v>480</v>
      </c>
      <c r="J1772" s="202"/>
      <c r="K1772" s="198"/>
      <c r="L1772" s="202"/>
      <c r="M1772" s="202"/>
      <c r="N1772" s="202"/>
      <c r="O1772" s="202"/>
      <c r="P1772" s="202"/>
      <c r="Q1772" s="202"/>
      <c r="R1772" s="202"/>
      <c r="S1772" s="202"/>
    </row>
    <row r="1773" spans="6:19" x14ac:dyDescent="0.25">
      <c r="F1773" t="s">
        <v>937</v>
      </c>
      <c r="G1773" t="s">
        <v>120</v>
      </c>
      <c r="H1773" t="s">
        <v>480</v>
      </c>
      <c r="J1773" s="202"/>
      <c r="K1773" s="198"/>
      <c r="L1773" s="202"/>
      <c r="M1773" s="202"/>
      <c r="N1773" s="202"/>
      <c r="O1773" s="202"/>
      <c r="P1773" s="202"/>
      <c r="Q1773" s="202"/>
      <c r="R1773" s="202"/>
      <c r="S1773" s="202"/>
    </row>
    <row r="1774" spans="6:19" x14ac:dyDescent="0.25">
      <c r="F1774" t="s">
        <v>938</v>
      </c>
      <c r="G1774" t="s">
        <v>120</v>
      </c>
      <c r="H1774" t="s">
        <v>480</v>
      </c>
      <c r="J1774" s="202"/>
      <c r="K1774" s="198"/>
      <c r="L1774" s="202"/>
      <c r="M1774" s="202"/>
      <c r="N1774" s="202"/>
      <c r="O1774" s="202"/>
      <c r="P1774" s="202"/>
      <c r="Q1774" s="202"/>
      <c r="R1774" s="202"/>
      <c r="S1774" s="202"/>
    </row>
    <row r="1775" spans="6:19" x14ac:dyDescent="0.25">
      <c r="F1775" t="s">
        <v>939</v>
      </c>
      <c r="G1775" t="s">
        <v>120</v>
      </c>
      <c r="H1775" t="s">
        <v>480</v>
      </c>
      <c r="J1775" s="202"/>
      <c r="K1775" s="198"/>
      <c r="L1775" s="202"/>
      <c r="M1775" s="202"/>
      <c r="N1775" s="202"/>
      <c r="O1775" s="202"/>
      <c r="P1775" s="202"/>
      <c r="Q1775" s="202"/>
      <c r="R1775" s="202"/>
      <c r="S1775" s="202"/>
    </row>
    <row r="1776" spans="6:19" x14ac:dyDescent="0.25">
      <c r="F1776" s="17" t="s">
        <v>940</v>
      </c>
      <c r="G1776" s="17" t="s">
        <v>120</v>
      </c>
      <c r="H1776" s="17" t="s">
        <v>480</v>
      </c>
      <c r="I1776" s="122"/>
      <c r="J1776" s="203"/>
      <c r="K1776" s="200"/>
      <c r="L1776" s="203"/>
      <c r="M1776" s="203"/>
      <c r="N1776" s="203"/>
      <c r="O1776" s="203"/>
      <c r="P1776" s="203"/>
      <c r="Q1776" s="203"/>
      <c r="R1776" s="203"/>
      <c r="S1776" s="203"/>
    </row>
    <row r="1777" spans="5:19" x14ac:dyDescent="0.25">
      <c r="J1777" s="198"/>
      <c r="K1777" s="198"/>
      <c r="L1777" s="198"/>
      <c r="M1777" s="198"/>
      <c r="N1777" s="198"/>
      <c r="O1777" s="198"/>
      <c r="P1777" s="198"/>
      <c r="Q1777" s="198"/>
      <c r="R1777" s="198"/>
      <c r="S1777" s="198"/>
    </row>
    <row r="1778" spans="5:19" x14ac:dyDescent="0.25">
      <c r="E1778" s="121" t="s">
        <v>74</v>
      </c>
      <c r="J1778" s="198"/>
      <c r="K1778" s="198"/>
      <c r="L1778" s="198"/>
      <c r="M1778" s="198"/>
      <c r="N1778" s="198"/>
      <c r="O1778" s="198"/>
      <c r="P1778" s="198"/>
      <c r="Q1778" s="198"/>
      <c r="R1778" s="198"/>
      <c r="S1778" s="198"/>
    </row>
    <row r="1779" spans="5:19" x14ac:dyDescent="0.25">
      <c r="F1779" s="80" t="s">
        <v>925</v>
      </c>
      <c r="G1779" s="80" t="s">
        <v>74</v>
      </c>
      <c r="H1779" s="80" t="s">
        <v>480</v>
      </c>
      <c r="I1779" s="94"/>
      <c r="J1779" s="201"/>
      <c r="K1779" s="196"/>
      <c r="L1779" s="201"/>
      <c r="M1779" s="201"/>
      <c r="N1779" s="201"/>
      <c r="O1779" s="201"/>
      <c r="P1779" s="201"/>
      <c r="Q1779" s="201"/>
      <c r="R1779" s="201"/>
      <c r="S1779" s="201"/>
    </row>
    <row r="1780" spans="5:19" x14ac:dyDescent="0.25">
      <c r="F1780" t="s">
        <v>926</v>
      </c>
      <c r="G1780" t="s">
        <v>74</v>
      </c>
      <c r="H1780" t="s">
        <v>480</v>
      </c>
      <c r="J1780" s="202"/>
      <c r="K1780" s="198"/>
      <c r="L1780" s="202"/>
      <c r="M1780" s="202"/>
      <c r="N1780" s="202"/>
      <c r="O1780" s="202"/>
      <c r="P1780" s="202"/>
      <c r="Q1780" s="202"/>
      <c r="R1780" s="202"/>
      <c r="S1780" s="202"/>
    </row>
    <row r="1781" spans="5:19" x14ac:dyDescent="0.25">
      <c r="F1781" t="s">
        <v>927</v>
      </c>
      <c r="G1781" t="s">
        <v>74</v>
      </c>
      <c r="H1781" t="s">
        <v>480</v>
      </c>
      <c r="J1781" s="197">
        <f t="shared" ref="J1781" si="354">CHOOSE(year_selection, L1781,M1781,N1781,O1781,P1781,Q1781,R1781,S1781)</f>
        <v>350</v>
      </c>
      <c r="K1781" s="198"/>
      <c r="L1781" s="281"/>
      <c r="M1781" s="281">
        <v>267</v>
      </c>
      <c r="N1781" s="281">
        <v>278</v>
      </c>
      <c r="O1781" s="281">
        <v>350</v>
      </c>
      <c r="P1781" s="281">
        <f t="shared" ref="P1781:S1781" si="355">$O1781</f>
        <v>350</v>
      </c>
      <c r="Q1781" s="281">
        <f t="shared" si="355"/>
        <v>350</v>
      </c>
      <c r="R1781" s="281">
        <f t="shared" si="355"/>
        <v>350</v>
      </c>
      <c r="S1781" s="281">
        <f t="shared" si="355"/>
        <v>350</v>
      </c>
    </row>
    <row r="1782" spans="5:19" x14ac:dyDescent="0.25">
      <c r="F1782" t="s">
        <v>928</v>
      </c>
      <c r="G1782" t="s">
        <v>74</v>
      </c>
      <c r="H1782" t="s">
        <v>480</v>
      </c>
      <c r="J1782" s="202"/>
      <c r="K1782" s="198"/>
      <c r="L1782" s="202"/>
      <c r="M1782" s="202"/>
      <c r="N1782" s="202"/>
      <c r="O1782" s="202"/>
      <c r="P1782" s="202"/>
      <c r="Q1782" s="202"/>
      <c r="R1782" s="202"/>
      <c r="S1782" s="202"/>
    </row>
    <row r="1783" spans="5:19" x14ac:dyDescent="0.25">
      <c r="F1783" t="s">
        <v>929</v>
      </c>
      <c r="G1783" t="s">
        <v>74</v>
      </c>
      <c r="H1783" t="s">
        <v>480</v>
      </c>
      <c r="J1783" s="197">
        <f t="shared" ref="J1783:J1785" si="356">CHOOSE(year_selection, L1783,M1783,N1783,O1783,P1783,Q1783,R1783,S1783)</f>
        <v>100</v>
      </c>
      <c r="K1783" s="198"/>
      <c r="L1783" s="281"/>
      <c r="M1783" s="281">
        <v>84</v>
      </c>
      <c r="N1783" s="281">
        <v>92</v>
      </c>
      <c r="O1783" s="281">
        <v>100</v>
      </c>
      <c r="P1783" s="281">
        <f t="shared" ref="P1783:S1785" si="357">$O1783</f>
        <v>100</v>
      </c>
      <c r="Q1783" s="281">
        <f t="shared" si="357"/>
        <v>100</v>
      </c>
      <c r="R1783" s="281">
        <f t="shared" si="357"/>
        <v>100</v>
      </c>
      <c r="S1783" s="281">
        <f t="shared" si="357"/>
        <v>100</v>
      </c>
    </row>
    <row r="1784" spans="5:19" x14ac:dyDescent="0.25">
      <c r="F1784" t="s">
        <v>930</v>
      </c>
      <c r="G1784" t="s">
        <v>74</v>
      </c>
      <c r="H1784" t="s">
        <v>480</v>
      </c>
      <c r="J1784" s="197">
        <f t="shared" si="356"/>
        <v>1</v>
      </c>
      <c r="K1784" s="198"/>
      <c r="L1784" s="281"/>
      <c r="M1784" s="281">
        <v>1</v>
      </c>
      <c r="N1784" s="281">
        <v>1</v>
      </c>
      <c r="O1784" s="281">
        <v>1</v>
      </c>
      <c r="P1784" s="281">
        <f t="shared" si="357"/>
        <v>1</v>
      </c>
      <c r="Q1784" s="281">
        <f t="shared" si="357"/>
        <v>1</v>
      </c>
      <c r="R1784" s="281">
        <f t="shared" si="357"/>
        <v>1</v>
      </c>
      <c r="S1784" s="281">
        <f t="shared" si="357"/>
        <v>1</v>
      </c>
    </row>
    <row r="1785" spans="5:19" x14ac:dyDescent="0.25">
      <c r="F1785" t="s">
        <v>931</v>
      </c>
      <c r="G1785" t="s">
        <v>74</v>
      </c>
      <c r="H1785" t="s">
        <v>480</v>
      </c>
      <c r="J1785" s="197">
        <f t="shared" si="356"/>
        <v>8</v>
      </c>
      <c r="K1785" s="198"/>
      <c r="L1785" s="281"/>
      <c r="M1785" s="281">
        <v>11</v>
      </c>
      <c r="N1785" s="281">
        <v>9</v>
      </c>
      <c r="O1785" s="281">
        <v>8</v>
      </c>
      <c r="P1785" s="281">
        <f t="shared" si="357"/>
        <v>8</v>
      </c>
      <c r="Q1785" s="281">
        <f t="shared" si="357"/>
        <v>8</v>
      </c>
      <c r="R1785" s="281">
        <f t="shared" si="357"/>
        <v>8</v>
      </c>
      <c r="S1785" s="281">
        <f t="shared" si="357"/>
        <v>8</v>
      </c>
    </row>
    <row r="1786" spans="5:19" x14ac:dyDescent="0.25">
      <c r="F1786" t="s">
        <v>932</v>
      </c>
      <c r="G1786" t="s">
        <v>74</v>
      </c>
      <c r="H1786" t="s">
        <v>480</v>
      </c>
      <c r="J1786" s="202"/>
      <c r="K1786" s="198"/>
      <c r="L1786" s="202"/>
      <c r="M1786" s="202"/>
      <c r="N1786" s="202"/>
      <c r="O1786" s="202"/>
      <c r="P1786" s="202"/>
      <c r="Q1786" s="202"/>
      <c r="R1786" s="202"/>
      <c r="S1786" s="202"/>
    </row>
    <row r="1787" spans="5:19" x14ac:dyDescent="0.25">
      <c r="F1787" t="s">
        <v>933</v>
      </c>
      <c r="G1787" t="s">
        <v>74</v>
      </c>
      <c r="H1787" t="s">
        <v>480</v>
      </c>
      <c r="J1787" s="202"/>
      <c r="K1787" s="198"/>
      <c r="L1787" s="202"/>
      <c r="M1787" s="202"/>
      <c r="N1787" s="202"/>
      <c r="O1787" s="202"/>
      <c r="P1787" s="202"/>
      <c r="Q1787" s="202"/>
      <c r="R1787" s="202"/>
      <c r="S1787" s="202"/>
    </row>
    <row r="1788" spans="5:19" x14ac:dyDescent="0.25">
      <c r="F1788" t="s">
        <v>934</v>
      </c>
      <c r="G1788" t="s">
        <v>74</v>
      </c>
      <c r="H1788" t="s">
        <v>480</v>
      </c>
      <c r="J1788" s="202"/>
      <c r="K1788" s="198"/>
      <c r="L1788" s="202"/>
      <c r="M1788" s="202"/>
      <c r="N1788" s="202"/>
      <c r="O1788" s="202"/>
      <c r="P1788" s="202"/>
      <c r="Q1788" s="202"/>
      <c r="R1788" s="202"/>
      <c r="S1788" s="202"/>
    </row>
    <row r="1789" spans="5:19" x14ac:dyDescent="0.25">
      <c r="F1789" t="s">
        <v>935</v>
      </c>
      <c r="G1789" t="s">
        <v>74</v>
      </c>
      <c r="H1789" t="s">
        <v>480</v>
      </c>
      <c r="J1789" s="202"/>
      <c r="K1789" s="198"/>
      <c r="L1789" s="202"/>
      <c r="M1789" s="202"/>
      <c r="N1789" s="202"/>
      <c r="O1789" s="202"/>
      <c r="P1789" s="202"/>
      <c r="Q1789" s="202"/>
      <c r="R1789" s="202"/>
      <c r="S1789" s="202"/>
    </row>
    <row r="1790" spans="5:19" x14ac:dyDescent="0.25">
      <c r="F1790" t="s">
        <v>936</v>
      </c>
      <c r="G1790" t="s">
        <v>74</v>
      </c>
      <c r="H1790" t="s">
        <v>480</v>
      </c>
      <c r="J1790" s="202"/>
      <c r="K1790" s="198"/>
      <c r="L1790" s="202"/>
      <c r="M1790" s="202"/>
      <c r="N1790" s="202"/>
      <c r="O1790" s="202"/>
      <c r="P1790" s="202"/>
      <c r="Q1790" s="202"/>
      <c r="R1790" s="202"/>
      <c r="S1790" s="202"/>
    </row>
    <row r="1791" spans="5:19" x14ac:dyDescent="0.25">
      <c r="F1791" t="s">
        <v>937</v>
      </c>
      <c r="G1791" t="s">
        <v>74</v>
      </c>
      <c r="H1791" t="s">
        <v>480</v>
      </c>
      <c r="J1791" s="202"/>
      <c r="K1791" s="198"/>
      <c r="L1791" s="202"/>
      <c r="M1791" s="202"/>
      <c r="N1791" s="202"/>
      <c r="O1791" s="202"/>
      <c r="P1791" s="202"/>
      <c r="Q1791" s="202"/>
      <c r="R1791" s="202"/>
      <c r="S1791" s="202"/>
    </row>
    <row r="1792" spans="5:19" x14ac:dyDescent="0.25">
      <c r="F1792" t="s">
        <v>938</v>
      </c>
      <c r="G1792" t="s">
        <v>74</v>
      </c>
      <c r="H1792" t="s">
        <v>480</v>
      </c>
      <c r="J1792" s="202"/>
      <c r="K1792" s="198"/>
      <c r="L1792" s="202"/>
      <c r="M1792" s="202"/>
      <c r="N1792" s="202"/>
      <c r="O1792" s="202"/>
      <c r="P1792" s="202"/>
      <c r="Q1792" s="202"/>
      <c r="R1792" s="202"/>
      <c r="S1792" s="202"/>
    </row>
    <row r="1793" spans="5:19" x14ac:dyDescent="0.25">
      <c r="F1793" t="s">
        <v>939</v>
      </c>
      <c r="G1793" t="s">
        <v>74</v>
      </c>
      <c r="H1793" t="s">
        <v>480</v>
      </c>
      <c r="J1793" s="202"/>
      <c r="K1793" s="198"/>
      <c r="L1793" s="202"/>
      <c r="M1793" s="202"/>
      <c r="N1793" s="202"/>
      <c r="O1793" s="202"/>
      <c r="P1793" s="202"/>
      <c r="Q1793" s="202"/>
      <c r="R1793" s="202"/>
      <c r="S1793" s="202"/>
    </row>
    <row r="1794" spans="5:19" x14ac:dyDescent="0.25">
      <c r="F1794" s="17" t="s">
        <v>940</v>
      </c>
      <c r="G1794" s="17" t="s">
        <v>74</v>
      </c>
      <c r="H1794" s="17" t="s">
        <v>480</v>
      </c>
      <c r="I1794" s="122"/>
      <c r="J1794" s="203"/>
      <c r="K1794" s="200"/>
      <c r="L1794" s="203"/>
      <c r="M1794" s="203"/>
      <c r="N1794" s="203"/>
      <c r="O1794" s="203"/>
      <c r="P1794" s="203"/>
      <c r="Q1794" s="203"/>
      <c r="R1794" s="203"/>
      <c r="S1794" s="203"/>
    </row>
    <row r="1795" spans="5:19" x14ac:dyDescent="0.25">
      <c r="J1795" s="198"/>
      <c r="K1795" s="198"/>
      <c r="L1795" s="198"/>
      <c r="M1795" s="198"/>
      <c r="N1795" s="198"/>
      <c r="O1795" s="198"/>
      <c r="P1795" s="198"/>
      <c r="Q1795" s="198"/>
      <c r="R1795" s="198"/>
      <c r="S1795" s="198"/>
    </row>
    <row r="1796" spans="5:19" x14ac:dyDescent="0.25">
      <c r="E1796" s="121" t="s">
        <v>202</v>
      </c>
      <c r="J1796" s="198"/>
      <c r="K1796" s="198"/>
      <c r="L1796" s="198"/>
      <c r="M1796" s="198"/>
      <c r="N1796" s="198"/>
      <c r="O1796" s="198"/>
      <c r="P1796" s="198"/>
      <c r="Q1796" s="198"/>
      <c r="R1796" s="198"/>
      <c r="S1796" s="198"/>
    </row>
    <row r="1797" spans="5:19" x14ac:dyDescent="0.25">
      <c r="F1797" s="80" t="s">
        <v>925</v>
      </c>
      <c r="G1797" s="80" t="s">
        <v>169</v>
      </c>
      <c r="H1797" s="80" t="s">
        <v>480</v>
      </c>
      <c r="I1797" s="94"/>
      <c r="J1797" s="201"/>
      <c r="K1797" s="196"/>
      <c r="L1797" s="201"/>
      <c r="M1797" s="201"/>
      <c r="N1797" s="201"/>
      <c r="O1797" s="201"/>
      <c r="P1797" s="201"/>
      <c r="Q1797" s="201"/>
      <c r="R1797" s="201"/>
      <c r="S1797" s="201"/>
    </row>
    <row r="1798" spans="5:19" x14ac:dyDescent="0.25">
      <c r="F1798" t="s">
        <v>926</v>
      </c>
      <c r="G1798" t="s">
        <v>169</v>
      </c>
      <c r="H1798" t="s">
        <v>480</v>
      </c>
      <c r="J1798" s="202"/>
      <c r="K1798" s="198"/>
      <c r="L1798" s="202"/>
      <c r="M1798" s="202"/>
      <c r="N1798" s="202"/>
      <c r="O1798" s="202"/>
      <c r="P1798" s="202"/>
      <c r="Q1798" s="202"/>
      <c r="R1798" s="202"/>
      <c r="S1798" s="202"/>
    </row>
    <row r="1799" spans="5:19" x14ac:dyDescent="0.25">
      <c r="F1799" t="s">
        <v>927</v>
      </c>
      <c r="G1799" t="s">
        <v>169</v>
      </c>
      <c r="H1799" t="s">
        <v>480</v>
      </c>
      <c r="J1799" s="202"/>
      <c r="K1799" s="198"/>
      <c r="L1799" s="202"/>
      <c r="M1799" s="202"/>
      <c r="N1799" s="202"/>
      <c r="O1799" s="202"/>
      <c r="P1799" s="202"/>
      <c r="Q1799" s="202"/>
      <c r="R1799" s="202"/>
      <c r="S1799" s="202"/>
    </row>
    <row r="1800" spans="5:19" x14ac:dyDescent="0.25">
      <c r="F1800" t="s">
        <v>928</v>
      </c>
      <c r="G1800" t="s">
        <v>169</v>
      </c>
      <c r="H1800" t="s">
        <v>480</v>
      </c>
      <c r="J1800" s="202"/>
      <c r="K1800" s="198"/>
      <c r="L1800" s="202"/>
      <c r="M1800" s="202"/>
      <c r="N1800" s="202"/>
      <c r="O1800" s="202"/>
      <c r="P1800" s="202"/>
      <c r="Q1800" s="202"/>
      <c r="R1800" s="202"/>
      <c r="S1800" s="202"/>
    </row>
    <row r="1801" spans="5:19" x14ac:dyDescent="0.25">
      <c r="F1801" t="s">
        <v>929</v>
      </c>
      <c r="G1801" t="s">
        <v>169</v>
      </c>
      <c r="H1801" t="s">
        <v>480</v>
      </c>
      <c r="J1801" s="197">
        <f t="shared" ref="J1801:J1803" si="358">CHOOSE(year_selection, L1801,M1801,N1801,O1801,P1801,Q1801,R1801,S1801)</f>
        <v>18524</v>
      </c>
      <c r="K1801" s="198"/>
      <c r="L1801" s="281"/>
      <c r="M1801" s="281">
        <v>15995</v>
      </c>
      <c r="N1801" s="281">
        <v>17516</v>
      </c>
      <c r="O1801" s="281">
        <v>18524</v>
      </c>
      <c r="P1801" s="281">
        <f t="shared" ref="P1801:S1803" si="359">$O1801</f>
        <v>18524</v>
      </c>
      <c r="Q1801" s="281">
        <f t="shared" si="359"/>
        <v>18524</v>
      </c>
      <c r="R1801" s="281">
        <f t="shared" si="359"/>
        <v>18524</v>
      </c>
      <c r="S1801" s="281">
        <f t="shared" si="359"/>
        <v>18524</v>
      </c>
    </row>
    <row r="1802" spans="5:19" x14ac:dyDescent="0.25">
      <c r="F1802" t="s">
        <v>930</v>
      </c>
      <c r="G1802" t="s">
        <v>169</v>
      </c>
      <c r="H1802" t="s">
        <v>480</v>
      </c>
      <c r="J1802" s="197">
        <f t="shared" si="358"/>
        <v>225</v>
      </c>
      <c r="K1802" s="198"/>
      <c r="L1802" s="281"/>
      <c r="M1802" s="281">
        <v>225</v>
      </c>
      <c r="N1802" s="281">
        <v>225</v>
      </c>
      <c r="O1802" s="281">
        <v>225</v>
      </c>
      <c r="P1802" s="281">
        <f t="shared" si="359"/>
        <v>225</v>
      </c>
      <c r="Q1802" s="281">
        <f t="shared" si="359"/>
        <v>225</v>
      </c>
      <c r="R1802" s="281">
        <f t="shared" si="359"/>
        <v>225</v>
      </c>
      <c r="S1802" s="281">
        <f t="shared" si="359"/>
        <v>225</v>
      </c>
    </row>
    <row r="1803" spans="5:19" x14ac:dyDescent="0.25">
      <c r="F1803" t="s">
        <v>931</v>
      </c>
      <c r="G1803" t="s">
        <v>169</v>
      </c>
      <c r="H1803" t="s">
        <v>480</v>
      </c>
      <c r="J1803" s="197">
        <f t="shared" si="358"/>
        <v>11400</v>
      </c>
      <c r="K1803" s="198"/>
      <c r="L1803" s="281"/>
      <c r="M1803" s="281">
        <v>16300</v>
      </c>
      <c r="N1803" s="281">
        <v>13200</v>
      </c>
      <c r="O1803" s="281">
        <v>11400</v>
      </c>
      <c r="P1803" s="281">
        <f t="shared" si="359"/>
        <v>11400</v>
      </c>
      <c r="Q1803" s="281">
        <f t="shared" si="359"/>
        <v>11400</v>
      </c>
      <c r="R1803" s="281">
        <f t="shared" si="359"/>
        <v>11400</v>
      </c>
      <c r="S1803" s="281">
        <f t="shared" si="359"/>
        <v>11400</v>
      </c>
    </row>
    <row r="1804" spans="5:19" x14ac:dyDescent="0.25">
      <c r="F1804" t="s">
        <v>932</v>
      </c>
      <c r="G1804" t="s">
        <v>169</v>
      </c>
      <c r="H1804" t="s">
        <v>480</v>
      </c>
      <c r="J1804" s="202"/>
      <c r="K1804" s="198"/>
      <c r="L1804" s="202"/>
      <c r="M1804" s="202"/>
      <c r="N1804" s="202"/>
      <c r="O1804" s="202"/>
      <c r="P1804" s="202"/>
      <c r="Q1804" s="202"/>
      <c r="R1804" s="202"/>
      <c r="S1804" s="202"/>
    </row>
    <row r="1805" spans="5:19" x14ac:dyDescent="0.25">
      <c r="F1805" t="s">
        <v>933</v>
      </c>
      <c r="G1805" t="s">
        <v>169</v>
      </c>
      <c r="H1805" t="s">
        <v>480</v>
      </c>
      <c r="J1805" s="202"/>
      <c r="K1805" s="198"/>
      <c r="L1805" s="202"/>
      <c r="M1805" s="202"/>
      <c r="N1805" s="202"/>
      <c r="O1805" s="202"/>
      <c r="P1805" s="202"/>
      <c r="Q1805" s="202"/>
      <c r="R1805" s="202"/>
      <c r="S1805" s="202"/>
    </row>
    <row r="1806" spans="5:19" x14ac:dyDescent="0.25">
      <c r="F1806" t="s">
        <v>934</v>
      </c>
      <c r="G1806" t="s">
        <v>169</v>
      </c>
      <c r="H1806" t="s">
        <v>480</v>
      </c>
      <c r="J1806" s="202"/>
      <c r="K1806" s="198"/>
      <c r="L1806" s="202"/>
      <c r="M1806" s="202"/>
      <c r="N1806" s="202"/>
      <c r="O1806" s="202"/>
      <c r="P1806" s="202"/>
      <c r="Q1806" s="202"/>
      <c r="R1806" s="202"/>
      <c r="S1806" s="202"/>
    </row>
    <row r="1807" spans="5:19" x14ac:dyDescent="0.25">
      <c r="F1807" t="s">
        <v>935</v>
      </c>
      <c r="G1807" t="s">
        <v>169</v>
      </c>
      <c r="H1807" t="s">
        <v>480</v>
      </c>
      <c r="J1807" s="202"/>
      <c r="K1807" s="198"/>
      <c r="L1807" s="202"/>
      <c r="M1807" s="202"/>
      <c r="N1807" s="202"/>
      <c r="O1807" s="202"/>
      <c r="P1807" s="202"/>
      <c r="Q1807" s="202"/>
      <c r="R1807" s="202"/>
      <c r="S1807" s="202"/>
    </row>
    <row r="1808" spans="5:19" x14ac:dyDescent="0.25">
      <c r="F1808" t="s">
        <v>936</v>
      </c>
      <c r="G1808" t="s">
        <v>169</v>
      </c>
      <c r="H1808" t="s">
        <v>480</v>
      </c>
      <c r="J1808" s="202"/>
      <c r="K1808" s="198"/>
      <c r="L1808" s="202"/>
      <c r="M1808" s="202"/>
      <c r="N1808" s="202"/>
      <c r="O1808" s="202"/>
      <c r="P1808" s="202"/>
      <c r="Q1808" s="202"/>
      <c r="R1808" s="202"/>
      <c r="S1808" s="202"/>
    </row>
    <row r="1809" spans="5:19" x14ac:dyDescent="0.25">
      <c r="F1809" t="s">
        <v>937</v>
      </c>
      <c r="G1809" t="s">
        <v>169</v>
      </c>
      <c r="H1809" t="s">
        <v>480</v>
      </c>
      <c r="J1809" s="202"/>
      <c r="K1809" s="198"/>
      <c r="L1809" s="202"/>
      <c r="M1809" s="202"/>
      <c r="N1809" s="202"/>
      <c r="O1809" s="202"/>
      <c r="P1809" s="202"/>
      <c r="Q1809" s="202"/>
      <c r="R1809" s="202"/>
      <c r="S1809" s="202"/>
    </row>
    <row r="1810" spans="5:19" x14ac:dyDescent="0.25">
      <c r="F1810" t="s">
        <v>938</v>
      </c>
      <c r="G1810" t="s">
        <v>169</v>
      </c>
      <c r="H1810" t="s">
        <v>480</v>
      </c>
      <c r="J1810" s="202"/>
      <c r="K1810" s="198"/>
      <c r="L1810" s="202"/>
      <c r="M1810" s="202"/>
      <c r="N1810" s="202"/>
      <c r="O1810" s="202"/>
      <c r="P1810" s="202"/>
      <c r="Q1810" s="202"/>
      <c r="R1810" s="202"/>
      <c r="S1810" s="202"/>
    </row>
    <row r="1811" spans="5:19" x14ac:dyDescent="0.25">
      <c r="F1811" t="s">
        <v>939</v>
      </c>
      <c r="G1811" t="s">
        <v>169</v>
      </c>
      <c r="H1811" t="s">
        <v>480</v>
      </c>
      <c r="J1811" s="202"/>
      <c r="K1811" s="198"/>
      <c r="L1811" s="202"/>
      <c r="M1811" s="202"/>
      <c r="N1811" s="202"/>
      <c r="O1811" s="202"/>
      <c r="P1811" s="202"/>
      <c r="Q1811" s="202"/>
      <c r="R1811" s="202"/>
      <c r="S1811" s="202"/>
    </row>
    <row r="1812" spans="5:19" x14ac:dyDescent="0.25">
      <c r="F1812" s="17" t="s">
        <v>940</v>
      </c>
      <c r="G1812" s="17" t="s">
        <v>169</v>
      </c>
      <c r="H1812" s="17" t="s">
        <v>480</v>
      </c>
      <c r="I1812" s="122"/>
      <c r="J1812" s="203"/>
      <c r="K1812" s="200"/>
      <c r="L1812" s="203"/>
      <c r="M1812" s="203"/>
      <c r="N1812" s="203"/>
      <c r="O1812" s="203"/>
      <c r="P1812" s="203"/>
      <c r="Q1812" s="203"/>
      <c r="R1812" s="203"/>
      <c r="S1812" s="203"/>
    </row>
    <row r="1813" spans="5:19" x14ac:dyDescent="0.25">
      <c r="J1813" s="198"/>
      <c r="K1813" s="198"/>
      <c r="L1813" s="198"/>
      <c r="M1813" s="198"/>
      <c r="N1813" s="198"/>
      <c r="O1813" s="198"/>
      <c r="P1813" s="198"/>
      <c r="Q1813" s="198"/>
      <c r="R1813" s="198"/>
      <c r="S1813" s="198"/>
    </row>
    <row r="1814" spans="5:19" x14ac:dyDescent="0.25">
      <c r="E1814" s="121" t="s">
        <v>203</v>
      </c>
      <c r="J1814" s="198"/>
      <c r="K1814" s="198"/>
      <c r="L1814" s="198"/>
      <c r="M1814" s="198"/>
      <c r="N1814" s="198"/>
      <c r="O1814" s="198"/>
      <c r="P1814" s="198"/>
      <c r="Q1814" s="198"/>
      <c r="R1814" s="198"/>
      <c r="S1814" s="198"/>
    </row>
    <row r="1815" spans="5:19" x14ac:dyDescent="0.25">
      <c r="F1815" s="80" t="s">
        <v>925</v>
      </c>
      <c r="G1815" s="80" t="s">
        <v>169</v>
      </c>
      <c r="H1815" s="80" t="s">
        <v>480</v>
      </c>
      <c r="I1815" s="94"/>
      <c r="J1815" s="201"/>
      <c r="K1815" s="196"/>
      <c r="L1815" s="201"/>
      <c r="M1815" s="201"/>
      <c r="N1815" s="201"/>
      <c r="O1815" s="201"/>
      <c r="P1815" s="201"/>
      <c r="Q1815" s="201"/>
      <c r="R1815" s="201"/>
      <c r="S1815" s="201"/>
    </row>
    <row r="1816" spans="5:19" x14ac:dyDescent="0.25">
      <c r="F1816" t="s">
        <v>926</v>
      </c>
      <c r="G1816" t="s">
        <v>169</v>
      </c>
      <c r="H1816" t="s">
        <v>480</v>
      </c>
      <c r="J1816" s="202"/>
      <c r="K1816" s="198"/>
      <c r="L1816" s="202"/>
      <c r="M1816" s="202"/>
      <c r="N1816" s="202"/>
      <c r="O1816" s="202"/>
      <c r="P1816" s="202"/>
      <c r="Q1816" s="202"/>
      <c r="R1816" s="202"/>
      <c r="S1816" s="202"/>
    </row>
    <row r="1817" spans="5:19" x14ac:dyDescent="0.25">
      <c r="F1817" t="s">
        <v>927</v>
      </c>
      <c r="G1817" t="s">
        <v>169</v>
      </c>
      <c r="H1817" t="s">
        <v>480</v>
      </c>
      <c r="J1817" s="202"/>
      <c r="K1817" s="198"/>
      <c r="L1817" s="202"/>
      <c r="M1817" s="202"/>
      <c r="N1817" s="202"/>
      <c r="O1817" s="202"/>
      <c r="P1817" s="202"/>
      <c r="Q1817" s="202"/>
      <c r="R1817" s="202"/>
      <c r="S1817" s="202"/>
    </row>
    <row r="1818" spans="5:19" x14ac:dyDescent="0.25">
      <c r="F1818" t="s">
        <v>928</v>
      </c>
      <c r="G1818" t="s">
        <v>169</v>
      </c>
      <c r="H1818" t="s">
        <v>480</v>
      </c>
      <c r="J1818" s="202"/>
      <c r="K1818" s="198"/>
      <c r="L1818" s="202"/>
      <c r="M1818" s="202"/>
      <c r="N1818" s="202"/>
      <c r="O1818" s="202"/>
      <c r="P1818" s="202"/>
      <c r="Q1818" s="202"/>
      <c r="R1818" s="202"/>
      <c r="S1818" s="202"/>
    </row>
    <row r="1819" spans="5:19" x14ac:dyDescent="0.25">
      <c r="F1819" t="s">
        <v>929</v>
      </c>
      <c r="G1819" t="s">
        <v>169</v>
      </c>
      <c r="H1819" t="s">
        <v>480</v>
      </c>
      <c r="J1819" s="197">
        <f t="shared" ref="J1819:J1821" si="360">CHOOSE(year_selection, L1819,M1819,N1819,O1819,P1819,Q1819,R1819,S1819)</f>
        <v>45</v>
      </c>
      <c r="K1819" s="198"/>
      <c r="L1819" s="281"/>
      <c r="M1819" s="281">
        <v>48</v>
      </c>
      <c r="N1819" s="281">
        <v>48</v>
      </c>
      <c r="O1819" s="281">
        <v>45</v>
      </c>
      <c r="P1819" s="281">
        <f t="shared" ref="P1819:S1821" si="361">$O1819</f>
        <v>45</v>
      </c>
      <c r="Q1819" s="281">
        <f t="shared" si="361"/>
        <v>45</v>
      </c>
      <c r="R1819" s="281">
        <f t="shared" si="361"/>
        <v>45</v>
      </c>
      <c r="S1819" s="281">
        <f t="shared" si="361"/>
        <v>45</v>
      </c>
    </row>
    <row r="1820" spans="5:19" x14ac:dyDescent="0.25">
      <c r="F1820" t="s">
        <v>930</v>
      </c>
      <c r="G1820" t="s">
        <v>169</v>
      </c>
      <c r="H1820" t="s">
        <v>480</v>
      </c>
      <c r="J1820" s="197">
        <f t="shared" si="360"/>
        <v>0</v>
      </c>
      <c r="K1820" s="198"/>
      <c r="L1820" s="281"/>
      <c r="M1820" s="281">
        <v>0</v>
      </c>
      <c r="N1820" s="281">
        <v>0</v>
      </c>
      <c r="O1820" s="281">
        <v>0</v>
      </c>
      <c r="P1820" s="281">
        <f t="shared" si="361"/>
        <v>0</v>
      </c>
      <c r="Q1820" s="281">
        <f t="shared" si="361"/>
        <v>0</v>
      </c>
      <c r="R1820" s="281">
        <f t="shared" si="361"/>
        <v>0</v>
      </c>
      <c r="S1820" s="281">
        <f t="shared" si="361"/>
        <v>0</v>
      </c>
    </row>
    <row r="1821" spans="5:19" x14ac:dyDescent="0.25">
      <c r="F1821" t="s">
        <v>931</v>
      </c>
      <c r="G1821" t="s">
        <v>169</v>
      </c>
      <c r="H1821" t="s">
        <v>480</v>
      </c>
      <c r="J1821" s="197">
        <f t="shared" si="360"/>
        <v>51</v>
      </c>
      <c r="K1821" s="198"/>
      <c r="L1821" s="281"/>
      <c r="M1821" s="281">
        <v>33</v>
      </c>
      <c r="N1821" s="281">
        <v>27</v>
      </c>
      <c r="O1821" s="281">
        <v>51</v>
      </c>
      <c r="P1821" s="281">
        <f t="shared" si="361"/>
        <v>51</v>
      </c>
      <c r="Q1821" s="281">
        <f t="shared" si="361"/>
        <v>51</v>
      </c>
      <c r="R1821" s="281">
        <f t="shared" si="361"/>
        <v>51</v>
      </c>
      <c r="S1821" s="281">
        <f t="shared" si="361"/>
        <v>51</v>
      </c>
    </row>
    <row r="1822" spans="5:19" x14ac:dyDescent="0.25">
      <c r="F1822" t="s">
        <v>932</v>
      </c>
      <c r="G1822" t="s">
        <v>169</v>
      </c>
      <c r="H1822" t="s">
        <v>480</v>
      </c>
      <c r="J1822" s="202"/>
      <c r="K1822" s="198"/>
      <c r="L1822" s="202"/>
      <c r="M1822" s="202"/>
      <c r="N1822" s="202"/>
      <c r="O1822" s="202"/>
      <c r="P1822" s="202"/>
      <c r="Q1822" s="202"/>
      <c r="R1822" s="202"/>
      <c r="S1822" s="202"/>
    </row>
    <row r="1823" spans="5:19" x14ac:dyDescent="0.25">
      <c r="F1823" t="s">
        <v>933</v>
      </c>
      <c r="G1823" t="s">
        <v>169</v>
      </c>
      <c r="H1823" t="s">
        <v>480</v>
      </c>
      <c r="J1823" s="202"/>
      <c r="K1823" s="198"/>
      <c r="L1823" s="202"/>
      <c r="M1823" s="202"/>
      <c r="N1823" s="202"/>
      <c r="O1823" s="202"/>
      <c r="P1823" s="202"/>
      <c r="Q1823" s="202"/>
      <c r="R1823" s="202"/>
      <c r="S1823" s="202"/>
    </row>
    <row r="1824" spans="5:19" x14ac:dyDescent="0.25">
      <c r="F1824" t="s">
        <v>934</v>
      </c>
      <c r="G1824" t="s">
        <v>169</v>
      </c>
      <c r="H1824" t="s">
        <v>480</v>
      </c>
      <c r="J1824" s="202"/>
      <c r="K1824" s="198"/>
      <c r="L1824" s="202"/>
      <c r="M1824" s="202"/>
      <c r="N1824" s="202"/>
      <c r="O1824" s="202"/>
      <c r="P1824" s="202"/>
      <c r="Q1824" s="202"/>
      <c r="R1824" s="202"/>
      <c r="S1824" s="202"/>
    </row>
    <row r="1825" spans="5:19" x14ac:dyDescent="0.25">
      <c r="F1825" t="s">
        <v>935</v>
      </c>
      <c r="G1825" t="s">
        <v>169</v>
      </c>
      <c r="H1825" t="s">
        <v>480</v>
      </c>
      <c r="J1825" s="202"/>
      <c r="K1825" s="198"/>
      <c r="L1825" s="202"/>
      <c r="M1825" s="202"/>
      <c r="N1825" s="202"/>
      <c r="O1825" s="202"/>
      <c r="P1825" s="202"/>
      <c r="Q1825" s="202"/>
      <c r="R1825" s="202"/>
      <c r="S1825" s="202"/>
    </row>
    <row r="1826" spans="5:19" x14ac:dyDescent="0.25">
      <c r="F1826" t="s">
        <v>936</v>
      </c>
      <c r="G1826" t="s">
        <v>169</v>
      </c>
      <c r="H1826" t="s">
        <v>480</v>
      </c>
      <c r="J1826" s="202"/>
      <c r="K1826" s="198"/>
      <c r="L1826" s="202"/>
      <c r="M1826" s="202"/>
      <c r="N1826" s="202"/>
      <c r="O1826" s="202"/>
      <c r="P1826" s="202"/>
      <c r="Q1826" s="202"/>
      <c r="R1826" s="202"/>
      <c r="S1826" s="202"/>
    </row>
    <row r="1827" spans="5:19" x14ac:dyDescent="0.25">
      <c r="F1827" t="s">
        <v>937</v>
      </c>
      <c r="G1827" t="s">
        <v>169</v>
      </c>
      <c r="H1827" t="s">
        <v>480</v>
      </c>
      <c r="J1827" s="202"/>
      <c r="K1827" s="198"/>
      <c r="L1827" s="202"/>
      <c r="M1827" s="202"/>
      <c r="N1827" s="202"/>
      <c r="O1827" s="202"/>
      <c r="P1827" s="202"/>
      <c r="Q1827" s="202"/>
      <c r="R1827" s="202"/>
      <c r="S1827" s="202"/>
    </row>
    <row r="1828" spans="5:19" x14ac:dyDescent="0.25">
      <c r="F1828" t="s">
        <v>938</v>
      </c>
      <c r="G1828" t="s">
        <v>169</v>
      </c>
      <c r="H1828" t="s">
        <v>480</v>
      </c>
      <c r="J1828" s="202"/>
      <c r="K1828" s="198"/>
      <c r="L1828" s="202"/>
      <c r="M1828" s="202"/>
      <c r="N1828" s="202"/>
      <c r="O1828" s="202"/>
      <c r="P1828" s="202"/>
      <c r="Q1828" s="202"/>
      <c r="R1828" s="202"/>
      <c r="S1828" s="202"/>
    </row>
    <row r="1829" spans="5:19" x14ac:dyDescent="0.25">
      <c r="F1829" t="s">
        <v>939</v>
      </c>
      <c r="G1829" t="s">
        <v>169</v>
      </c>
      <c r="H1829" t="s">
        <v>480</v>
      </c>
      <c r="J1829" s="202"/>
      <c r="K1829" s="198"/>
      <c r="L1829" s="202"/>
      <c r="M1829" s="202"/>
      <c r="N1829" s="202"/>
      <c r="O1829" s="202"/>
      <c r="P1829" s="202"/>
      <c r="Q1829" s="202"/>
      <c r="R1829" s="202"/>
      <c r="S1829" s="202"/>
    </row>
    <row r="1830" spans="5:19" x14ac:dyDescent="0.25">
      <c r="F1830" s="17" t="s">
        <v>940</v>
      </c>
      <c r="G1830" s="17" t="s">
        <v>169</v>
      </c>
      <c r="H1830" s="17" t="s">
        <v>480</v>
      </c>
      <c r="I1830" s="122"/>
      <c r="J1830" s="203"/>
      <c r="K1830" s="200"/>
      <c r="L1830" s="203"/>
      <c r="M1830" s="203"/>
      <c r="N1830" s="203"/>
      <c r="O1830" s="203"/>
      <c r="P1830" s="203"/>
      <c r="Q1830" s="203"/>
      <c r="R1830" s="203"/>
      <c r="S1830" s="203"/>
    </row>
    <row r="1831" spans="5:19" x14ac:dyDescent="0.25">
      <c r="J1831" s="198"/>
      <c r="K1831" s="198"/>
      <c r="L1831" s="198"/>
      <c r="M1831" s="198"/>
      <c r="N1831" s="198"/>
      <c r="O1831" s="198"/>
      <c r="P1831" s="198"/>
      <c r="Q1831" s="198"/>
      <c r="R1831" s="198"/>
      <c r="S1831" s="198"/>
    </row>
    <row r="1832" spans="5:19" x14ac:dyDescent="0.25">
      <c r="E1832" s="121" t="s">
        <v>204</v>
      </c>
      <c r="J1832" s="198"/>
      <c r="K1832" s="198"/>
      <c r="L1832" s="198"/>
      <c r="M1832" s="198"/>
      <c r="N1832" s="198"/>
      <c r="O1832" s="198"/>
      <c r="P1832" s="198"/>
      <c r="Q1832" s="198"/>
      <c r="R1832" s="198"/>
      <c r="S1832" s="198"/>
    </row>
    <row r="1833" spans="5:19" x14ac:dyDescent="0.25">
      <c r="F1833" s="80" t="s">
        <v>925</v>
      </c>
      <c r="G1833" s="80" t="s">
        <v>170</v>
      </c>
      <c r="H1833" s="80" t="s">
        <v>480</v>
      </c>
      <c r="I1833" s="94"/>
      <c r="J1833" s="201"/>
      <c r="K1833" s="196"/>
      <c r="L1833" s="201"/>
      <c r="M1833" s="201"/>
      <c r="N1833" s="201"/>
      <c r="O1833" s="201"/>
      <c r="P1833" s="201"/>
      <c r="Q1833" s="201"/>
      <c r="R1833" s="201"/>
      <c r="S1833" s="201"/>
    </row>
    <row r="1834" spans="5:19" x14ac:dyDescent="0.25">
      <c r="F1834" t="s">
        <v>926</v>
      </c>
      <c r="G1834" t="s">
        <v>170</v>
      </c>
      <c r="H1834" t="s">
        <v>480</v>
      </c>
      <c r="J1834" s="202"/>
      <c r="K1834" s="198"/>
      <c r="L1834" s="202"/>
      <c r="M1834" s="202"/>
      <c r="N1834" s="202"/>
      <c r="O1834" s="202"/>
      <c r="P1834" s="202"/>
      <c r="Q1834" s="202"/>
      <c r="R1834" s="202"/>
      <c r="S1834" s="202"/>
    </row>
    <row r="1835" spans="5:19" x14ac:dyDescent="0.25">
      <c r="F1835" t="s">
        <v>927</v>
      </c>
      <c r="G1835" t="s">
        <v>170</v>
      </c>
      <c r="H1835" t="s">
        <v>480</v>
      </c>
      <c r="J1835" s="202"/>
      <c r="K1835" s="198"/>
      <c r="L1835" s="202"/>
      <c r="M1835" s="202"/>
      <c r="N1835" s="202"/>
      <c r="O1835" s="202"/>
      <c r="P1835" s="202"/>
      <c r="Q1835" s="202"/>
      <c r="R1835" s="202"/>
      <c r="S1835" s="202"/>
    </row>
    <row r="1836" spans="5:19" x14ac:dyDescent="0.25">
      <c r="F1836" t="s">
        <v>928</v>
      </c>
      <c r="G1836" t="s">
        <v>170</v>
      </c>
      <c r="H1836" t="s">
        <v>480</v>
      </c>
      <c r="J1836" s="202"/>
      <c r="K1836" s="198"/>
      <c r="L1836" s="202"/>
      <c r="M1836" s="202"/>
      <c r="N1836" s="202"/>
      <c r="O1836" s="202"/>
      <c r="P1836" s="202"/>
      <c r="Q1836" s="202"/>
      <c r="R1836" s="202"/>
      <c r="S1836" s="202"/>
    </row>
    <row r="1837" spans="5:19" x14ac:dyDescent="0.25">
      <c r="F1837" t="s">
        <v>929</v>
      </c>
      <c r="G1837" t="s">
        <v>170</v>
      </c>
      <c r="H1837" t="s">
        <v>480</v>
      </c>
      <c r="J1837" s="197">
        <f t="shared" ref="J1837:J1839" si="362">CHOOSE(year_selection, L1837,M1837,N1837,O1837,P1837,Q1837,R1837,S1837)</f>
        <v>1251.598</v>
      </c>
      <c r="K1837" s="198"/>
      <c r="L1837" s="281"/>
      <c r="M1837" s="281">
        <v>1547.92</v>
      </c>
      <c r="N1837" s="281">
        <v>1474.623</v>
      </c>
      <c r="O1837" s="281">
        <v>1251.598</v>
      </c>
      <c r="P1837" s="281">
        <f t="shared" ref="P1837:S1839" si="363">$O1837</f>
        <v>1251.598</v>
      </c>
      <c r="Q1837" s="281">
        <f t="shared" si="363"/>
        <v>1251.598</v>
      </c>
      <c r="R1837" s="281">
        <f t="shared" si="363"/>
        <v>1251.598</v>
      </c>
      <c r="S1837" s="281">
        <f t="shared" si="363"/>
        <v>1251.598</v>
      </c>
    </row>
    <row r="1838" spans="5:19" x14ac:dyDescent="0.25">
      <c r="F1838" t="s">
        <v>930</v>
      </c>
      <c r="G1838" t="s">
        <v>170</v>
      </c>
      <c r="H1838" t="s">
        <v>480</v>
      </c>
      <c r="J1838" s="197">
        <f t="shared" si="362"/>
        <v>18.524000000000001</v>
      </c>
      <c r="K1838" s="198"/>
      <c r="L1838" s="281"/>
      <c r="M1838" s="281">
        <v>19.123999999999999</v>
      </c>
      <c r="N1838" s="281">
        <v>28.271999999999998</v>
      </c>
      <c r="O1838" s="281">
        <v>18.524000000000001</v>
      </c>
      <c r="P1838" s="281">
        <f t="shared" si="363"/>
        <v>18.524000000000001</v>
      </c>
      <c r="Q1838" s="281">
        <f t="shared" si="363"/>
        <v>18.524000000000001</v>
      </c>
      <c r="R1838" s="281">
        <f t="shared" si="363"/>
        <v>18.524000000000001</v>
      </c>
      <c r="S1838" s="281">
        <f t="shared" si="363"/>
        <v>18.524000000000001</v>
      </c>
    </row>
    <row r="1839" spans="5:19" x14ac:dyDescent="0.25">
      <c r="F1839" t="s">
        <v>931</v>
      </c>
      <c r="G1839" t="s">
        <v>170</v>
      </c>
      <c r="H1839" t="s">
        <v>480</v>
      </c>
      <c r="J1839" s="197">
        <f t="shared" si="362"/>
        <v>577.82799999999997</v>
      </c>
      <c r="K1839" s="198"/>
      <c r="L1839" s="281"/>
      <c r="M1839" s="281">
        <v>1256.6186577421863</v>
      </c>
      <c r="N1839" s="281">
        <v>407.68307814901254</v>
      </c>
      <c r="O1839" s="281">
        <v>577.82799999999997</v>
      </c>
      <c r="P1839" s="281">
        <f t="shared" si="363"/>
        <v>577.82799999999997</v>
      </c>
      <c r="Q1839" s="281">
        <f t="shared" si="363"/>
        <v>577.82799999999997</v>
      </c>
      <c r="R1839" s="281">
        <f t="shared" si="363"/>
        <v>577.82799999999997</v>
      </c>
      <c r="S1839" s="281">
        <f t="shared" si="363"/>
        <v>577.82799999999997</v>
      </c>
    </row>
    <row r="1840" spans="5:19" x14ac:dyDescent="0.25">
      <c r="F1840" t="s">
        <v>932</v>
      </c>
      <c r="G1840" t="s">
        <v>170</v>
      </c>
      <c r="H1840" t="s">
        <v>480</v>
      </c>
      <c r="J1840" s="202"/>
      <c r="K1840" s="198"/>
      <c r="L1840" s="202"/>
      <c r="M1840" s="202"/>
      <c r="N1840" s="202"/>
      <c r="O1840" s="202"/>
      <c r="P1840" s="202"/>
      <c r="Q1840" s="202"/>
      <c r="R1840" s="202"/>
      <c r="S1840" s="202"/>
    </row>
    <row r="1841" spans="3:21" x14ac:dyDescent="0.25">
      <c r="F1841" t="s">
        <v>933</v>
      </c>
      <c r="G1841" t="s">
        <v>170</v>
      </c>
      <c r="H1841" t="s">
        <v>480</v>
      </c>
      <c r="J1841" s="202"/>
      <c r="K1841" s="198"/>
      <c r="L1841" s="202"/>
      <c r="M1841" s="202"/>
      <c r="N1841" s="202"/>
      <c r="O1841" s="202"/>
      <c r="P1841" s="202"/>
      <c r="Q1841" s="202"/>
      <c r="R1841" s="202"/>
      <c r="S1841" s="202"/>
    </row>
    <row r="1842" spans="3:21" x14ac:dyDescent="0.25">
      <c r="F1842" t="s">
        <v>934</v>
      </c>
      <c r="G1842" t="s">
        <v>170</v>
      </c>
      <c r="H1842" t="s">
        <v>480</v>
      </c>
      <c r="J1842" s="202"/>
      <c r="K1842" s="198"/>
      <c r="L1842" s="202"/>
      <c r="M1842" s="202"/>
      <c r="N1842" s="202"/>
      <c r="O1842" s="202"/>
      <c r="P1842" s="202"/>
      <c r="Q1842" s="202"/>
      <c r="R1842" s="202"/>
      <c r="S1842" s="202"/>
    </row>
    <row r="1843" spans="3:21" x14ac:dyDescent="0.25">
      <c r="F1843" t="s">
        <v>935</v>
      </c>
      <c r="G1843" t="s">
        <v>170</v>
      </c>
      <c r="H1843" t="s">
        <v>480</v>
      </c>
      <c r="J1843" s="202"/>
      <c r="K1843" s="198"/>
      <c r="L1843" s="202"/>
      <c r="M1843" s="202"/>
      <c r="N1843" s="202"/>
      <c r="O1843" s="202"/>
      <c r="P1843" s="202"/>
      <c r="Q1843" s="202"/>
      <c r="R1843" s="202"/>
      <c r="S1843" s="202"/>
    </row>
    <row r="1844" spans="3:21" x14ac:dyDescent="0.25">
      <c r="F1844" t="s">
        <v>936</v>
      </c>
      <c r="G1844" t="s">
        <v>170</v>
      </c>
      <c r="H1844" t="s">
        <v>480</v>
      </c>
      <c r="J1844" s="202"/>
      <c r="K1844" s="198"/>
      <c r="L1844" s="202"/>
      <c r="M1844" s="202"/>
      <c r="N1844" s="202"/>
      <c r="O1844" s="202"/>
      <c r="P1844" s="202"/>
      <c r="Q1844" s="202"/>
      <c r="R1844" s="202"/>
      <c r="S1844" s="202"/>
    </row>
    <row r="1845" spans="3:21" x14ac:dyDescent="0.25">
      <c r="F1845" t="s">
        <v>937</v>
      </c>
      <c r="G1845" t="s">
        <v>170</v>
      </c>
      <c r="H1845" t="s">
        <v>480</v>
      </c>
      <c r="J1845" s="202"/>
      <c r="K1845" s="198"/>
      <c r="L1845" s="202"/>
      <c r="M1845" s="202"/>
      <c r="N1845" s="202"/>
      <c r="O1845" s="202"/>
      <c r="P1845" s="202"/>
      <c r="Q1845" s="202"/>
      <c r="R1845" s="202"/>
      <c r="S1845" s="202"/>
    </row>
    <row r="1846" spans="3:21" x14ac:dyDescent="0.25">
      <c r="F1846" t="s">
        <v>938</v>
      </c>
      <c r="G1846" t="s">
        <v>170</v>
      </c>
      <c r="H1846" t="s">
        <v>480</v>
      </c>
      <c r="J1846" s="202"/>
      <c r="K1846" s="198"/>
      <c r="L1846" s="202"/>
      <c r="M1846" s="202"/>
      <c r="N1846" s="202"/>
      <c r="O1846" s="202"/>
      <c r="P1846" s="202"/>
      <c r="Q1846" s="202"/>
      <c r="R1846" s="202"/>
      <c r="S1846" s="202"/>
    </row>
    <row r="1847" spans="3:21" x14ac:dyDescent="0.25">
      <c r="F1847" t="s">
        <v>939</v>
      </c>
      <c r="G1847" t="s">
        <v>170</v>
      </c>
      <c r="H1847" t="s">
        <v>480</v>
      </c>
      <c r="J1847" s="202"/>
      <c r="K1847" s="198"/>
      <c r="L1847" s="202"/>
      <c r="M1847" s="202"/>
      <c r="N1847" s="202"/>
      <c r="O1847" s="202"/>
      <c r="P1847" s="202"/>
      <c r="Q1847" s="202"/>
      <c r="R1847" s="202"/>
      <c r="S1847" s="202"/>
    </row>
    <row r="1848" spans="3:21" x14ac:dyDescent="0.25">
      <c r="F1848" s="17" t="s">
        <v>940</v>
      </c>
      <c r="G1848" s="17" t="s">
        <v>170</v>
      </c>
      <c r="H1848" s="17" t="s">
        <v>480</v>
      </c>
      <c r="I1848" s="122"/>
      <c r="J1848" s="203"/>
      <c r="K1848" s="200"/>
      <c r="L1848" s="203"/>
      <c r="M1848" s="203"/>
      <c r="N1848" s="203"/>
      <c r="O1848" s="203"/>
      <c r="P1848" s="203"/>
      <c r="Q1848" s="203"/>
      <c r="R1848" s="203"/>
      <c r="S1848" s="203"/>
    </row>
    <row r="1849" spans="3:21" x14ac:dyDescent="0.25">
      <c r="J1849" s="59"/>
      <c r="K1849" s="59"/>
      <c r="L1849" s="59"/>
      <c r="M1849" s="59"/>
      <c r="N1849" s="59"/>
      <c r="O1849" s="59"/>
      <c r="P1849" s="59"/>
      <c r="Q1849" s="59"/>
      <c r="R1849" s="59"/>
      <c r="S1849" s="59"/>
    </row>
    <row r="1850" spans="3:21" x14ac:dyDescent="0.25">
      <c r="C1850" s="5" t="str">
        <f ca="1">INDEX('Version control'!$H$36:$H$62,MATCH($A$1,'Version control'!$F$36:$F$62,0),1)&amp;"-Q: LDNO HV volumes - Residual band 4"</f>
        <v>Input 501-Q: LDNO HV volumes - Residual band 4</v>
      </c>
      <c r="D1850" s="5"/>
      <c r="E1850" s="5"/>
      <c r="F1850" s="5"/>
      <c r="G1850" s="5"/>
      <c r="H1850" s="5"/>
      <c r="I1850" s="143"/>
      <c r="J1850" s="205"/>
      <c r="K1850" s="205"/>
      <c r="L1850" s="205"/>
      <c r="M1850" s="205"/>
      <c r="N1850" s="205"/>
      <c r="O1850" s="205"/>
      <c r="P1850" s="205"/>
      <c r="Q1850" s="205"/>
      <c r="R1850" s="205"/>
      <c r="S1850" s="205"/>
      <c r="T1850" s="5"/>
      <c r="U1850" s="5"/>
    </row>
    <row r="1851" spans="3:21" x14ac:dyDescent="0.25">
      <c r="D1851" s="52"/>
    </row>
    <row r="1852" spans="3:21" x14ac:dyDescent="0.25">
      <c r="E1852" s="121" t="s">
        <v>199</v>
      </c>
      <c r="I1852" s="59" t="s">
        <v>359</v>
      </c>
      <c r="J1852" s="198"/>
      <c r="K1852" s="198"/>
      <c r="L1852" s="198"/>
      <c r="M1852" s="198"/>
      <c r="N1852" s="198"/>
      <c r="O1852" s="198"/>
      <c r="P1852" s="198"/>
      <c r="Q1852" s="198"/>
      <c r="R1852" s="198"/>
      <c r="S1852" s="198"/>
      <c r="U1852" t="s">
        <v>691</v>
      </c>
    </row>
    <row r="1853" spans="3:21" x14ac:dyDescent="0.25">
      <c r="F1853" s="80" t="s">
        <v>925</v>
      </c>
      <c r="G1853" s="80" t="s">
        <v>120</v>
      </c>
      <c r="H1853" s="80" t="s">
        <v>480</v>
      </c>
      <c r="I1853" s="94"/>
      <c r="J1853" s="201"/>
      <c r="K1853" s="196"/>
      <c r="L1853" s="201"/>
      <c r="M1853" s="201"/>
      <c r="N1853" s="201"/>
      <c r="O1853" s="201"/>
      <c r="P1853" s="201"/>
      <c r="Q1853" s="201"/>
      <c r="R1853" s="201"/>
      <c r="S1853" s="201"/>
    </row>
    <row r="1854" spans="3:21" x14ac:dyDescent="0.25">
      <c r="F1854" t="s">
        <v>926</v>
      </c>
      <c r="G1854" t="s">
        <v>120</v>
      </c>
      <c r="H1854" t="s">
        <v>480</v>
      </c>
      <c r="J1854" s="202"/>
      <c r="K1854" s="198"/>
      <c r="L1854" s="202"/>
      <c r="M1854" s="202"/>
      <c r="N1854" s="202"/>
      <c r="O1854" s="202"/>
      <c r="P1854" s="202"/>
      <c r="Q1854" s="202"/>
      <c r="R1854" s="202"/>
      <c r="S1854" s="202"/>
    </row>
    <row r="1855" spans="3:21" x14ac:dyDescent="0.25">
      <c r="F1855" t="s">
        <v>927</v>
      </c>
      <c r="G1855" t="s">
        <v>120</v>
      </c>
      <c r="H1855" t="s">
        <v>480</v>
      </c>
      <c r="J1855" s="197">
        <f t="shared" ref="J1855" si="364">CHOOSE(year_selection, L1855,M1855,N1855,O1855,P1855,Q1855,R1855,S1855)</f>
        <v>1205.2358848878739</v>
      </c>
      <c r="K1855" s="198"/>
      <c r="L1855" s="281"/>
      <c r="M1855" s="281">
        <v>1275.5522080405865</v>
      </c>
      <c r="N1855" s="281">
        <v>1077.0444579039452</v>
      </c>
      <c r="O1855" s="281">
        <v>1205.2358848878739</v>
      </c>
      <c r="P1855" s="281">
        <f t="shared" ref="P1855:S1859" si="365">$O1855</f>
        <v>1205.2358848878739</v>
      </c>
      <c r="Q1855" s="281">
        <f t="shared" si="365"/>
        <v>1205.2358848878739</v>
      </c>
      <c r="R1855" s="281">
        <f t="shared" si="365"/>
        <v>1205.2358848878739</v>
      </c>
      <c r="S1855" s="281">
        <f t="shared" si="365"/>
        <v>1205.2358848878739</v>
      </c>
    </row>
    <row r="1856" spans="3:21" x14ac:dyDescent="0.25">
      <c r="F1856" t="s">
        <v>928</v>
      </c>
      <c r="G1856" t="s">
        <v>120</v>
      </c>
      <c r="H1856" t="s">
        <v>480</v>
      </c>
      <c r="J1856" s="202"/>
      <c r="K1856" s="198"/>
      <c r="L1856" s="202"/>
      <c r="M1856" s="202"/>
      <c r="N1856" s="202"/>
      <c r="O1856" s="202"/>
      <c r="P1856" s="202"/>
      <c r="Q1856" s="202"/>
      <c r="R1856" s="202"/>
      <c r="S1856" s="202"/>
    </row>
    <row r="1857" spans="5:19" x14ac:dyDescent="0.25">
      <c r="F1857" t="s">
        <v>929</v>
      </c>
      <c r="G1857" t="s">
        <v>120</v>
      </c>
      <c r="H1857" t="s">
        <v>480</v>
      </c>
      <c r="J1857" s="197">
        <f t="shared" ref="J1857:J1859" si="366">CHOOSE(year_selection, L1857,M1857,N1857,O1857,P1857,Q1857,R1857,S1857)</f>
        <v>10015.193994900874</v>
      </c>
      <c r="K1857" s="198"/>
      <c r="L1857" s="281"/>
      <c r="M1857" s="281">
        <v>9310.108567516505</v>
      </c>
      <c r="N1857" s="281">
        <v>9051.8952265305561</v>
      </c>
      <c r="O1857" s="281">
        <v>10015.193994900874</v>
      </c>
      <c r="P1857" s="281">
        <f t="shared" si="365"/>
        <v>10015.193994900874</v>
      </c>
      <c r="Q1857" s="281">
        <f t="shared" si="365"/>
        <v>10015.193994900874</v>
      </c>
      <c r="R1857" s="281">
        <f t="shared" si="365"/>
        <v>10015.193994900874</v>
      </c>
      <c r="S1857" s="281">
        <f t="shared" si="365"/>
        <v>10015.193994900874</v>
      </c>
    </row>
    <row r="1858" spans="5:19" x14ac:dyDescent="0.25">
      <c r="F1858" t="s">
        <v>930</v>
      </c>
      <c r="G1858" t="s">
        <v>120</v>
      </c>
      <c r="H1858" t="s">
        <v>480</v>
      </c>
      <c r="J1858" s="197">
        <f t="shared" si="366"/>
        <v>3162.4414691739385</v>
      </c>
      <c r="K1858" s="198"/>
      <c r="L1858" s="281"/>
      <c r="M1858" s="281">
        <v>2673.6541696630225</v>
      </c>
      <c r="N1858" s="281">
        <v>2997.5270621126078</v>
      </c>
      <c r="O1858" s="281">
        <v>3162.4414691739385</v>
      </c>
      <c r="P1858" s="281">
        <f t="shared" si="365"/>
        <v>3162.4414691739385</v>
      </c>
      <c r="Q1858" s="281">
        <f t="shared" si="365"/>
        <v>3162.4414691739385</v>
      </c>
      <c r="R1858" s="281">
        <f t="shared" si="365"/>
        <v>3162.4414691739385</v>
      </c>
      <c r="S1858" s="281">
        <f t="shared" si="365"/>
        <v>3162.4414691739385</v>
      </c>
    </row>
    <row r="1859" spans="5:19" x14ac:dyDescent="0.25">
      <c r="F1859" t="s">
        <v>931</v>
      </c>
      <c r="G1859" t="s">
        <v>120</v>
      </c>
      <c r="H1859" t="s">
        <v>480</v>
      </c>
      <c r="J1859" s="197">
        <f t="shared" si="366"/>
        <v>2811.7135510370663</v>
      </c>
      <c r="K1859" s="198"/>
      <c r="L1859" s="281"/>
      <c r="M1859" s="281">
        <v>2103.9831905951246</v>
      </c>
      <c r="N1859" s="281">
        <v>2083.8368375324012</v>
      </c>
      <c r="O1859" s="281">
        <v>2811.7135510370663</v>
      </c>
      <c r="P1859" s="281">
        <f t="shared" si="365"/>
        <v>2811.7135510370663</v>
      </c>
      <c r="Q1859" s="281">
        <f t="shared" si="365"/>
        <v>2811.7135510370663</v>
      </c>
      <c r="R1859" s="281">
        <f t="shared" si="365"/>
        <v>2811.7135510370663</v>
      </c>
      <c r="S1859" s="281">
        <f t="shared" si="365"/>
        <v>2811.7135510370663</v>
      </c>
    </row>
    <row r="1860" spans="5:19" x14ac:dyDescent="0.25">
      <c r="F1860" t="s">
        <v>932</v>
      </c>
      <c r="G1860" t="s">
        <v>120</v>
      </c>
      <c r="H1860" t="s">
        <v>480</v>
      </c>
      <c r="J1860" s="202"/>
      <c r="K1860" s="198"/>
      <c r="L1860" s="202"/>
      <c r="M1860" s="202"/>
      <c r="N1860" s="202"/>
      <c r="O1860" s="202"/>
      <c r="P1860" s="202"/>
      <c r="Q1860" s="202"/>
      <c r="R1860" s="202"/>
      <c r="S1860" s="202"/>
    </row>
    <row r="1861" spans="5:19" x14ac:dyDescent="0.25">
      <c r="F1861" t="s">
        <v>933</v>
      </c>
      <c r="G1861" t="s">
        <v>120</v>
      </c>
      <c r="H1861" t="s">
        <v>480</v>
      </c>
      <c r="J1861" s="202"/>
      <c r="K1861" s="198"/>
      <c r="L1861" s="202"/>
      <c r="M1861" s="202"/>
      <c r="N1861" s="202"/>
      <c r="O1861" s="202"/>
      <c r="P1861" s="202"/>
      <c r="Q1861" s="202"/>
      <c r="R1861" s="202"/>
      <c r="S1861" s="202"/>
    </row>
    <row r="1862" spans="5:19" x14ac:dyDescent="0.25">
      <c r="F1862" t="s">
        <v>934</v>
      </c>
      <c r="G1862" t="s">
        <v>120</v>
      </c>
      <c r="H1862" t="s">
        <v>480</v>
      </c>
      <c r="J1862" s="202"/>
      <c r="K1862" s="198"/>
      <c r="L1862" s="202"/>
      <c r="M1862" s="202"/>
      <c r="N1862" s="202"/>
      <c r="O1862" s="202"/>
      <c r="P1862" s="202"/>
      <c r="Q1862" s="202"/>
      <c r="R1862" s="202"/>
      <c r="S1862" s="202"/>
    </row>
    <row r="1863" spans="5:19" x14ac:dyDescent="0.25">
      <c r="F1863" t="s">
        <v>935</v>
      </c>
      <c r="G1863" t="s">
        <v>120</v>
      </c>
      <c r="H1863" t="s">
        <v>480</v>
      </c>
      <c r="J1863" s="202"/>
      <c r="K1863" s="198"/>
      <c r="L1863" s="202"/>
      <c r="M1863" s="202"/>
      <c r="N1863" s="202"/>
      <c r="O1863" s="202"/>
      <c r="P1863" s="202"/>
      <c r="Q1863" s="202"/>
      <c r="R1863" s="202"/>
      <c r="S1863" s="202"/>
    </row>
    <row r="1864" spans="5:19" x14ac:dyDescent="0.25">
      <c r="F1864" t="s">
        <v>936</v>
      </c>
      <c r="G1864" t="s">
        <v>120</v>
      </c>
      <c r="H1864" t="s">
        <v>480</v>
      </c>
      <c r="J1864" s="202"/>
      <c r="K1864" s="198"/>
      <c r="L1864" s="202"/>
      <c r="M1864" s="202"/>
      <c r="N1864" s="202"/>
      <c r="O1864" s="202"/>
      <c r="P1864" s="202"/>
      <c r="Q1864" s="202"/>
      <c r="R1864" s="202"/>
      <c r="S1864" s="202"/>
    </row>
    <row r="1865" spans="5:19" x14ac:dyDescent="0.25">
      <c r="F1865" t="s">
        <v>937</v>
      </c>
      <c r="G1865" t="s">
        <v>120</v>
      </c>
      <c r="H1865" t="s">
        <v>480</v>
      </c>
      <c r="J1865" s="202"/>
      <c r="K1865" s="198"/>
      <c r="L1865" s="202"/>
      <c r="M1865" s="202"/>
      <c r="N1865" s="202"/>
      <c r="O1865" s="202"/>
      <c r="P1865" s="202"/>
      <c r="Q1865" s="202"/>
      <c r="R1865" s="202"/>
      <c r="S1865" s="202"/>
    </row>
    <row r="1866" spans="5:19" x14ac:dyDescent="0.25">
      <c r="F1866" t="s">
        <v>938</v>
      </c>
      <c r="G1866" t="s">
        <v>120</v>
      </c>
      <c r="H1866" t="s">
        <v>480</v>
      </c>
      <c r="J1866" s="202"/>
      <c r="K1866" s="198"/>
      <c r="L1866" s="202"/>
      <c r="M1866" s="202"/>
      <c r="N1866" s="202"/>
      <c r="O1866" s="202"/>
      <c r="P1866" s="202"/>
      <c r="Q1866" s="202"/>
      <c r="R1866" s="202"/>
      <c r="S1866" s="202"/>
    </row>
    <row r="1867" spans="5:19" x14ac:dyDescent="0.25">
      <c r="F1867" t="s">
        <v>939</v>
      </c>
      <c r="G1867" t="s">
        <v>120</v>
      </c>
      <c r="H1867" t="s">
        <v>480</v>
      </c>
      <c r="J1867" s="202"/>
      <c r="K1867" s="198"/>
      <c r="L1867" s="202"/>
      <c r="M1867" s="202"/>
      <c r="N1867" s="202"/>
      <c r="O1867" s="202"/>
      <c r="P1867" s="202"/>
      <c r="Q1867" s="202"/>
      <c r="R1867" s="202"/>
      <c r="S1867" s="202"/>
    </row>
    <row r="1868" spans="5:19" x14ac:dyDescent="0.25">
      <c r="F1868" s="17" t="s">
        <v>940</v>
      </c>
      <c r="G1868" s="17" t="s">
        <v>120</v>
      </c>
      <c r="H1868" s="17" t="s">
        <v>480</v>
      </c>
      <c r="I1868" s="122"/>
      <c r="J1868" s="203"/>
      <c r="K1868" s="200"/>
      <c r="L1868" s="203"/>
      <c r="M1868" s="203"/>
      <c r="N1868" s="203"/>
      <c r="O1868" s="203"/>
      <c r="P1868" s="203"/>
      <c r="Q1868" s="203"/>
      <c r="R1868" s="203"/>
      <c r="S1868" s="203"/>
    </row>
    <row r="1869" spans="5:19" x14ac:dyDescent="0.25">
      <c r="J1869" s="198"/>
      <c r="K1869" s="198"/>
      <c r="L1869" s="198"/>
      <c r="M1869" s="198"/>
      <c r="N1869" s="198"/>
      <c r="O1869" s="198"/>
      <c r="P1869" s="198"/>
      <c r="Q1869" s="198"/>
      <c r="R1869" s="198"/>
      <c r="S1869" s="198"/>
    </row>
    <row r="1870" spans="5:19" x14ac:dyDescent="0.25">
      <c r="E1870" s="121" t="s">
        <v>200</v>
      </c>
      <c r="J1870" s="198"/>
      <c r="K1870" s="198"/>
      <c r="L1870" s="198"/>
      <c r="M1870" s="198"/>
      <c r="N1870" s="198"/>
      <c r="O1870" s="198"/>
      <c r="P1870" s="198"/>
      <c r="Q1870" s="198"/>
      <c r="R1870" s="198"/>
      <c r="S1870" s="198"/>
    </row>
    <row r="1871" spans="5:19" x14ac:dyDescent="0.25">
      <c r="F1871" s="80" t="s">
        <v>925</v>
      </c>
      <c r="G1871" s="80" t="s">
        <v>120</v>
      </c>
      <c r="H1871" s="80" t="s">
        <v>480</v>
      </c>
      <c r="I1871" s="94"/>
      <c r="J1871" s="201"/>
      <c r="K1871" s="196"/>
      <c r="L1871" s="201"/>
      <c r="M1871" s="201"/>
      <c r="N1871" s="201"/>
      <c r="O1871" s="201"/>
      <c r="P1871" s="201"/>
      <c r="Q1871" s="201"/>
      <c r="R1871" s="201"/>
      <c r="S1871" s="201"/>
    </row>
    <row r="1872" spans="5:19" x14ac:dyDescent="0.25">
      <c r="F1872" t="s">
        <v>926</v>
      </c>
      <c r="G1872" t="s">
        <v>120</v>
      </c>
      <c r="H1872" t="s">
        <v>480</v>
      </c>
      <c r="J1872" s="202"/>
      <c r="K1872" s="198"/>
      <c r="L1872" s="202"/>
      <c r="M1872" s="202"/>
      <c r="N1872" s="202"/>
      <c r="O1872" s="202"/>
      <c r="P1872" s="202"/>
      <c r="Q1872" s="202"/>
      <c r="R1872" s="202"/>
      <c r="S1872" s="202"/>
    </row>
    <row r="1873" spans="5:19" x14ac:dyDescent="0.25">
      <c r="F1873" t="s">
        <v>927</v>
      </c>
      <c r="G1873" t="s">
        <v>120</v>
      </c>
      <c r="H1873" t="s">
        <v>480</v>
      </c>
      <c r="J1873" s="197">
        <f t="shared" ref="J1873" si="367">CHOOSE(year_selection, L1873,M1873,N1873,O1873,P1873,Q1873,R1873,S1873)</f>
        <v>6253.8283418881465</v>
      </c>
      <c r="K1873" s="198"/>
      <c r="L1873" s="281"/>
      <c r="M1873" s="281">
        <v>6904.3427406932906</v>
      </c>
      <c r="N1873" s="281">
        <v>5830.4160084533096</v>
      </c>
      <c r="O1873" s="281">
        <v>6253.8283418881465</v>
      </c>
      <c r="P1873" s="281">
        <f t="shared" ref="P1873:S1877" si="368">$O1873</f>
        <v>6253.8283418881465</v>
      </c>
      <c r="Q1873" s="281">
        <f t="shared" si="368"/>
        <v>6253.8283418881465</v>
      </c>
      <c r="R1873" s="281">
        <f t="shared" si="368"/>
        <v>6253.8283418881465</v>
      </c>
      <c r="S1873" s="281">
        <f t="shared" si="368"/>
        <v>6253.8283418881465</v>
      </c>
    </row>
    <row r="1874" spans="5:19" x14ac:dyDescent="0.25">
      <c r="F1874" t="s">
        <v>928</v>
      </c>
      <c r="G1874" t="s">
        <v>120</v>
      </c>
      <c r="H1874" t="s">
        <v>480</v>
      </c>
      <c r="J1874" s="202"/>
      <c r="K1874" s="198"/>
      <c r="L1874" s="202"/>
      <c r="M1874" s="202"/>
      <c r="N1874" s="202"/>
      <c r="O1874" s="202"/>
      <c r="P1874" s="202"/>
      <c r="Q1874" s="202"/>
      <c r="R1874" s="202"/>
      <c r="S1874" s="202"/>
    </row>
    <row r="1875" spans="5:19" x14ac:dyDescent="0.25">
      <c r="F1875" t="s">
        <v>929</v>
      </c>
      <c r="G1875" t="s">
        <v>120</v>
      </c>
      <c r="H1875" t="s">
        <v>480</v>
      </c>
      <c r="J1875" s="197">
        <f t="shared" ref="J1875:J1877" si="369">CHOOSE(year_selection, L1875,M1875,N1875,O1875,P1875,Q1875,R1875,S1875)</f>
        <v>44275.594329483574</v>
      </c>
      <c r="K1875" s="198"/>
      <c r="L1875" s="281"/>
      <c r="M1875" s="281">
        <v>41309.152211897082</v>
      </c>
      <c r="N1875" s="281">
        <v>40163.894418763542</v>
      </c>
      <c r="O1875" s="281">
        <v>44275.594329483574</v>
      </c>
      <c r="P1875" s="281">
        <f t="shared" si="368"/>
        <v>44275.594329483574</v>
      </c>
      <c r="Q1875" s="281">
        <f t="shared" si="368"/>
        <v>44275.594329483574</v>
      </c>
      <c r="R1875" s="281">
        <f t="shared" si="368"/>
        <v>44275.594329483574</v>
      </c>
      <c r="S1875" s="281">
        <f t="shared" si="368"/>
        <v>44275.594329483574</v>
      </c>
    </row>
    <row r="1876" spans="5:19" x14ac:dyDescent="0.25">
      <c r="F1876" t="s">
        <v>930</v>
      </c>
      <c r="G1876" t="s">
        <v>120</v>
      </c>
      <c r="H1876" t="s">
        <v>480</v>
      </c>
      <c r="J1876" s="197">
        <f t="shared" si="369"/>
        <v>14429.673386019347</v>
      </c>
      <c r="K1876" s="198"/>
      <c r="L1876" s="281"/>
      <c r="M1876" s="281">
        <v>11693.068598995853</v>
      </c>
      <c r="N1876" s="281">
        <v>13109.303005393404</v>
      </c>
      <c r="O1876" s="281">
        <v>14429.673386019347</v>
      </c>
      <c r="P1876" s="281">
        <f t="shared" si="368"/>
        <v>14429.673386019347</v>
      </c>
      <c r="Q1876" s="281">
        <f t="shared" si="368"/>
        <v>14429.673386019347</v>
      </c>
      <c r="R1876" s="281">
        <f t="shared" si="368"/>
        <v>14429.673386019347</v>
      </c>
      <c r="S1876" s="281">
        <f t="shared" si="368"/>
        <v>14429.673386019347</v>
      </c>
    </row>
    <row r="1877" spans="5:19" x14ac:dyDescent="0.25">
      <c r="F1877" t="s">
        <v>931</v>
      </c>
      <c r="G1877" t="s">
        <v>120</v>
      </c>
      <c r="H1877" t="s">
        <v>480</v>
      </c>
      <c r="J1877" s="197">
        <f t="shared" si="369"/>
        <v>12445.319244932612</v>
      </c>
      <c r="K1877" s="198"/>
      <c r="L1877" s="281"/>
      <c r="M1877" s="281">
        <v>9428.4776948955096</v>
      </c>
      <c r="N1877" s="281">
        <v>9338.5849042207046</v>
      </c>
      <c r="O1877" s="281">
        <v>12445.319244932612</v>
      </c>
      <c r="P1877" s="281">
        <f t="shared" si="368"/>
        <v>12445.319244932612</v>
      </c>
      <c r="Q1877" s="281">
        <f t="shared" si="368"/>
        <v>12445.319244932612</v>
      </c>
      <c r="R1877" s="281">
        <f t="shared" si="368"/>
        <v>12445.319244932612</v>
      </c>
      <c r="S1877" s="281">
        <f t="shared" si="368"/>
        <v>12445.319244932612</v>
      </c>
    </row>
    <row r="1878" spans="5:19" x14ac:dyDescent="0.25">
      <c r="F1878" t="s">
        <v>932</v>
      </c>
      <c r="G1878" t="s">
        <v>120</v>
      </c>
      <c r="H1878" t="s">
        <v>480</v>
      </c>
      <c r="J1878" s="202"/>
      <c r="K1878" s="198"/>
      <c r="L1878" s="202"/>
      <c r="M1878" s="202"/>
      <c r="N1878" s="202"/>
      <c r="O1878" s="202"/>
      <c r="P1878" s="202"/>
      <c r="Q1878" s="202"/>
      <c r="R1878" s="202"/>
      <c r="S1878" s="202"/>
    </row>
    <row r="1879" spans="5:19" x14ac:dyDescent="0.25">
      <c r="F1879" t="s">
        <v>933</v>
      </c>
      <c r="G1879" t="s">
        <v>120</v>
      </c>
      <c r="H1879" t="s">
        <v>480</v>
      </c>
      <c r="J1879" s="202"/>
      <c r="K1879" s="198"/>
      <c r="L1879" s="202"/>
      <c r="M1879" s="202"/>
      <c r="N1879" s="202"/>
      <c r="O1879" s="202"/>
      <c r="P1879" s="202"/>
      <c r="Q1879" s="202"/>
      <c r="R1879" s="202"/>
      <c r="S1879" s="202"/>
    </row>
    <row r="1880" spans="5:19" x14ac:dyDescent="0.25">
      <c r="F1880" t="s">
        <v>934</v>
      </c>
      <c r="G1880" t="s">
        <v>120</v>
      </c>
      <c r="H1880" t="s">
        <v>480</v>
      </c>
      <c r="J1880" s="202"/>
      <c r="K1880" s="198"/>
      <c r="L1880" s="202"/>
      <c r="M1880" s="202"/>
      <c r="N1880" s="202"/>
      <c r="O1880" s="202"/>
      <c r="P1880" s="202"/>
      <c r="Q1880" s="202"/>
      <c r="R1880" s="202"/>
      <c r="S1880" s="202"/>
    </row>
    <row r="1881" spans="5:19" x14ac:dyDescent="0.25">
      <c r="F1881" t="s">
        <v>935</v>
      </c>
      <c r="G1881" t="s">
        <v>120</v>
      </c>
      <c r="H1881" t="s">
        <v>480</v>
      </c>
      <c r="J1881" s="202"/>
      <c r="K1881" s="198"/>
      <c r="L1881" s="202"/>
      <c r="M1881" s="202"/>
      <c r="N1881" s="202"/>
      <c r="O1881" s="202"/>
      <c r="P1881" s="202"/>
      <c r="Q1881" s="202"/>
      <c r="R1881" s="202"/>
      <c r="S1881" s="202"/>
    </row>
    <row r="1882" spans="5:19" x14ac:dyDescent="0.25">
      <c r="F1882" t="s">
        <v>936</v>
      </c>
      <c r="G1882" t="s">
        <v>120</v>
      </c>
      <c r="H1882" t="s">
        <v>480</v>
      </c>
      <c r="J1882" s="202"/>
      <c r="K1882" s="198"/>
      <c r="L1882" s="202"/>
      <c r="M1882" s="202"/>
      <c r="N1882" s="202"/>
      <c r="O1882" s="202"/>
      <c r="P1882" s="202"/>
      <c r="Q1882" s="202"/>
      <c r="R1882" s="202"/>
      <c r="S1882" s="202"/>
    </row>
    <row r="1883" spans="5:19" x14ac:dyDescent="0.25">
      <c r="F1883" t="s">
        <v>937</v>
      </c>
      <c r="G1883" t="s">
        <v>120</v>
      </c>
      <c r="H1883" t="s">
        <v>480</v>
      </c>
      <c r="J1883" s="202"/>
      <c r="K1883" s="198"/>
      <c r="L1883" s="202"/>
      <c r="M1883" s="202"/>
      <c r="N1883" s="202"/>
      <c r="O1883" s="202"/>
      <c r="P1883" s="202"/>
      <c r="Q1883" s="202"/>
      <c r="R1883" s="202"/>
      <c r="S1883" s="202"/>
    </row>
    <row r="1884" spans="5:19" x14ac:dyDescent="0.25">
      <c r="F1884" t="s">
        <v>938</v>
      </c>
      <c r="G1884" t="s">
        <v>120</v>
      </c>
      <c r="H1884" t="s">
        <v>480</v>
      </c>
      <c r="J1884" s="202"/>
      <c r="K1884" s="198"/>
      <c r="L1884" s="202"/>
      <c r="M1884" s="202"/>
      <c r="N1884" s="202"/>
      <c r="O1884" s="202"/>
      <c r="P1884" s="202"/>
      <c r="Q1884" s="202"/>
      <c r="R1884" s="202"/>
      <c r="S1884" s="202"/>
    </row>
    <row r="1885" spans="5:19" x14ac:dyDescent="0.25">
      <c r="F1885" t="s">
        <v>939</v>
      </c>
      <c r="G1885" t="s">
        <v>120</v>
      </c>
      <c r="H1885" t="s">
        <v>480</v>
      </c>
      <c r="J1885" s="202"/>
      <c r="K1885" s="198"/>
      <c r="L1885" s="202"/>
      <c r="M1885" s="202"/>
      <c r="N1885" s="202"/>
      <c r="O1885" s="202"/>
      <c r="P1885" s="202"/>
      <c r="Q1885" s="202"/>
      <c r="R1885" s="202"/>
      <c r="S1885" s="202"/>
    </row>
    <row r="1886" spans="5:19" x14ac:dyDescent="0.25">
      <c r="F1886" s="17" t="s">
        <v>940</v>
      </c>
      <c r="G1886" s="17" t="s">
        <v>120</v>
      </c>
      <c r="H1886" s="17" t="s">
        <v>480</v>
      </c>
      <c r="I1886" s="122"/>
      <c r="J1886" s="203"/>
      <c r="K1886" s="200"/>
      <c r="L1886" s="203"/>
      <c r="M1886" s="203"/>
      <c r="N1886" s="203"/>
      <c r="O1886" s="203"/>
      <c r="P1886" s="203"/>
      <c r="Q1886" s="203"/>
      <c r="R1886" s="203"/>
      <c r="S1886" s="203"/>
    </row>
    <row r="1887" spans="5:19" x14ac:dyDescent="0.25">
      <c r="J1887" s="198"/>
      <c r="K1887" s="198"/>
      <c r="L1887" s="198"/>
      <c r="M1887" s="198"/>
      <c r="N1887" s="198"/>
      <c r="O1887" s="198"/>
      <c r="P1887" s="198"/>
      <c r="Q1887" s="198"/>
      <c r="R1887" s="198"/>
      <c r="S1887" s="198"/>
    </row>
    <row r="1888" spans="5:19" x14ac:dyDescent="0.25">
      <c r="E1888" s="121" t="s">
        <v>201</v>
      </c>
      <c r="J1888" s="198"/>
      <c r="K1888" s="198"/>
      <c r="L1888" s="198"/>
      <c r="M1888" s="198"/>
      <c r="N1888" s="198"/>
      <c r="O1888" s="198"/>
      <c r="P1888" s="198"/>
      <c r="Q1888" s="198"/>
      <c r="R1888" s="198"/>
      <c r="S1888" s="198"/>
    </row>
    <row r="1889" spans="6:19" x14ac:dyDescent="0.25">
      <c r="F1889" s="80" t="s">
        <v>925</v>
      </c>
      <c r="G1889" s="80" t="s">
        <v>120</v>
      </c>
      <c r="H1889" s="80" t="s">
        <v>480</v>
      </c>
      <c r="I1889" s="94"/>
      <c r="J1889" s="201"/>
      <c r="K1889" s="196"/>
      <c r="L1889" s="201"/>
      <c r="M1889" s="201"/>
      <c r="N1889" s="201"/>
      <c r="O1889" s="201"/>
      <c r="P1889" s="201"/>
      <c r="Q1889" s="201"/>
      <c r="R1889" s="201"/>
      <c r="S1889" s="201"/>
    </row>
    <row r="1890" spans="6:19" x14ac:dyDescent="0.25">
      <c r="F1890" t="s">
        <v>926</v>
      </c>
      <c r="G1890" t="s">
        <v>120</v>
      </c>
      <c r="H1890" t="s">
        <v>480</v>
      </c>
      <c r="J1890" s="202"/>
      <c r="K1890" s="198"/>
      <c r="L1890" s="202"/>
      <c r="M1890" s="202"/>
      <c r="N1890" s="202"/>
      <c r="O1890" s="202"/>
      <c r="P1890" s="202"/>
      <c r="Q1890" s="202"/>
      <c r="R1890" s="202"/>
      <c r="S1890" s="202"/>
    </row>
    <row r="1891" spans="6:19" x14ac:dyDescent="0.25">
      <c r="F1891" t="s">
        <v>927</v>
      </c>
      <c r="G1891" t="s">
        <v>120</v>
      </c>
      <c r="H1891" t="s">
        <v>480</v>
      </c>
      <c r="J1891" s="197">
        <f t="shared" ref="J1891" si="370">CHOOSE(year_selection, L1891,M1891,N1891,O1891,P1891,Q1891,R1891,S1891)</f>
        <v>4877.9199847500777</v>
      </c>
      <c r="K1891" s="198"/>
      <c r="L1891" s="281"/>
      <c r="M1891" s="281">
        <v>6665.2620654961975</v>
      </c>
      <c r="N1891" s="281">
        <v>5629.7513645797753</v>
      </c>
      <c r="O1891" s="281">
        <v>4877.9199847500777</v>
      </c>
      <c r="P1891" s="281">
        <f t="shared" ref="P1891:S1895" si="371">$O1891</f>
        <v>4877.9199847500777</v>
      </c>
      <c r="Q1891" s="281">
        <f t="shared" si="371"/>
        <v>4877.9199847500777</v>
      </c>
      <c r="R1891" s="281">
        <f t="shared" si="371"/>
        <v>4877.9199847500777</v>
      </c>
      <c r="S1891" s="281">
        <f t="shared" si="371"/>
        <v>4877.9199847500777</v>
      </c>
    </row>
    <row r="1892" spans="6:19" x14ac:dyDescent="0.25">
      <c r="F1892" t="s">
        <v>928</v>
      </c>
      <c r="G1892" t="s">
        <v>120</v>
      </c>
      <c r="H1892" t="s">
        <v>480</v>
      </c>
      <c r="J1892" s="202"/>
      <c r="K1892" s="198"/>
      <c r="L1892" s="202"/>
      <c r="M1892" s="202"/>
      <c r="N1892" s="202"/>
      <c r="O1892" s="202"/>
      <c r="P1892" s="202"/>
      <c r="Q1892" s="202"/>
      <c r="R1892" s="202"/>
      <c r="S1892" s="202"/>
    </row>
    <row r="1893" spans="6:19" x14ac:dyDescent="0.25">
      <c r="F1893" t="s">
        <v>929</v>
      </c>
      <c r="G1893" t="s">
        <v>120</v>
      </c>
      <c r="H1893" t="s">
        <v>480</v>
      </c>
      <c r="J1893" s="197">
        <f t="shared" ref="J1893:J1895" si="372">CHOOSE(year_selection, L1893,M1893,N1893,O1893,P1893,Q1893,R1893,S1893)</f>
        <v>40324.177013301523</v>
      </c>
      <c r="K1893" s="198"/>
      <c r="L1893" s="281"/>
      <c r="M1893" s="281">
        <v>35803.848624792241</v>
      </c>
      <c r="N1893" s="281">
        <v>34816.62153438697</v>
      </c>
      <c r="O1893" s="281">
        <v>40324.177013301523</v>
      </c>
      <c r="P1893" s="281">
        <f t="shared" si="371"/>
        <v>40324.177013301523</v>
      </c>
      <c r="Q1893" s="281">
        <f t="shared" si="371"/>
        <v>40324.177013301523</v>
      </c>
      <c r="R1893" s="281">
        <f t="shared" si="371"/>
        <v>40324.177013301523</v>
      </c>
      <c r="S1893" s="281">
        <f t="shared" si="371"/>
        <v>40324.177013301523</v>
      </c>
    </row>
    <row r="1894" spans="6:19" x14ac:dyDescent="0.25">
      <c r="F1894" t="s">
        <v>930</v>
      </c>
      <c r="G1894" t="s">
        <v>120</v>
      </c>
      <c r="H1894" t="s">
        <v>480</v>
      </c>
      <c r="J1894" s="197">
        <f t="shared" si="372"/>
        <v>13250.293855011902</v>
      </c>
      <c r="K1894" s="198"/>
      <c r="L1894" s="281"/>
      <c r="M1894" s="281">
        <v>10286.197308623101</v>
      </c>
      <c r="N1894" s="281">
        <v>11535.165710450687</v>
      </c>
      <c r="O1894" s="281">
        <v>13250.293855011902</v>
      </c>
      <c r="P1894" s="281">
        <f t="shared" si="371"/>
        <v>13250.293855011902</v>
      </c>
      <c r="Q1894" s="281">
        <f t="shared" si="371"/>
        <v>13250.293855011902</v>
      </c>
      <c r="R1894" s="281">
        <f t="shared" si="371"/>
        <v>13250.293855011902</v>
      </c>
      <c r="S1894" s="281">
        <f t="shared" si="371"/>
        <v>13250.293855011902</v>
      </c>
    </row>
    <row r="1895" spans="6:19" x14ac:dyDescent="0.25">
      <c r="F1895" t="s">
        <v>931</v>
      </c>
      <c r="G1895" t="s">
        <v>120</v>
      </c>
      <c r="H1895" t="s">
        <v>480</v>
      </c>
      <c r="J1895" s="197">
        <f t="shared" si="372"/>
        <v>14586.647783117507</v>
      </c>
      <c r="K1895" s="198"/>
      <c r="L1895" s="281"/>
      <c r="M1895" s="281">
        <v>10285.991904152568</v>
      </c>
      <c r="N1895" s="281">
        <v>10189.287942402309</v>
      </c>
      <c r="O1895" s="281">
        <v>14586.647783117507</v>
      </c>
      <c r="P1895" s="281">
        <f t="shared" si="371"/>
        <v>14586.647783117507</v>
      </c>
      <c r="Q1895" s="281">
        <f t="shared" si="371"/>
        <v>14586.647783117507</v>
      </c>
      <c r="R1895" s="281">
        <f t="shared" si="371"/>
        <v>14586.647783117507</v>
      </c>
      <c r="S1895" s="281">
        <f t="shared" si="371"/>
        <v>14586.647783117507</v>
      </c>
    </row>
    <row r="1896" spans="6:19" x14ac:dyDescent="0.25">
      <c r="F1896" t="s">
        <v>932</v>
      </c>
      <c r="G1896" t="s">
        <v>120</v>
      </c>
      <c r="H1896" t="s">
        <v>480</v>
      </c>
      <c r="J1896" s="202"/>
      <c r="K1896" s="198"/>
      <c r="L1896" s="202"/>
      <c r="M1896" s="202"/>
      <c r="N1896" s="202"/>
      <c r="O1896" s="202"/>
      <c r="P1896" s="202"/>
      <c r="Q1896" s="202"/>
      <c r="R1896" s="202"/>
      <c r="S1896" s="202"/>
    </row>
    <row r="1897" spans="6:19" x14ac:dyDescent="0.25">
      <c r="F1897" t="s">
        <v>933</v>
      </c>
      <c r="G1897" t="s">
        <v>120</v>
      </c>
      <c r="H1897" t="s">
        <v>480</v>
      </c>
      <c r="J1897" s="202"/>
      <c r="K1897" s="198"/>
      <c r="L1897" s="202"/>
      <c r="M1897" s="202"/>
      <c r="N1897" s="202"/>
      <c r="O1897" s="202"/>
      <c r="P1897" s="202"/>
      <c r="Q1897" s="202"/>
      <c r="R1897" s="202"/>
      <c r="S1897" s="202"/>
    </row>
    <row r="1898" spans="6:19" x14ac:dyDescent="0.25">
      <c r="F1898" t="s">
        <v>934</v>
      </c>
      <c r="G1898" t="s">
        <v>120</v>
      </c>
      <c r="H1898" t="s">
        <v>480</v>
      </c>
      <c r="J1898" s="202"/>
      <c r="K1898" s="198"/>
      <c r="L1898" s="202"/>
      <c r="M1898" s="202"/>
      <c r="N1898" s="202"/>
      <c r="O1898" s="202"/>
      <c r="P1898" s="202"/>
      <c r="Q1898" s="202"/>
      <c r="R1898" s="202"/>
      <c r="S1898" s="202"/>
    </row>
    <row r="1899" spans="6:19" x14ac:dyDescent="0.25">
      <c r="F1899" t="s">
        <v>935</v>
      </c>
      <c r="G1899" t="s">
        <v>120</v>
      </c>
      <c r="H1899" t="s">
        <v>480</v>
      </c>
      <c r="J1899" s="202"/>
      <c r="K1899" s="198"/>
      <c r="L1899" s="202"/>
      <c r="M1899" s="202"/>
      <c r="N1899" s="202"/>
      <c r="O1899" s="202"/>
      <c r="P1899" s="202"/>
      <c r="Q1899" s="202"/>
      <c r="R1899" s="202"/>
      <c r="S1899" s="202"/>
    </row>
    <row r="1900" spans="6:19" x14ac:dyDescent="0.25">
      <c r="F1900" t="s">
        <v>936</v>
      </c>
      <c r="G1900" t="s">
        <v>120</v>
      </c>
      <c r="H1900" t="s">
        <v>480</v>
      </c>
      <c r="J1900" s="202"/>
      <c r="K1900" s="198"/>
      <c r="L1900" s="202"/>
      <c r="M1900" s="202"/>
      <c r="N1900" s="202"/>
      <c r="O1900" s="202"/>
      <c r="P1900" s="202"/>
      <c r="Q1900" s="202"/>
      <c r="R1900" s="202"/>
      <c r="S1900" s="202"/>
    </row>
    <row r="1901" spans="6:19" x14ac:dyDescent="0.25">
      <c r="F1901" t="s">
        <v>937</v>
      </c>
      <c r="G1901" t="s">
        <v>120</v>
      </c>
      <c r="H1901" t="s">
        <v>480</v>
      </c>
      <c r="J1901" s="202"/>
      <c r="K1901" s="198"/>
      <c r="L1901" s="202"/>
      <c r="M1901" s="202"/>
      <c r="N1901" s="202"/>
      <c r="O1901" s="202"/>
      <c r="P1901" s="202"/>
      <c r="Q1901" s="202"/>
      <c r="R1901" s="202"/>
      <c r="S1901" s="202"/>
    </row>
    <row r="1902" spans="6:19" x14ac:dyDescent="0.25">
      <c r="F1902" t="s">
        <v>938</v>
      </c>
      <c r="G1902" t="s">
        <v>120</v>
      </c>
      <c r="H1902" t="s">
        <v>480</v>
      </c>
      <c r="J1902" s="202"/>
      <c r="K1902" s="198"/>
      <c r="L1902" s="202"/>
      <c r="M1902" s="202"/>
      <c r="N1902" s="202"/>
      <c r="O1902" s="202"/>
      <c r="P1902" s="202"/>
      <c r="Q1902" s="202"/>
      <c r="R1902" s="202"/>
      <c r="S1902" s="202"/>
    </row>
    <row r="1903" spans="6:19" x14ac:dyDescent="0.25">
      <c r="F1903" t="s">
        <v>939</v>
      </c>
      <c r="G1903" t="s">
        <v>120</v>
      </c>
      <c r="H1903" t="s">
        <v>480</v>
      </c>
      <c r="J1903" s="202"/>
      <c r="K1903" s="198"/>
      <c r="L1903" s="202"/>
      <c r="M1903" s="202"/>
      <c r="N1903" s="202"/>
      <c r="O1903" s="202"/>
      <c r="P1903" s="202"/>
      <c r="Q1903" s="202"/>
      <c r="R1903" s="202"/>
      <c r="S1903" s="202"/>
    </row>
    <row r="1904" spans="6:19" x14ac:dyDescent="0.25">
      <c r="F1904" s="17" t="s">
        <v>940</v>
      </c>
      <c r="G1904" s="17" t="s">
        <v>120</v>
      </c>
      <c r="H1904" s="17" t="s">
        <v>480</v>
      </c>
      <c r="I1904" s="122"/>
      <c r="J1904" s="203"/>
      <c r="K1904" s="200"/>
      <c r="L1904" s="203"/>
      <c r="M1904" s="203"/>
      <c r="N1904" s="203"/>
      <c r="O1904" s="203"/>
      <c r="P1904" s="203"/>
      <c r="Q1904" s="203"/>
      <c r="R1904" s="203"/>
      <c r="S1904" s="203"/>
    </row>
    <row r="1905" spans="5:19" x14ac:dyDescent="0.25">
      <c r="J1905" s="198"/>
      <c r="K1905" s="198"/>
      <c r="L1905" s="198"/>
      <c r="M1905" s="198"/>
      <c r="N1905" s="198"/>
      <c r="O1905" s="198"/>
      <c r="P1905" s="198"/>
      <c r="Q1905" s="198"/>
      <c r="R1905" s="198"/>
      <c r="S1905" s="198"/>
    </row>
    <row r="1906" spans="5:19" x14ac:dyDescent="0.25">
      <c r="E1906" s="121" t="s">
        <v>74</v>
      </c>
      <c r="J1906" s="198"/>
      <c r="K1906" s="198"/>
      <c r="L1906" s="198"/>
      <c r="M1906" s="198"/>
      <c r="N1906" s="198"/>
      <c r="O1906" s="198"/>
      <c r="P1906" s="198"/>
      <c r="Q1906" s="198"/>
      <c r="R1906" s="198"/>
      <c r="S1906" s="198"/>
    </row>
    <row r="1907" spans="5:19" x14ac:dyDescent="0.25">
      <c r="F1907" s="80" t="s">
        <v>925</v>
      </c>
      <c r="G1907" s="80" t="s">
        <v>74</v>
      </c>
      <c r="H1907" s="80" t="s">
        <v>480</v>
      </c>
      <c r="I1907" s="94"/>
      <c r="J1907" s="201"/>
      <c r="K1907" s="196"/>
      <c r="L1907" s="201"/>
      <c r="M1907" s="201"/>
      <c r="N1907" s="201"/>
      <c r="O1907" s="201"/>
      <c r="P1907" s="201"/>
      <c r="Q1907" s="201"/>
      <c r="R1907" s="201"/>
      <c r="S1907" s="201"/>
    </row>
    <row r="1908" spans="5:19" x14ac:dyDescent="0.25">
      <c r="F1908" t="s">
        <v>926</v>
      </c>
      <c r="G1908" t="s">
        <v>74</v>
      </c>
      <c r="H1908" t="s">
        <v>480</v>
      </c>
      <c r="J1908" s="202"/>
      <c r="K1908" s="198"/>
      <c r="L1908" s="202"/>
      <c r="M1908" s="202"/>
      <c r="N1908" s="202"/>
      <c r="O1908" s="202"/>
      <c r="P1908" s="202"/>
      <c r="Q1908" s="202"/>
      <c r="R1908" s="202"/>
      <c r="S1908" s="202"/>
    </row>
    <row r="1909" spans="5:19" x14ac:dyDescent="0.25">
      <c r="F1909" t="s">
        <v>927</v>
      </c>
      <c r="G1909" t="s">
        <v>74</v>
      </c>
      <c r="H1909" t="s">
        <v>480</v>
      </c>
      <c r="J1909" s="197">
        <f t="shared" ref="J1909" si="373">CHOOSE(year_selection, L1909,M1909,N1909,O1909,P1909,Q1909,R1909,S1909)</f>
        <v>288</v>
      </c>
      <c r="K1909" s="198"/>
      <c r="L1909" s="281"/>
      <c r="M1909" s="281">
        <v>268</v>
      </c>
      <c r="N1909" s="281">
        <v>285</v>
      </c>
      <c r="O1909" s="281">
        <v>288</v>
      </c>
      <c r="P1909" s="281">
        <f t="shared" ref="P1909:S1913" si="374">$O1909</f>
        <v>288</v>
      </c>
      <c r="Q1909" s="281">
        <f t="shared" si="374"/>
        <v>288</v>
      </c>
      <c r="R1909" s="281">
        <f t="shared" si="374"/>
        <v>288</v>
      </c>
      <c r="S1909" s="281">
        <f t="shared" si="374"/>
        <v>288</v>
      </c>
    </row>
    <row r="1910" spans="5:19" x14ac:dyDescent="0.25">
      <c r="F1910" t="s">
        <v>928</v>
      </c>
      <c r="G1910" t="s">
        <v>74</v>
      </c>
      <c r="H1910" t="s">
        <v>480</v>
      </c>
      <c r="J1910" s="202"/>
      <c r="K1910" s="198"/>
      <c r="L1910" s="202"/>
      <c r="M1910" s="202"/>
      <c r="N1910" s="202"/>
      <c r="O1910" s="202"/>
      <c r="P1910" s="202"/>
      <c r="Q1910" s="202"/>
      <c r="R1910" s="202"/>
      <c r="S1910" s="202"/>
    </row>
    <row r="1911" spans="5:19" x14ac:dyDescent="0.25">
      <c r="F1911" t="s">
        <v>929</v>
      </c>
      <c r="G1911" t="s">
        <v>74</v>
      </c>
      <c r="H1911" t="s">
        <v>480</v>
      </c>
      <c r="J1911" s="197">
        <f t="shared" ref="J1911:J1913" si="375">CHOOSE(year_selection, L1911,M1911,N1911,O1911,P1911,Q1911,R1911,S1911)</f>
        <v>152</v>
      </c>
      <c r="K1911" s="198"/>
      <c r="L1911" s="281"/>
      <c r="M1911" s="281">
        <v>131</v>
      </c>
      <c r="N1911" s="281">
        <v>135</v>
      </c>
      <c r="O1911" s="281">
        <v>152</v>
      </c>
      <c r="P1911" s="281">
        <f t="shared" si="374"/>
        <v>152</v>
      </c>
      <c r="Q1911" s="281">
        <f t="shared" si="374"/>
        <v>152</v>
      </c>
      <c r="R1911" s="281">
        <f t="shared" si="374"/>
        <v>152</v>
      </c>
      <c r="S1911" s="281">
        <f t="shared" si="374"/>
        <v>152</v>
      </c>
    </row>
    <row r="1912" spans="5:19" x14ac:dyDescent="0.25">
      <c r="F1912" t="s">
        <v>930</v>
      </c>
      <c r="G1912" t="s">
        <v>74</v>
      </c>
      <c r="H1912" t="s">
        <v>480</v>
      </c>
      <c r="J1912" s="197">
        <f t="shared" si="375"/>
        <v>34</v>
      </c>
      <c r="K1912" s="198"/>
      <c r="L1912" s="281"/>
      <c r="M1912" s="281">
        <v>29</v>
      </c>
      <c r="N1912" s="281">
        <v>31</v>
      </c>
      <c r="O1912" s="281">
        <v>34</v>
      </c>
      <c r="P1912" s="281">
        <f t="shared" si="374"/>
        <v>34</v>
      </c>
      <c r="Q1912" s="281">
        <f t="shared" si="374"/>
        <v>34</v>
      </c>
      <c r="R1912" s="281">
        <f t="shared" si="374"/>
        <v>34</v>
      </c>
      <c r="S1912" s="281">
        <f t="shared" si="374"/>
        <v>34</v>
      </c>
    </row>
    <row r="1913" spans="5:19" x14ac:dyDescent="0.25">
      <c r="F1913" t="s">
        <v>931</v>
      </c>
      <c r="G1913" t="s">
        <v>74</v>
      </c>
      <c r="H1913" t="s">
        <v>480</v>
      </c>
      <c r="J1913" s="197">
        <f t="shared" si="375"/>
        <v>7</v>
      </c>
      <c r="K1913" s="198"/>
      <c r="L1913" s="281"/>
      <c r="M1913" s="281">
        <v>3</v>
      </c>
      <c r="N1913" s="281">
        <v>4</v>
      </c>
      <c r="O1913" s="281">
        <v>7</v>
      </c>
      <c r="P1913" s="281">
        <f t="shared" si="374"/>
        <v>7</v>
      </c>
      <c r="Q1913" s="281">
        <f t="shared" si="374"/>
        <v>7</v>
      </c>
      <c r="R1913" s="281">
        <f t="shared" si="374"/>
        <v>7</v>
      </c>
      <c r="S1913" s="281">
        <f t="shared" si="374"/>
        <v>7</v>
      </c>
    </row>
    <row r="1914" spans="5:19" x14ac:dyDescent="0.25">
      <c r="F1914" t="s">
        <v>932</v>
      </c>
      <c r="G1914" t="s">
        <v>74</v>
      </c>
      <c r="H1914" t="s">
        <v>480</v>
      </c>
      <c r="J1914" s="202"/>
      <c r="K1914" s="198"/>
      <c r="L1914" s="202"/>
      <c r="M1914" s="202"/>
      <c r="N1914" s="202"/>
      <c r="O1914" s="202"/>
      <c r="P1914" s="202"/>
      <c r="Q1914" s="202"/>
      <c r="R1914" s="202"/>
      <c r="S1914" s="202"/>
    </row>
    <row r="1915" spans="5:19" x14ac:dyDescent="0.25">
      <c r="F1915" t="s">
        <v>933</v>
      </c>
      <c r="G1915" t="s">
        <v>74</v>
      </c>
      <c r="H1915" t="s">
        <v>480</v>
      </c>
      <c r="J1915" s="202"/>
      <c r="K1915" s="198"/>
      <c r="L1915" s="202"/>
      <c r="M1915" s="202"/>
      <c r="N1915" s="202"/>
      <c r="O1915" s="202"/>
      <c r="P1915" s="202"/>
      <c r="Q1915" s="202"/>
      <c r="R1915" s="202"/>
      <c r="S1915" s="202"/>
    </row>
    <row r="1916" spans="5:19" x14ac:dyDescent="0.25">
      <c r="F1916" t="s">
        <v>934</v>
      </c>
      <c r="G1916" t="s">
        <v>74</v>
      </c>
      <c r="H1916" t="s">
        <v>480</v>
      </c>
      <c r="J1916" s="202"/>
      <c r="K1916" s="198"/>
      <c r="L1916" s="202"/>
      <c r="M1916" s="202"/>
      <c r="N1916" s="202"/>
      <c r="O1916" s="202"/>
      <c r="P1916" s="202"/>
      <c r="Q1916" s="202"/>
      <c r="R1916" s="202"/>
      <c r="S1916" s="202"/>
    </row>
    <row r="1917" spans="5:19" x14ac:dyDescent="0.25">
      <c r="F1917" t="s">
        <v>935</v>
      </c>
      <c r="G1917" t="s">
        <v>74</v>
      </c>
      <c r="H1917" t="s">
        <v>480</v>
      </c>
      <c r="J1917" s="202"/>
      <c r="K1917" s="198"/>
      <c r="L1917" s="202"/>
      <c r="M1917" s="202"/>
      <c r="N1917" s="202"/>
      <c r="O1917" s="202"/>
      <c r="P1917" s="202"/>
      <c r="Q1917" s="202"/>
      <c r="R1917" s="202"/>
      <c r="S1917" s="202"/>
    </row>
    <row r="1918" spans="5:19" x14ac:dyDescent="0.25">
      <c r="F1918" t="s">
        <v>936</v>
      </c>
      <c r="G1918" t="s">
        <v>74</v>
      </c>
      <c r="H1918" t="s">
        <v>480</v>
      </c>
      <c r="J1918" s="202"/>
      <c r="K1918" s="198"/>
      <c r="L1918" s="202"/>
      <c r="M1918" s="202"/>
      <c r="N1918" s="202"/>
      <c r="O1918" s="202"/>
      <c r="P1918" s="202"/>
      <c r="Q1918" s="202"/>
      <c r="R1918" s="202"/>
      <c r="S1918" s="202"/>
    </row>
    <row r="1919" spans="5:19" x14ac:dyDescent="0.25">
      <c r="F1919" t="s">
        <v>937</v>
      </c>
      <c r="G1919" t="s">
        <v>74</v>
      </c>
      <c r="H1919" t="s">
        <v>480</v>
      </c>
      <c r="J1919" s="202"/>
      <c r="K1919" s="198"/>
      <c r="L1919" s="202"/>
      <c r="M1919" s="202"/>
      <c r="N1919" s="202"/>
      <c r="O1919" s="202"/>
      <c r="P1919" s="202"/>
      <c r="Q1919" s="202"/>
      <c r="R1919" s="202"/>
      <c r="S1919" s="202"/>
    </row>
    <row r="1920" spans="5:19" x14ac:dyDescent="0.25">
      <c r="F1920" t="s">
        <v>938</v>
      </c>
      <c r="G1920" t="s">
        <v>74</v>
      </c>
      <c r="H1920" t="s">
        <v>480</v>
      </c>
      <c r="J1920" s="202"/>
      <c r="K1920" s="198"/>
      <c r="L1920" s="202"/>
      <c r="M1920" s="202"/>
      <c r="N1920" s="202"/>
      <c r="O1920" s="202"/>
      <c r="P1920" s="202"/>
      <c r="Q1920" s="202"/>
      <c r="R1920" s="202"/>
      <c r="S1920" s="202"/>
    </row>
    <row r="1921" spans="5:19" x14ac:dyDescent="0.25">
      <c r="F1921" t="s">
        <v>939</v>
      </c>
      <c r="G1921" t="s">
        <v>74</v>
      </c>
      <c r="H1921" t="s">
        <v>480</v>
      </c>
      <c r="J1921" s="202"/>
      <c r="K1921" s="198"/>
      <c r="L1921" s="202"/>
      <c r="M1921" s="202"/>
      <c r="N1921" s="202"/>
      <c r="O1921" s="202"/>
      <c r="P1921" s="202"/>
      <c r="Q1921" s="202"/>
      <c r="R1921" s="202"/>
      <c r="S1921" s="202"/>
    </row>
    <row r="1922" spans="5:19" x14ac:dyDescent="0.25">
      <c r="F1922" s="17" t="s">
        <v>940</v>
      </c>
      <c r="G1922" s="17" t="s">
        <v>74</v>
      </c>
      <c r="H1922" s="17" t="s">
        <v>480</v>
      </c>
      <c r="I1922" s="122"/>
      <c r="J1922" s="203"/>
      <c r="K1922" s="200"/>
      <c r="L1922" s="203"/>
      <c r="M1922" s="203"/>
      <c r="N1922" s="203"/>
      <c r="O1922" s="203"/>
      <c r="P1922" s="203"/>
      <c r="Q1922" s="203"/>
      <c r="R1922" s="203"/>
      <c r="S1922" s="203"/>
    </row>
    <row r="1923" spans="5:19" x14ac:dyDescent="0.25">
      <c r="J1923" s="198"/>
      <c r="K1923" s="198"/>
      <c r="L1923" s="198"/>
      <c r="M1923" s="198"/>
      <c r="N1923" s="198"/>
      <c r="O1923" s="198"/>
      <c r="P1923" s="198"/>
      <c r="Q1923" s="198"/>
      <c r="R1923" s="198"/>
      <c r="S1923" s="198"/>
    </row>
    <row r="1924" spans="5:19" x14ac:dyDescent="0.25">
      <c r="E1924" s="121" t="s">
        <v>202</v>
      </c>
      <c r="J1924" s="198"/>
      <c r="K1924" s="198"/>
      <c r="L1924" s="198"/>
      <c r="M1924" s="198"/>
      <c r="N1924" s="198"/>
      <c r="O1924" s="198"/>
      <c r="P1924" s="198"/>
      <c r="Q1924" s="198"/>
      <c r="R1924" s="198"/>
      <c r="S1924" s="198"/>
    </row>
    <row r="1925" spans="5:19" x14ac:dyDescent="0.25">
      <c r="F1925" s="80" t="s">
        <v>925</v>
      </c>
      <c r="G1925" s="80" t="s">
        <v>169</v>
      </c>
      <c r="H1925" s="80" t="s">
        <v>480</v>
      </c>
      <c r="I1925" s="94"/>
      <c r="J1925" s="201"/>
      <c r="K1925" s="196"/>
      <c r="L1925" s="201"/>
      <c r="M1925" s="201"/>
      <c r="N1925" s="201"/>
      <c r="O1925" s="201"/>
      <c r="P1925" s="201"/>
      <c r="Q1925" s="201"/>
      <c r="R1925" s="201"/>
      <c r="S1925" s="201"/>
    </row>
    <row r="1926" spans="5:19" x14ac:dyDescent="0.25">
      <c r="F1926" t="s">
        <v>926</v>
      </c>
      <c r="G1926" t="s">
        <v>169</v>
      </c>
      <c r="H1926" t="s">
        <v>480</v>
      </c>
      <c r="J1926" s="202"/>
      <c r="K1926" s="198"/>
      <c r="L1926" s="202"/>
      <c r="M1926" s="202"/>
      <c r="N1926" s="202"/>
      <c r="O1926" s="202"/>
      <c r="P1926" s="202"/>
      <c r="Q1926" s="202"/>
      <c r="R1926" s="202"/>
      <c r="S1926" s="202"/>
    </row>
    <row r="1927" spans="5:19" x14ac:dyDescent="0.25">
      <c r="F1927" t="s">
        <v>927</v>
      </c>
      <c r="G1927" t="s">
        <v>169</v>
      </c>
      <c r="H1927" t="s">
        <v>480</v>
      </c>
      <c r="J1927" s="202"/>
      <c r="K1927" s="198"/>
      <c r="L1927" s="202"/>
      <c r="M1927" s="202"/>
      <c r="N1927" s="202"/>
      <c r="O1927" s="202"/>
      <c r="P1927" s="202"/>
      <c r="Q1927" s="202"/>
      <c r="R1927" s="202"/>
      <c r="S1927" s="202"/>
    </row>
    <row r="1928" spans="5:19" x14ac:dyDescent="0.25">
      <c r="F1928" t="s">
        <v>928</v>
      </c>
      <c r="G1928" t="s">
        <v>169</v>
      </c>
      <c r="H1928" t="s">
        <v>480</v>
      </c>
      <c r="J1928" s="202"/>
      <c r="K1928" s="198"/>
      <c r="L1928" s="202"/>
      <c r="M1928" s="202"/>
      <c r="N1928" s="202"/>
      <c r="O1928" s="202"/>
      <c r="P1928" s="202"/>
      <c r="Q1928" s="202"/>
      <c r="R1928" s="202"/>
      <c r="S1928" s="202"/>
    </row>
    <row r="1929" spans="5:19" x14ac:dyDescent="0.25">
      <c r="F1929" t="s">
        <v>929</v>
      </c>
      <c r="G1929" t="s">
        <v>169</v>
      </c>
      <c r="H1929" t="s">
        <v>480</v>
      </c>
      <c r="J1929" s="197">
        <f t="shared" ref="J1929:J1931" si="376">CHOOSE(year_selection, L1929,M1929,N1929,O1929,P1929,Q1929,R1929,S1929)</f>
        <v>68001</v>
      </c>
      <c r="K1929" s="198"/>
      <c r="L1929" s="281"/>
      <c r="M1929" s="281">
        <v>56963</v>
      </c>
      <c r="N1929" s="281">
        <v>59939</v>
      </c>
      <c r="O1929" s="281">
        <v>68001</v>
      </c>
      <c r="P1929" s="281">
        <f t="shared" ref="P1929:S1931" si="377">$O1929</f>
        <v>68001</v>
      </c>
      <c r="Q1929" s="281">
        <f t="shared" si="377"/>
        <v>68001</v>
      </c>
      <c r="R1929" s="281">
        <f t="shared" si="377"/>
        <v>68001</v>
      </c>
      <c r="S1929" s="281">
        <f t="shared" si="377"/>
        <v>68001</v>
      </c>
    </row>
    <row r="1930" spans="5:19" x14ac:dyDescent="0.25">
      <c r="F1930" t="s">
        <v>930</v>
      </c>
      <c r="G1930" t="s">
        <v>169</v>
      </c>
      <c r="H1930" t="s">
        <v>480</v>
      </c>
      <c r="J1930" s="197">
        <f t="shared" si="376"/>
        <v>20744</v>
      </c>
      <c r="K1930" s="198"/>
      <c r="L1930" s="281"/>
      <c r="M1930" s="281">
        <v>18170</v>
      </c>
      <c r="N1930" s="281">
        <v>19345</v>
      </c>
      <c r="O1930" s="281">
        <v>20744</v>
      </c>
      <c r="P1930" s="281">
        <f t="shared" si="377"/>
        <v>20744</v>
      </c>
      <c r="Q1930" s="281">
        <f t="shared" si="377"/>
        <v>20744</v>
      </c>
      <c r="R1930" s="281">
        <f t="shared" si="377"/>
        <v>20744</v>
      </c>
      <c r="S1930" s="281">
        <f t="shared" si="377"/>
        <v>20744</v>
      </c>
    </row>
    <row r="1931" spans="5:19" x14ac:dyDescent="0.25">
      <c r="F1931" t="s">
        <v>931</v>
      </c>
      <c r="G1931" t="s">
        <v>169</v>
      </c>
      <c r="H1931" t="s">
        <v>480</v>
      </c>
      <c r="J1931" s="197">
        <f t="shared" si="376"/>
        <v>19000</v>
      </c>
      <c r="K1931" s="198"/>
      <c r="L1931" s="281"/>
      <c r="M1931" s="281">
        <v>10728</v>
      </c>
      <c r="N1931" s="281">
        <v>15500</v>
      </c>
      <c r="O1931" s="281">
        <v>19000</v>
      </c>
      <c r="P1931" s="281">
        <f t="shared" si="377"/>
        <v>19000</v>
      </c>
      <c r="Q1931" s="281">
        <f t="shared" si="377"/>
        <v>19000</v>
      </c>
      <c r="R1931" s="281">
        <f t="shared" si="377"/>
        <v>19000</v>
      </c>
      <c r="S1931" s="281">
        <f t="shared" si="377"/>
        <v>19000</v>
      </c>
    </row>
    <row r="1932" spans="5:19" x14ac:dyDescent="0.25">
      <c r="F1932" t="s">
        <v>932</v>
      </c>
      <c r="G1932" t="s">
        <v>169</v>
      </c>
      <c r="H1932" t="s">
        <v>480</v>
      </c>
      <c r="J1932" s="202"/>
      <c r="K1932" s="198"/>
      <c r="L1932" s="202"/>
      <c r="M1932" s="202"/>
      <c r="N1932" s="202"/>
      <c r="O1932" s="202"/>
      <c r="P1932" s="202"/>
      <c r="Q1932" s="202"/>
      <c r="R1932" s="202"/>
      <c r="S1932" s="202"/>
    </row>
    <row r="1933" spans="5:19" x14ac:dyDescent="0.25">
      <c r="F1933" t="s">
        <v>933</v>
      </c>
      <c r="G1933" t="s">
        <v>169</v>
      </c>
      <c r="H1933" t="s">
        <v>480</v>
      </c>
      <c r="J1933" s="202"/>
      <c r="K1933" s="198"/>
      <c r="L1933" s="202"/>
      <c r="M1933" s="202"/>
      <c r="N1933" s="202"/>
      <c r="O1933" s="202"/>
      <c r="P1933" s="202"/>
      <c r="Q1933" s="202"/>
      <c r="R1933" s="202"/>
      <c r="S1933" s="202"/>
    </row>
    <row r="1934" spans="5:19" x14ac:dyDescent="0.25">
      <c r="F1934" t="s">
        <v>934</v>
      </c>
      <c r="G1934" t="s">
        <v>169</v>
      </c>
      <c r="H1934" t="s">
        <v>480</v>
      </c>
      <c r="J1934" s="202"/>
      <c r="K1934" s="198"/>
      <c r="L1934" s="202"/>
      <c r="M1934" s="202"/>
      <c r="N1934" s="202"/>
      <c r="O1934" s="202"/>
      <c r="P1934" s="202"/>
      <c r="Q1934" s="202"/>
      <c r="R1934" s="202"/>
      <c r="S1934" s="202"/>
    </row>
    <row r="1935" spans="5:19" x14ac:dyDescent="0.25">
      <c r="F1935" t="s">
        <v>935</v>
      </c>
      <c r="G1935" t="s">
        <v>169</v>
      </c>
      <c r="H1935" t="s">
        <v>480</v>
      </c>
      <c r="J1935" s="202"/>
      <c r="K1935" s="198"/>
      <c r="L1935" s="202"/>
      <c r="M1935" s="202"/>
      <c r="N1935" s="202"/>
      <c r="O1935" s="202"/>
      <c r="P1935" s="202"/>
      <c r="Q1935" s="202"/>
      <c r="R1935" s="202"/>
      <c r="S1935" s="202"/>
    </row>
    <row r="1936" spans="5:19" x14ac:dyDescent="0.25">
      <c r="F1936" t="s">
        <v>936</v>
      </c>
      <c r="G1936" t="s">
        <v>169</v>
      </c>
      <c r="H1936" t="s">
        <v>480</v>
      </c>
      <c r="J1936" s="202"/>
      <c r="K1936" s="198"/>
      <c r="L1936" s="202"/>
      <c r="M1936" s="202"/>
      <c r="N1936" s="202"/>
      <c r="O1936" s="202"/>
      <c r="P1936" s="202"/>
      <c r="Q1936" s="202"/>
      <c r="R1936" s="202"/>
      <c r="S1936" s="202"/>
    </row>
    <row r="1937" spans="5:19" x14ac:dyDescent="0.25">
      <c r="F1937" t="s">
        <v>937</v>
      </c>
      <c r="G1937" t="s">
        <v>169</v>
      </c>
      <c r="H1937" t="s">
        <v>480</v>
      </c>
      <c r="J1937" s="202"/>
      <c r="K1937" s="198"/>
      <c r="L1937" s="202"/>
      <c r="M1937" s="202"/>
      <c r="N1937" s="202"/>
      <c r="O1937" s="202"/>
      <c r="P1937" s="202"/>
      <c r="Q1937" s="202"/>
      <c r="R1937" s="202"/>
      <c r="S1937" s="202"/>
    </row>
    <row r="1938" spans="5:19" x14ac:dyDescent="0.25">
      <c r="F1938" t="s">
        <v>938</v>
      </c>
      <c r="G1938" t="s">
        <v>169</v>
      </c>
      <c r="H1938" t="s">
        <v>480</v>
      </c>
      <c r="J1938" s="202"/>
      <c r="K1938" s="198"/>
      <c r="L1938" s="202"/>
      <c r="M1938" s="202"/>
      <c r="N1938" s="202"/>
      <c r="O1938" s="202"/>
      <c r="P1938" s="202"/>
      <c r="Q1938" s="202"/>
      <c r="R1938" s="202"/>
      <c r="S1938" s="202"/>
    </row>
    <row r="1939" spans="5:19" x14ac:dyDescent="0.25">
      <c r="F1939" t="s">
        <v>939</v>
      </c>
      <c r="G1939" t="s">
        <v>169</v>
      </c>
      <c r="H1939" t="s">
        <v>480</v>
      </c>
      <c r="J1939" s="202"/>
      <c r="K1939" s="198"/>
      <c r="L1939" s="202"/>
      <c r="M1939" s="202"/>
      <c r="N1939" s="202"/>
      <c r="O1939" s="202"/>
      <c r="P1939" s="202"/>
      <c r="Q1939" s="202"/>
      <c r="R1939" s="202"/>
      <c r="S1939" s="202"/>
    </row>
    <row r="1940" spans="5:19" x14ac:dyDescent="0.25">
      <c r="F1940" s="17" t="s">
        <v>940</v>
      </c>
      <c r="G1940" s="17" t="s">
        <v>169</v>
      </c>
      <c r="H1940" s="17" t="s">
        <v>480</v>
      </c>
      <c r="I1940" s="122"/>
      <c r="J1940" s="203"/>
      <c r="K1940" s="200"/>
      <c r="L1940" s="203"/>
      <c r="M1940" s="203"/>
      <c r="N1940" s="203"/>
      <c r="O1940" s="203"/>
      <c r="P1940" s="203"/>
      <c r="Q1940" s="203"/>
      <c r="R1940" s="203"/>
      <c r="S1940" s="203"/>
    </row>
    <row r="1941" spans="5:19" x14ac:dyDescent="0.25">
      <c r="J1941" s="198"/>
      <c r="K1941" s="198"/>
      <c r="L1941" s="198"/>
      <c r="M1941" s="198"/>
      <c r="N1941" s="198"/>
      <c r="O1941" s="198"/>
      <c r="P1941" s="198"/>
      <c r="Q1941" s="198"/>
      <c r="R1941" s="198"/>
      <c r="S1941" s="198"/>
    </row>
    <row r="1942" spans="5:19" x14ac:dyDescent="0.25">
      <c r="E1942" s="121" t="s">
        <v>203</v>
      </c>
      <c r="J1942" s="198"/>
      <c r="K1942" s="198"/>
      <c r="L1942" s="198"/>
      <c r="M1942" s="198"/>
      <c r="N1942" s="198"/>
      <c r="O1942" s="198"/>
      <c r="P1942" s="198"/>
      <c r="Q1942" s="198"/>
      <c r="R1942" s="198"/>
      <c r="S1942" s="198"/>
    </row>
    <row r="1943" spans="5:19" x14ac:dyDescent="0.25">
      <c r="F1943" s="80" t="s">
        <v>925</v>
      </c>
      <c r="G1943" s="80" t="s">
        <v>169</v>
      </c>
      <c r="H1943" s="80" t="s">
        <v>480</v>
      </c>
      <c r="I1943" s="94"/>
      <c r="J1943" s="201"/>
      <c r="K1943" s="196"/>
      <c r="L1943" s="201"/>
      <c r="M1943" s="201"/>
      <c r="N1943" s="201"/>
      <c r="O1943" s="201"/>
      <c r="P1943" s="201"/>
      <c r="Q1943" s="201"/>
      <c r="R1943" s="201"/>
      <c r="S1943" s="201"/>
    </row>
    <row r="1944" spans="5:19" x14ac:dyDescent="0.25">
      <c r="F1944" t="s">
        <v>926</v>
      </c>
      <c r="G1944" t="s">
        <v>169</v>
      </c>
      <c r="H1944" t="s">
        <v>480</v>
      </c>
      <c r="J1944" s="202"/>
      <c r="K1944" s="198"/>
      <c r="L1944" s="202"/>
      <c r="M1944" s="202"/>
      <c r="N1944" s="202"/>
      <c r="O1944" s="202"/>
      <c r="P1944" s="202"/>
      <c r="Q1944" s="202"/>
      <c r="R1944" s="202"/>
      <c r="S1944" s="202"/>
    </row>
    <row r="1945" spans="5:19" x14ac:dyDescent="0.25">
      <c r="F1945" t="s">
        <v>927</v>
      </c>
      <c r="G1945" t="s">
        <v>169</v>
      </c>
      <c r="H1945" t="s">
        <v>480</v>
      </c>
      <c r="J1945" s="202"/>
      <c r="K1945" s="198"/>
      <c r="L1945" s="202"/>
      <c r="M1945" s="202"/>
      <c r="N1945" s="202"/>
      <c r="O1945" s="202"/>
      <c r="P1945" s="202"/>
      <c r="Q1945" s="202"/>
      <c r="R1945" s="202"/>
      <c r="S1945" s="202"/>
    </row>
    <row r="1946" spans="5:19" x14ac:dyDescent="0.25">
      <c r="F1946" t="s">
        <v>928</v>
      </c>
      <c r="G1946" t="s">
        <v>169</v>
      </c>
      <c r="H1946" t="s">
        <v>480</v>
      </c>
      <c r="J1946" s="202"/>
      <c r="K1946" s="198"/>
      <c r="L1946" s="202"/>
      <c r="M1946" s="202"/>
      <c r="N1946" s="202"/>
      <c r="O1946" s="202"/>
      <c r="P1946" s="202"/>
      <c r="Q1946" s="202"/>
      <c r="R1946" s="202"/>
      <c r="S1946" s="202"/>
    </row>
    <row r="1947" spans="5:19" x14ac:dyDescent="0.25">
      <c r="F1947" t="s">
        <v>929</v>
      </c>
      <c r="G1947" t="s">
        <v>169</v>
      </c>
      <c r="H1947" t="s">
        <v>480</v>
      </c>
      <c r="J1947" s="197">
        <f t="shared" ref="J1947:J1949" si="378">CHOOSE(year_selection, L1947,M1947,N1947,O1947,P1947,Q1947,R1947,S1947)</f>
        <v>165</v>
      </c>
      <c r="K1947" s="198"/>
      <c r="L1947" s="281"/>
      <c r="M1947" s="281">
        <v>171</v>
      </c>
      <c r="N1947" s="281">
        <v>166</v>
      </c>
      <c r="O1947" s="281">
        <v>165</v>
      </c>
      <c r="P1947" s="281">
        <f t="shared" ref="P1947:S1949" si="379">$O1947</f>
        <v>165</v>
      </c>
      <c r="Q1947" s="281">
        <f t="shared" si="379"/>
        <v>165</v>
      </c>
      <c r="R1947" s="281">
        <f t="shared" si="379"/>
        <v>165</v>
      </c>
      <c r="S1947" s="281">
        <f t="shared" si="379"/>
        <v>165</v>
      </c>
    </row>
    <row r="1948" spans="5:19" x14ac:dyDescent="0.25">
      <c r="F1948" t="s">
        <v>930</v>
      </c>
      <c r="G1948" t="s">
        <v>169</v>
      </c>
      <c r="H1948" t="s">
        <v>480</v>
      </c>
      <c r="J1948" s="197">
        <f t="shared" si="378"/>
        <v>6</v>
      </c>
      <c r="K1948" s="198"/>
      <c r="L1948" s="281"/>
      <c r="M1948" s="281">
        <v>36</v>
      </c>
      <c r="N1948" s="281">
        <v>2</v>
      </c>
      <c r="O1948" s="281">
        <v>6</v>
      </c>
      <c r="P1948" s="281">
        <f t="shared" si="379"/>
        <v>6</v>
      </c>
      <c r="Q1948" s="281">
        <f t="shared" si="379"/>
        <v>6</v>
      </c>
      <c r="R1948" s="281">
        <f t="shared" si="379"/>
        <v>6</v>
      </c>
      <c r="S1948" s="281">
        <f t="shared" si="379"/>
        <v>6</v>
      </c>
    </row>
    <row r="1949" spans="5:19" x14ac:dyDescent="0.25">
      <c r="F1949" t="s">
        <v>931</v>
      </c>
      <c r="G1949" t="s">
        <v>169</v>
      </c>
      <c r="H1949" t="s">
        <v>480</v>
      </c>
      <c r="J1949" s="197">
        <f t="shared" si="378"/>
        <v>85</v>
      </c>
      <c r="K1949" s="198"/>
      <c r="L1949" s="281"/>
      <c r="M1949" s="281">
        <v>21</v>
      </c>
      <c r="N1949" s="281">
        <v>32</v>
      </c>
      <c r="O1949" s="281">
        <v>85</v>
      </c>
      <c r="P1949" s="281">
        <f t="shared" si="379"/>
        <v>85</v>
      </c>
      <c r="Q1949" s="281">
        <f t="shared" si="379"/>
        <v>85</v>
      </c>
      <c r="R1949" s="281">
        <f t="shared" si="379"/>
        <v>85</v>
      </c>
      <c r="S1949" s="281">
        <f t="shared" si="379"/>
        <v>85</v>
      </c>
    </row>
    <row r="1950" spans="5:19" x14ac:dyDescent="0.25">
      <c r="F1950" t="s">
        <v>932</v>
      </c>
      <c r="G1950" t="s">
        <v>169</v>
      </c>
      <c r="H1950" t="s">
        <v>480</v>
      </c>
      <c r="J1950" s="202"/>
      <c r="K1950" s="198"/>
      <c r="L1950" s="202"/>
      <c r="M1950" s="202"/>
      <c r="N1950" s="202"/>
      <c r="O1950" s="202"/>
      <c r="P1950" s="202"/>
      <c r="Q1950" s="202"/>
      <c r="R1950" s="202"/>
      <c r="S1950" s="202"/>
    </row>
    <row r="1951" spans="5:19" x14ac:dyDescent="0.25">
      <c r="F1951" t="s">
        <v>933</v>
      </c>
      <c r="G1951" t="s">
        <v>169</v>
      </c>
      <c r="H1951" t="s">
        <v>480</v>
      </c>
      <c r="J1951" s="202"/>
      <c r="K1951" s="198"/>
      <c r="L1951" s="202"/>
      <c r="M1951" s="202"/>
      <c r="N1951" s="202"/>
      <c r="O1951" s="202"/>
      <c r="P1951" s="202"/>
      <c r="Q1951" s="202"/>
      <c r="R1951" s="202"/>
      <c r="S1951" s="202"/>
    </row>
    <row r="1952" spans="5:19" x14ac:dyDescent="0.25">
      <c r="F1952" t="s">
        <v>934</v>
      </c>
      <c r="G1952" t="s">
        <v>169</v>
      </c>
      <c r="H1952" t="s">
        <v>480</v>
      </c>
      <c r="J1952" s="202"/>
      <c r="K1952" s="198"/>
      <c r="L1952" s="202"/>
      <c r="M1952" s="202"/>
      <c r="N1952" s="202"/>
      <c r="O1952" s="202"/>
      <c r="P1952" s="202"/>
      <c r="Q1952" s="202"/>
      <c r="R1952" s="202"/>
      <c r="S1952" s="202"/>
    </row>
    <row r="1953" spans="5:19" x14ac:dyDescent="0.25">
      <c r="F1953" t="s">
        <v>935</v>
      </c>
      <c r="G1953" t="s">
        <v>169</v>
      </c>
      <c r="H1953" t="s">
        <v>480</v>
      </c>
      <c r="J1953" s="202"/>
      <c r="K1953" s="198"/>
      <c r="L1953" s="202"/>
      <c r="M1953" s="202"/>
      <c r="N1953" s="202"/>
      <c r="O1953" s="202"/>
      <c r="P1953" s="202"/>
      <c r="Q1953" s="202"/>
      <c r="R1953" s="202"/>
      <c r="S1953" s="202"/>
    </row>
    <row r="1954" spans="5:19" x14ac:dyDescent="0.25">
      <c r="F1954" t="s">
        <v>936</v>
      </c>
      <c r="G1954" t="s">
        <v>169</v>
      </c>
      <c r="H1954" t="s">
        <v>480</v>
      </c>
      <c r="J1954" s="202"/>
      <c r="K1954" s="198"/>
      <c r="L1954" s="202"/>
      <c r="M1954" s="202"/>
      <c r="N1954" s="202"/>
      <c r="O1954" s="202"/>
      <c r="P1954" s="202"/>
      <c r="Q1954" s="202"/>
      <c r="R1954" s="202"/>
      <c r="S1954" s="202"/>
    </row>
    <row r="1955" spans="5:19" x14ac:dyDescent="0.25">
      <c r="F1955" t="s">
        <v>937</v>
      </c>
      <c r="G1955" t="s">
        <v>169</v>
      </c>
      <c r="H1955" t="s">
        <v>480</v>
      </c>
      <c r="J1955" s="202"/>
      <c r="K1955" s="198"/>
      <c r="L1955" s="202"/>
      <c r="M1955" s="202"/>
      <c r="N1955" s="202"/>
      <c r="O1955" s="202"/>
      <c r="P1955" s="202"/>
      <c r="Q1955" s="202"/>
      <c r="R1955" s="202"/>
      <c r="S1955" s="202"/>
    </row>
    <row r="1956" spans="5:19" x14ac:dyDescent="0.25">
      <c r="F1956" t="s">
        <v>938</v>
      </c>
      <c r="G1956" t="s">
        <v>169</v>
      </c>
      <c r="H1956" t="s">
        <v>480</v>
      </c>
      <c r="J1956" s="202"/>
      <c r="K1956" s="198"/>
      <c r="L1956" s="202"/>
      <c r="M1956" s="202"/>
      <c r="N1956" s="202"/>
      <c r="O1956" s="202"/>
      <c r="P1956" s="202"/>
      <c r="Q1956" s="202"/>
      <c r="R1956" s="202"/>
      <c r="S1956" s="202"/>
    </row>
    <row r="1957" spans="5:19" x14ac:dyDescent="0.25">
      <c r="F1957" t="s">
        <v>939</v>
      </c>
      <c r="G1957" t="s">
        <v>169</v>
      </c>
      <c r="H1957" t="s">
        <v>480</v>
      </c>
      <c r="J1957" s="202"/>
      <c r="K1957" s="198"/>
      <c r="L1957" s="202"/>
      <c r="M1957" s="202"/>
      <c r="N1957" s="202"/>
      <c r="O1957" s="202"/>
      <c r="P1957" s="202"/>
      <c r="Q1957" s="202"/>
      <c r="R1957" s="202"/>
      <c r="S1957" s="202"/>
    </row>
    <row r="1958" spans="5:19" x14ac:dyDescent="0.25">
      <c r="F1958" s="17" t="s">
        <v>940</v>
      </c>
      <c r="G1958" s="17" t="s">
        <v>169</v>
      </c>
      <c r="H1958" s="17" t="s">
        <v>480</v>
      </c>
      <c r="I1958" s="122"/>
      <c r="J1958" s="203"/>
      <c r="K1958" s="200"/>
      <c r="L1958" s="203"/>
      <c r="M1958" s="203"/>
      <c r="N1958" s="203"/>
      <c r="O1958" s="203"/>
      <c r="P1958" s="203"/>
      <c r="Q1958" s="203"/>
      <c r="R1958" s="203"/>
      <c r="S1958" s="203"/>
    </row>
    <row r="1959" spans="5:19" x14ac:dyDescent="0.25">
      <c r="J1959" s="198"/>
      <c r="K1959" s="198"/>
      <c r="L1959" s="198"/>
      <c r="M1959" s="198"/>
      <c r="N1959" s="198"/>
      <c r="O1959" s="198"/>
      <c r="P1959" s="198"/>
      <c r="Q1959" s="198"/>
      <c r="R1959" s="198"/>
      <c r="S1959" s="198"/>
    </row>
    <row r="1960" spans="5:19" x14ac:dyDescent="0.25">
      <c r="E1960" s="121" t="s">
        <v>204</v>
      </c>
      <c r="J1960" s="198"/>
      <c r="K1960" s="198"/>
      <c r="L1960" s="198"/>
      <c r="M1960" s="198"/>
      <c r="N1960" s="198"/>
      <c r="O1960" s="198"/>
      <c r="P1960" s="198"/>
      <c r="Q1960" s="198"/>
      <c r="R1960" s="198"/>
      <c r="S1960" s="198"/>
    </row>
    <row r="1961" spans="5:19" x14ac:dyDescent="0.25">
      <c r="F1961" s="80" t="s">
        <v>925</v>
      </c>
      <c r="G1961" s="80" t="s">
        <v>170</v>
      </c>
      <c r="H1961" s="80" t="s">
        <v>480</v>
      </c>
      <c r="I1961" s="94"/>
      <c r="J1961" s="201"/>
      <c r="K1961" s="196"/>
      <c r="L1961" s="201"/>
      <c r="M1961" s="201"/>
      <c r="N1961" s="201"/>
      <c r="O1961" s="201"/>
      <c r="P1961" s="201"/>
      <c r="Q1961" s="201"/>
      <c r="R1961" s="201"/>
      <c r="S1961" s="201"/>
    </row>
    <row r="1962" spans="5:19" x14ac:dyDescent="0.25">
      <c r="F1962" t="s">
        <v>926</v>
      </c>
      <c r="G1962" t="s">
        <v>170</v>
      </c>
      <c r="H1962" t="s">
        <v>480</v>
      </c>
      <c r="J1962" s="202"/>
      <c r="K1962" s="198"/>
      <c r="L1962" s="202"/>
      <c r="M1962" s="202"/>
      <c r="N1962" s="202"/>
      <c r="O1962" s="202"/>
      <c r="P1962" s="202"/>
      <c r="Q1962" s="202"/>
      <c r="R1962" s="202"/>
      <c r="S1962" s="202"/>
    </row>
    <row r="1963" spans="5:19" x14ac:dyDescent="0.25">
      <c r="F1963" t="s">
        <v>927</v>
      </c>
      <c r="G1963" t="s">
        <v>170</v>
      </c>
      <c r="H1963" t="s">
        <v>480</v>
      </c>
      <c r="J1963" s="202"/>
      <c r="K1963" s="198"/>
      <c r="L1963" s="202"/>
      <c r="M1963" s="202"/>
      <c r="N1963" s="202"/>
      <c r="O1963" s="202"/>
      <c r="P1963" s="202"/>
      <c r="Q1963" s="202"/>
      <c r="R1963" s="202"/>
      <c r="S1963" s="202"/>
    </row>
    <row r="1964" spans="5:19" x14ac:dyDescent="0.25">
      <c r="F1964" t="s">
        <v>928</v>
      </c>
      <c r="G1964" t="s">
        <v>170</v>
      </c>
      <c r="H1964" t="s">
        <v>480</v>
      </c>
      <c r="J1964" s="202"/>
      <c r="K1964" s="198"/>
      <c r="L1964" s="202"/>
      <c r="M1964" s="202"/>
      <c r="N1964" s="202"/>
      <c r="O1964" s="202"/>
      <c r="P1964" s="202"/>
      <c r="Q1964" s="202"/>
      <c r="R1964" s="202"/>
      <c r="S1964" s="202"/>
    </row>
    <row r="1965" spans="5:19" x14ac:dyDescent="0.25">
      <c r="F1965" t="s">
        <v>929</v>
      </c>
      <c r="G1965" t="s">
        <v>170</v>
      </c>
      <c r="H1965" t="s">
        <v>480</v>
      </c>
      <c r="J1965" s="197">
        <f t="shared" ref="J1965:J1967" si="380">CHOOSE(year_selection, L1965,M1965,N1965,O1965,P1965,Q1965,R1965,S1965)</f>
        <v>4594.5749999999998</v>
      </c>
      <c r="K1965" s="198"/>
      <c r="L1965" s="281"/>
      <c r="M1965" s="281">
        <v>5512.6090000000004</v>
      </c>
      <c r="N1965" s="281">
        <v>5046.0959999999995</v>
      </c>
      <c r="O1965" s="281">
        <v>4594.5749999999998</v>
      </c>
      <c r="P1965" s="281">
        <f t="shared" ref="P1965:S1967" si="381">$O1965</f>
        <v>4594.5749999999998</v>
      </c>
      <c r="Q1965" s="281">
        <f t="shared" si="381"/>
        <v>4594.5749999999998</v>
      </c>
      <c r="R1965" s="281">
        <f t="shared" si="381"/>
        <v>4594.5749999999998</v>
      </c>
      <c r="S1965" s="281">
        <f t="shared" si="381"/>
        <v>4594.5749999999998</v>
      </c>
    </row>
    <row r="1966" spans="5:19" x14ac:dyDescent="0.25">
      <c r="F1966" t="s">
        <v>930</v>
      </c>
      <c r="G1966" t="s">
        <v>170</v>
      </c>
      <c r="H1966" t="s">
        <v>480</v>
      </c>
      <c r="J1966" s="197">
        <f t="shared" si="380"/>
        <v>1707.8620000000001</v>
      </c>
      <c r="K1966" s="198"/>
      <c r="L1966" s="281"/>
      <c r="M1966" s="281">
        <v>1544.376</v>
      </c>
      <c r="N1966" s="281">
        <v>2430.739</v>
      </c>
      <c r="O1966" s="281">
        <v>1707.8620000000001</v>
      </c>
      <c r="P1966" s="281">
        <f t="shared" si="381"/>
        <v>1707.8620000000001</v>
      </c>
      <c r="Q1966" s="281">
        <f t="shared" si="381"/>
        <v>1707.8620000000001</v>
      </c>
      <c r="R1966" s="281">
        <f t="shared" si="381"/>
        <v>1707.8620000000001</v>
      </c>
      <c r="S1966" s="281">
        <f t="shared" si="381"/>
        <v>1707.8620000000001</v>
      </c>
    </row>
    <row r="1967" spans="5:19" x14ac:dyDescent="0.25">
      <c r="F1967" t="s">
        <v>931</v>
      </c>
      <c r="G1967" t="s">
        <v>170</v>
      </c>
      <c r="H1967" t="s">
        <v>480</v>
      </c>
      <c r="J1967" s="197">
        <f t="shared" si="380"/>
        <v>963.04600000000005</v>
      </c>
      <c r="K1967" s="198"/>
      <c r="L1967" s="281"/>
      <c r="M1967" s="281">
        <v>827.05551903424373</v>
      </c>
      <c r="N1967" s="281">
        <v>478.71876600831007</v>
      </c>
      <c r="O1967" s="281">
        <v>963.04600000000005</v>
      </c>
      <c r="P1967" s="281">
        <f t="shared" si="381"/>
        <v>963.04600000000005</v>
      </c>
      <c r="Q1967" s="281">
        <f t="shared" si="381"/>
        <v>963.04600000000005</v>
      </c>
      <c r="R1967" s="281">
        <f t="shared" si="381"/>
        <v>963.04600000000005</v>
      </c>
      <c r="S1967" s="281">
        <f t="shared" si="381"/>
        <v>963.04600000000005</v>
      </c>
    </row>
    <row r="1968" spans="5:19" x14ac:dyDescent="0.25">
      <c r="F1968" t="s">
        <v>932</v>
      </c>
      <c r="G1968" t="s">
        <v>170</v>
      </c>
      <c r="H1968" t="s">
        <v>480</v>
      </c>
      <c r="J1968" s="202"/>
      <c r="K1968" s="198"/>
      <c r="L1968" s="202"/>
      <c r="M1968" s="202"/>
      <c r="N1968" s="202"/>
      <c r="O1968" s="202"/>
      <c r="P1968" s="202"/>
      <c r="Q1968" s="202"/>
      <c r="R1968" s="202"/>
      <c r="S1968" s="202"/>
    </row>
    <row r="1969" spans="3:21" x14ac:dyDescent="0.25">
      <c r="F1969" t="s">
        <v>933</v>
      </c>
      <c r="G1969" t="s">
        <v>170</v>
      </c>
      <c r="H1969" t="s">
        <v>480</v>
      </c>
      <c r="J1969" s="202"/>
      <c r="K1969" s="198"/>
      <c r="L1969" s="202"/>
      <c r="M1969" s="202"/>
      <c r="N1969" s="202"/>
      <c r="O1969" s="202"/>
      <c r="P1969" s="202"/>
      <c r="Q1969" s="202"/>
      <c r="R1969" s="202"/>
      <c r="S1969" s="202"/>
    </row>
    <row r="1970" spans="3:21" x14ac:dyDescent="0.25">
      <c r="F1970" t="s">
        <v>934</v>
      </c>
      <c r="G1970" t="s">
        <v>170</v>
      </c>
      <c r="H1970" t="s">
        <v>480</v>
      </c>
      <c r="J1970" s="202"/>
      <c r="K1970" s="198"/>
      <c r="L1970" s="202"/>
      <c r="M1970" s="202"/>
      <c r="N1970" s="202"/>
      <c r="O1970" s="202"/>
      <c r="P1970" s="202"/>
      <c r="Q1970" s="202"/>
      <c r="R1970" s="202"/>
      <c r="S1970" s="202"/>
    </row>
    <row r="1971" spans="3:21" x14ac:dyDescent="0.25">
      <c r="F1971" t="s">
        <v>935</v>
      </c>
      <c r="G1971" t="s">
        <v>170</v>
      </c>
      <c r="H1971" t="s">
        <v>480</v>
      </c>
      <c r="J1971" s="202"/>
      <c r="K1971" s="198"/>
      <c r="L1971" s="202"/>
      <c r="M1971" s="202"/>
      <c r="N1971" s="202"/>
      <c r="O1971" s="202"/>
      <c r="P1971" s="202"/>
      <c r="Q1971" s="202"/>
      <c r="R1971" s="202"/>
      <c r="S1971" s="202"/>
    </row>
    <row r="1972" spans="3:21" x14ac:dyDescent="0.25">
      <c r="F1972" t="s">
        <v>936</v>
      </c>
      <c r="G1972" t="s">
        <v>170</v>
      </c>
      <c r="H1972" t="s">
        <v>480</v>
      </c>
      <c r="J1972" s="202"/>
      <c r="K1972" s="198"/>
      <c r="L1972" s="202"/>
      <c r="M1972" s="202"/>
      <c r="N1972" s="202"/>
      <c r="O1972" s="202"/>
      <c r="P1972" s="202"/>
      <c r="Q1972" s="202"/>
      <c r="R1972" s="202"/>
      <c r="S1972" s="202"/>
    </row>
    <row r="1973" spans="3:21" x14ac:dyDescent="0.25">
      <c r="F1973" t="s">
        <v>937</v>
      </c>
      <c r="G1973" t="s">
        <v>170</v>
      </c>
      <c r="H1973" t="s">
        <v>480</v>
      </c>
      <c r="J1973" s="202"/>
      <c r="K1973" s="198"/>
      <c r="L1973" s="202"/>
      <c r="M1973" s="202"/>
      <c r="N1973" s="202"/>
      <c r="O1973" s="202"/>
      <c r="P1973" s="202"/>
      <c r="Q1973" s="202"/>
      <c r="R1973" s="202"/>
      <c r="S1973" s="202"/>
    </row>
    <row r="1974" spans="3:21" x14ac:dyDescent="0.25">
      <c r="F1974" t="s">
        <v>938</v>
      </c>
      <c r="G1974" t="s">
        <v>170</v>
      </c>
      <c r="H1974" t="s">
        <v>480</v>
      </c>
      <c r="J1974" s="202"/>
      <c r="K1974" s="198"/>
      <c r="L1974" s="202"/>
      <c r="M1974" s="202"/>
      <c r="N1974" s="202"/>
      <c r="O1974" s="202"/>
      <c r="P1974" s="202"/>
      <c r="Q1974" s="202"/>
      <c r="R1974" s="202"/>
      <c r="S1974" s="202"/>
    </row>
    <row r="1975" spans="3:21" x14ac:dyDescent="0.25">
      <c r="F1975" t="s">
        <v>939</v>
      </c>
      <c r="G1975" t="s">
        <v>170</v>
      </c>
      <c r="H1975" t="s">
        <v>480</v>
      </c>
      <c r="J1975" s="202"/>
      <c r="K1975" s="198"/>
      <c r="L1975" s="202"/>
      <c r="M1975" s="202"/>
      <c r="N1975" s="202"/>
      <c r="O1975" s="202"/>
      <c r="P1975" s="202"/>
      <c r="Q1975" s="202"/>
      <c r="R1975" s="202"/>
      <c r="S1975" s="202"/>
    </row>
    <row r="1976" spans="3:21" x14ac:dyDescent="0.25">
      <c r="F1976" s="17" t="s">
        <v>940</v>
      </c>
      <c r="G1976" s="17" t="s">
        <v>170</v>
      </c>
      <c r="H1976" s="17" t="s">
        <v>480</v>
      </c>
      <c r="I1976" s="122"/>
      <c r="J1976" s="203"/>
      <c r="K1976" s="200"/>
      <c r="L1976" s="203"/>
      <c r="M1976" s="203"/>
      <c r="N1976" s="203"/>
      <c r="O1976" s="203"/>
      <c r="P1976" s="203"/>
      <c r="Q1976" s="203"/>
      <c r="R1976" s="203"/>
      <c r="S1976" s="203"/>
    </row>
    <row r="1977" spans="3:21" x14ac:dyDescent="0.25">
      <c r="J1977" s="59"/>
      <c r="K1977" s="59"/>
      <c r="L1977" s="59"/>
      <c r="M1977" s="59"/>
      <c r="N1977" s="59"/>
      <c r="O1977" s="59"/>
      <c r="P1977" s="59"/>
      <c r="Q1977" s="59"/>
      <c r="R1977" s="59"/>
      <c r="S1977" s="59"/>
    </row>
    <row r="1978" spans="3:21" x14ac:dyDescent="0.25">
      <c r="C1978" s="5" t="str">
        <f ca="1">INDEX('Version control'!$H$36:$H$62,MATCH($A$1,'Version control'!$F$36:$F$62,0),1)&amp;"-R: 'Designated Property' MPANs with EDCM-level LDNO boundaries"</f>
        <v>Input 501-R: 'Designated Property' MPANs with EDCM-level LDNO boundaries</v>
      </c>
      <c r="D1978" s="5"/>
      <c r="E1978" s="5"/>
      <c r="F1978" s="5"/>
      <c r="G1978" s="5"/>
      <c r="H1978" s="5"/>
      <c r="I1978" s="143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</row>
    <row r="1979" spans="3:21" x14ac:dyDescent="0.25">
      <c r="J1979" s="59"/>
      <c r="K1979" s="59"/>
      <c r="L1979" s="59"/>
      <c r="M1979" s="59"/>
      <c r="N1979" s="59"/>
      <c r="O1979" s="59"/>
      <c r="P1979" s="59"/>
      <c r="Q1979" s="59"/>
      <c r="R1979" s="59"/>
      <c r="S1979" s="59"/>
    </row>
    <row r="1980" spans="3:21" x14ac:dyDescent="0.25">
      <c r="E1980" s="392" t="s">
        <v>987</v>
      </c>
      <c r="I1980" s="59" t="s">
        <v>359</v>
      </c>
      <c r="J1980" s="59"/>
      <c r="K1980" s="59"/>
      <c r="L1980" s="59"/>
      <c r="M1980" s="59"/>
      <c r="N1980" s="59"/>
      <c r="O1980" s="59"/>
      <c r="P1980" s="59"/>
      <c r="Q1980" s="59"/>
      <c r="R1980" s="59"/>
      <c r="S1980" s="59"/>
      <c r="U1980" t="s">
        <v>992</v>
      </c>
    </row>
    <row r="1981" spans="3:21" x14ac:dyDescent="0.25">
      <c r="F1981" s="80" t="s">
        <v>925</v>
      </c>
      <c r="G1981" s="80" t="s">
        <v>509</v>
      </c>
      <c r="H1981" s="80"/>
      <c r="I1981" s="94"/>
      <c r="J1981" s="195">
        <f t="shared" ref="J1981:J1996" si="382">CHOOSE(year_selection, L1981,M1981,N1981,O1981,P1981,Q1981,R1981,S1981)</f>
        <v>3466.0728288547793</v>
      </c>
      <c r="K1981" s="196"/>
      <c r="L1981" s="283"/>
      <c r="M1981" s="283">
        <v>0</v>
      </c>
      <c r="N1981" s="283">
        <v>0</v>
      </c>
      <c r="O1981" s="283">
        <v>3466.0728288547793</v>
      </c>
      <c r="P1981" s="283">
        <f t="shared" ref="P1981:S1996" si="383">$O1981</f>
        <v>3466.0728288547793</v>
      </c>
      <c r="Q1981" s="283">
        <f t="shared" si="383"/>
        <v>3466.0728288547793</v>
      </c>
      <c r="R1981" s="283">
        <f t="shared" si="383"/>
        <v>3466.0728288547793</v>
      </c>
      <c r="S1981" s="283">
        <f t="shared" si="383"/>
        <v>3466.0728288547793</v>
      </c>
    </row>
    <row r="1982" spans="3:21" x14ac:dyDescent="0.25">
      <c r="F1982" t="s">
        <v>926</v>
      </c>
      <c r="G1982" t="s">
        <v>509</v>
      </c>
      <c r="J1982" s="395">
        <f t="shared" si="382"/>
        <v>0</v>
      </c>
      <c r="K1982" s="198"/>
      <c r="L1982" s="393"/>
      <c r="M1982" s="393">
        <v>0</v>
      </c>
      <c r="N1982" s="393">
        <v>0</v>
      </c>
      <c r="O1982" s="393">
        <v>0</v>
      </c>
      <c r="P1982" s="393">
        <f t="shared" si="383"/>
        <v>0</v>
      </c>
      <c r="Q1982" s="393">
        <f t="shared" si="383"/>
        <v>0</v>
      </c>
      <c r="R1982" s="393">
        <f t="shared" si="383"/>
        <v>0</v>
      </c>
      <c r="S1982" s="393">
        <f t="shared" si="383"/>
        <v>0</v>
      </c>
    </row>
    <row r="1983" spans="3:21" x14ac:dyDescent="0.25">
      <c r="F1983" t="s">
        <v>927</v>
      </c>
      <c r="G1983" t="s">
        <v>509</v>
      </c>
      <c r="J1983" s="197">
        <f t="shared" si="382"/>
        <v>0</v>
      </c>
      <c r="K1983" s="198"/>
      <c r="L1983" s="284"/>
      <c r="M1983" s="284">
        <v>0</v>
      </c>
      <c r="N1983" s="284">
        <v>0</v>
      </c>
      <c r="O1983" s="284">
        <v>0</v>
      </c>
      <c r="P1983" s="284">
        <f t="shared" si="383"/>
        <v>0</v>
      </c>
      <c r="Q1983" s="284">
        <f t="shared" si="383"/>
        <v>0</v>
      </c>
      <c r="R1983" s="284">
        <f t="shared" si="383"/>
        <v>0</v>
      </c>
      <c r="S1983" s="284">
        <f t="shared" si="383"/>
        <v>0</v>
      </c>
    </row>
    <row r="1984" spans="3:21" x14ac:dyDescent="0.25">
      <c r="F1984" t="s">
        <v>928</v>
      </c>
      <c r="G1984" t="s">
        <v>509</v>
      </c>
      <c r="J1984" s="395">
        <f t="shared" si="382"/>
        <v>84</v>
      </c>
      <c r="K1984" s="198"/>
      <c r="L1984" s="393"/>
      <c r="M1984" s="393">
        <v>0</v>
      </c>
      <c r="N1984" s="393">
        <v>0</v>
      </c>
      <c r="O1984" s="393">
        <v>84</v>
      </c>
      <c r="P1984" s="393">
        <f t="shared" si="383"/>
        <v>84</v>
      </c>
      <c r="Q1984" s="393">
        <f t="shared" si="383"/>
        <v>84</v>
      </c>
      <c r="R1984" s="393">
        <f t="shared" si="383"/>
        <v>84</v>
      </c>
      <c r="S1984" s="393">
        <f t="shared" si="383"/>
        <v>84</v>
      </c>
    </row>
    <row r="1985" spans="2:49" x14ac:dyDescent="0.25">
      <c r="F1985" t="s">
        <v>929</v>
      </c>
      <c r="G1985" t="s">
        <v>509</v>
      </c>
      <c r="J1985" s="197">
        <f t="shared" si="382"/>
        <v>3</v>
      </c>
      <c r="K1985" s="198"/>
      <c r="L1985" s="284"/>
      <c r="M1985" s="284">
        <v>0</v>
      </c>
      <c r="N1985" s="284">
        <v>0</v>
      </c>
      <c r="O1985" s="284">
        <v>3</v>
      </c>
      <c r="P1985" s="284">
        <f t="shared" si="383"/>
        <v>3</v>
      </c>
      <c r="Q1985" s="284">
        <f t="shared" si="383"/>
        <v>3</v>
      </c>
      <c r="R1985" s="284">
        <f t="shared" si="383"/>
        <v>3</v>
      </c>
      <c r="S1985" s="284">
        <f t="shared" si="383"/>
        <v>3</v>
      </c>
    </row>
    <row r="1986" spans="2:49" x14ac:dyDescent="0.25">
      <c r="F1986" t="s">
        <v>930</v>
      </c>
      <c r="G1986" t="s">
        <v>509</v>
      </c>
      <c r="J1986" s="197">
        <f t="shared" si="382"/>
        <v>31</v>
      </c>
      <c r="K1986" s="198"/>
      <c r="L1986" s="284"/>
      <c r="M1986" s="284">
        <v>0</v>
      </c>
      <c r="N1986" s="284">
        <v>0</v>
      </c>
      <c r="O1986" s="284">
        <v>31</v>
      </c>
      <c r="P1986" s="284">
        <f t="shared" si="383"/>
        <v>31</v>
      </c>
      <c r="Q1986" s="284">
        <f t="shared" si="383"/>
        <v>31</v>
      </c>
      <c r="R1986" s="284">
        <f t="shared" si="383"/>
        <v>31</v>
      </c>
      <c r="S1986" s="284">
        <f t="shared" si="383"/>
        <v>31</v>
      </c>
    </row>
    <row r="1987" spans="2:49" x14ac:dyDescent="0.25">
      <c r="F1987" t="s">
        <v>931</v>
      </c>
      <c r="G1987" t="s">
        <v>509</v>
      </c>
      <c r="J1987" s="395">
        <f t="shared" si="382"/>
        <v>5</v>
      </c>
      <c r="K1987" s="198"/>
      <c r="L1987" s="393"/>
      <c r="M1987" s="393">
        <v>0</v>
      </c>
      <c r="N1987" s="393">
        <v>0</v>
      </c>
      <c r="O1987" s="393">
        <v>5</v>
      </c>
      <c r="P1987" s="393">
        <f t="shared" si="383"/>
        <v>5</v>
      </c>
      <c r="Q1987" s="393">
        <f t="shared" si="383"/>
        <v>5</v>
      </c>
      <c r="R1987" s="393">
        <f t="shared" si="383"/>
        <v>5</v>
      </c>
      <c r="S1987" s="393">
        <f t="shared" si="383"/>
        <v>5</v>
      </c>
    </row>
    <row r="1988" spans="2:49" x14ac:dyDescent="0.25">
      <c r="F1988" t="s">
        <v>932</v>
      </c>
      <c r="G1988" t="s">
        <v>509</v>
      </c>
      <c r="J1988" s="395">
        <f t="shared" si="382"/>
        <v>0</v>
      </c>
      <c r="K1988" s="198"/>
      <c r="L1988" s="393"/>
      <c r="M1988" s="393">
        <v>0</v>
      </c>
      <c r="N1988" s="393">
        <v>0</v>
      </c>
      <c r="O1988" s="393">
        <v>0</v>
      </c>
      <c r="P1988" s="393">
        <f t="shared" si="383"/>
        <v>0</v>
      </c>
      <c r="Q1988" s="393">
        <f t="shared" si="383"/>
        <v>0</v>
      </c>
      <c r="R1988" s="393">
        <f t="shared" si="383"/>
        <v>0</v>
      </c>
      <c r="S1988" s="393">
        <f t="shared" si="383"/>
        <v>0</v>
      </c>
    </row>
    <row r="1989" spans="2:49" x14ac:dyDescent="0.25">
      <c r="F1989" t="s">
        <v>933</v>
      </c>
      <c r="G1989" t="s">
        <v>509</v>
      </c>
      <c r="J1989" s="197">
        <f t="shared" si="382"/>
        <v>0</v>
      </c>
      <c r="K1989" s="198"/>
      <c r="L1989" s="284"/>
      <c r="M1989" s="284">
        <v>0</v>
      </c>
      <c r="N1989" s="284">
        <v>0</v>
      </c>
      <c r="O1989" s="284">
        <v>0</v>
      </c>
      <c r="P1989" s="284">
        <f t="shared" si="383"/>
        <v>0</v>
      </c>
      <c r="Q1989" s="284">
        <f t="shared" si="383"/>
        <v>0</v>
      </c>
      <c r="R1989" s="284">
        <f t="shared" si="383"/>
        <v>0</v>
      </c>
      <c r="S1989" s="284">
        <f t="shared" si="383"/>
        <v>0</v>
      </c>
    </row>
    <row r="1990" spans="2:49" x14ac:dyDescent="0.25">
      <c r="F1990" t="s">
        <v>934</v>
      </c>
      <c r="G1990" t="s">
        <v>509</v>
      </c>
      <c r="J1990" s="197">
        <f t="shared" si="382"/>
        <v>13</v>
      </c>
      <c r="K1990" s="198"/>
      <c r="L1990" s="284"/>
      <c r="M1990" s="284">
        <v>0</v>
      </c>
      <c r="N1990" s="284">
        <v>0</v>
      </c>
      <c r="O1990" s="284">
        <v>13</v>
      </c>
      <c r="P1990" s="284">
        <f t="shared" si="383"/>
        <v>13</v>
      </c>
      <c r="Q1990" s="284">
        <f t="shared" si="383"/>
        <v>13</v>
      </c>
      <c r="R1990" s="284">
        <f t="shared" si="383"/>
        <v>13</v>
      </c>
      <c r="S1990" s="284">
        <f t="shared" si="383"/>
        <v>13</v>
      </c>
    </row>
    <row r="1991" spans="2:49" x14ac:dyDescent="0.25">
      <c r="F1991" t="s">
        <v>935</v>
      </c>
      <c r="G1991" t="s">
        <v>509</v>
      </c>
      <c r="J1991" s="197">
        <f t="shared" si="382"/>
        <v>16</v>
      </c>
      <c r="K1991" s="198"/>
      <c r="L1991" s="284"/>
      <c r="M1991" s="284">
        <v>0</v>
      </c>
      <c r="N1991" s="284">
        <v>0</v>
      </c>
      <c r="O1991" s="284">
        <v>16</v>
      </c>
      <c r="P1991" s="284">
        <f t="shared" si="383"/>
        <v>16</v>
      </c>
      <c r="Q1991" s="284">
        <f t="shared" si="383"/>
        <v>16</v>
      </c>
      <c r="R1991" s="284">
        <f t="shared" si="383"/>
        <v>16</v>
      </c>
      <c r="S1991" s="284">
        <f t="shared" si="383"/>
        <v>16</v>
      </c>
    </row>
    <row r="1992" spans="2:49" x14ac:dyDescent="0.25">
      <c r="F1992" t="s">
        <v>936</v>
      </c>
      <c r="G1992" t="s">
        <v>509</v>
      </c>
      <c r="J1992" s="197">
        <f t="shared" si="382"/>
        <v>9</v>
      </c>
      <c r="K1992" s="198"/>
      <c r="L1992" s="284"/>
      <c r="M1992" s="284">
        <v>0</v>
      </c>
      <c r="N1992" s="284">
        <v>0</v>
      </c>
      <c r="O1992" s="284">
        <v>9</v>
      </c>
      <c r="P1992" s="284">
        <f t="shared" si="383"/>
        <v>9</v>
      </c>
      <c r="Q1992" s="284">
        <f t="shared" si="383"/>
        <v>9</v>
      </c>
      <c r="R1992" s="284">
        <f t="shared" si="383"/>
        <v>9</v>
      </c>
      <c r="S1992" s="284">
        <f t="shared" si="383"/>
        <v>9</v>
      </c>
    </row>
    <row r="1993" spans="2:49" x14ac:dyDescent="0.25">
      <c r="F1993" t="s">
        <v>937</v>
      </c>
      <c r="G1993" t="s">
        <v>509</v>
      </c>
      <c r="J1993" s="197">
        <f t="shared" si="382"/>
        <v>9</v>
      </c>
      <c r="K1993" s="198"/>
      <c r="L1993" s="284"/>
      <c r="M1993" s="284">
        <v>0</v>
      </c>
      <c r="N1993" s="284">
        <v>0</v>
      </c>
      <c r="O1993" s="284">
        <v>9</v>
      </c>
      <c r="P1993" s="284">
        <f t="shared" si="383"/>
        <v>9</v>
      </c>
      <c r="Q1993" s="284">
        <f t="shared" si="383"/>
        <v>9</v>
      </c>
      <c r="R1993" s="284">
        <f t="shared" si="383"/>
        <v>9</v>
      </c>
      <c r="S1993" s="284">
        <f t="shared" si="383"/>
        <v>9</v>
      </c>
    </row>
    <row r="1994" spans="2:49" x14ac:dyDescent="0.25">
      <c r="F1994" t="s">
        <v>938</v>
      </c>
      <c r="G1994" t="s">
        <v>509</v>
      </c>
      <c r="J1994" s="197">
        <f t="shared" si="382"/>
        <v>0</v>
      </c>
      <c r="K1994" s="198"/>
      <c r="L1994" s="284"/>
      <c r="M1994" s="284">
        <v>0</v>
      </c>
      <c r="N1994" s="284">
        <v>0</v>
      </c>
      <c r="O1994" s="284">
        <v>0</v>
      </c>
      <c r="P1994" s="284">
        <f t="shared" si="383"/>
        <v>0</v>
      </c>
      <c r="Q1994" s="284">
        <f t="shared" si="383"/>
        <v>0</v>
      </c>
      <c r="R1994" s="284">
        <f t="shared" si="383"/>
        <v>0</v>
      </c>
      <c r="S1994" s="284">
        <f t="shared" si="383"/>
        <v>0</v>
      </c>
    </row>
    <row r="1995" spans="2:49" x14ac:dyDescent="0.25">
      <c r="F1995" t="s">
        <v>939</v>
      </c>
      <c r="G1995" t="s">
        <v>509</v>
      </c>
      <c r="J1995" s="395">
        <f t="shared" si="382"/>
        <v>0</v>
      </c>
      <c r="K1995" s="198"/>
      <c r="L1995" s="393"/>
      <c r="M1995" s="393">
        <v>0</v>
      </c>
      <c r="N1995" s="393">
        <v>0</v>
      </c>
      <c r="O1995" s="393">
        <v>0</v>
      </c>
      <c r="P1995" s="393">
        <f t="shared" si="383"/>
        <v>0</v>
      </c>
      <c r="Q1995" s="393">
        <f t="shared" si="383"/>
        <v>0</v>
      </c>
      <c r="R1995" s="393">
        <f t="shared" si="383"/>
        <v>0</v>
      </c>
      <c r="S1995" s="393">
        <f t="shared" si="383"/>
        <v>0</v>
      </c>
    </row>
    <row r="1996" spans="2:49" x14ac:dyDescent="0.25">
      <c r="F1996" s="17" t="s">
        <v>940</v>
      </c>
      <c r="G1996" s="17" t="s">
        <v>509</v>
      </c>
      <c r="H1996" s="17"/>
      <c r="I1996" s="122"/>
      <c r="J1996" s="396">
        <f t="shared" si="382"/>
        <v>0</v>
      </c>
      <c r="K1996" s="200"/>
      <c r="L1996" s="394"/>
      <c r="M1996" s="394">
        <v>0</v>
      </c>
      <c r="N1996" s="394">
        <v>0</v>
      </c>
      <c r="O1996" s="394">
        <v>0</v>
      </c>
      <c r="P1996" s="394">
        <f t="shared" si="383"/>
        <v>0</v>
      </c>
      <c r="Q1996" s="394">
        <f t="shared" si="383"/>
        <v>0</v>
      </c>
      <c r="R1996" s="394">
        <f t="shared" si="383"/>
        <v>0</v>
      </c>
      <c r="S1996" s="394">
        <f t="shared" si="383"/>
        <v>0</v>
      </c>
    </row>
    <row r="1997" spans="2:49" x14ac:dyDescent="0.25">
      <c r="D1997" s="12"/>
      <c r="J1997" s="198"/>
      <c r="K1997" s="198"/>
      <c r="L1997" s="198"/>
      <c r="M1997" s="198"/>
      <c r="N1997" s="198"/>
      <c r="O1997" s="198"/>
      <c r="P1997" s="198"/>
      <c r="Q1997" s="198"/>
      <c r="R1997" s="198"/>
      <c r="S1997" s="198"/>
    </row>
    <row r="1998" spans="2:49" x14ac:dyDescent="0.25">
      <c r="B1998" s="82" t="s">
        <v>1221</v>
      </c>
      <c r="C1998" s="82"/>
      <c r="D1998" s="82"/>
      <c r="E1998" s="82"/>
      <c r="F1998" s="82"/>
      <c r="G1998" s="82"/>
      <c r="H1998" s="82"/>
      <c r="I1998" s="136"/>
      <c r="J1998" s="136"/>
      <c r="K1998" s="136"/>
      <c r="L1998" s="136"/>
      <c r="M1998" s="136"/>
      <c r="N1998" s="136"/>
      <c r="O1998" s="136"/>
      <c r="P1998" s="136"/>
      <c r="Q1998" s="136"/>
      <c r="R1998" s="136"/>
      <c r="S1998" s="136"/>
      <c r="T1998" s="82"/>
      <c r="U1998" s="82"/>
      <c r="W1998" s="82"/>
      <c r="X1998" s="82"/>
      <c r="Y1998" s="82"/>
      <c r="Z1998" s="82"/>
      <c r="AA1998" s="82"/>
      <c r="AB1998" s="82"/>
      <c r="AC1998" s="82"/>
      <c r="AD1998" s="82"/>
      <c r="AE1998" s="82"/>
      <c r="AF1998" s="82"/>
      <c r="AG1998" s="82"/>
      <c r="AH1998" s="82"/>
      <c r="AI1998" s="82"/>
      <c r="AJ1998" s="82"/>
      <c r="AK1998" s="82"/>
      <c r="AL1998" s="82"/>
      <c r="AM1998" s="82"/>
      <c r="AN1998" s="82"/>
      <c r="AO1998" s="82"/>
      <c r="AP1998" s="82"/>
      <c r="AQ1998" s="82"/>
      <c r="AR1998" s="82"/>
      <c r="AS1998" s="82"/>
      <c r="AT1998" s="82"/>
      <c r="AU1998" s="82"/>
      <c r="AV1998" s="82"/>
      <c r="AW1998" s="82"/>
    </row>
    <row r="1999" spans="2:49" x14ac:dyDescent="0.25">
      <c r="D1999" s="12"/>
      <c r="J1999" s="59"/>
      <c r="K1999" s="59"/>
      <c r="L1999" s="59"/>
      <c r="M1999" s="59"/>
      <c r="N1999" s="59"/>
      <c r="O1999" s="59"/>
      <c r="P1999" s="59"/>
      <c r="Q1999" s="59"/>
      <c r="R1999" s="59"/>
      <c r="S1999" s="59"/>
    </row>
    <row r="2000" spans="2:49" x14ac:dyDescent="0.25">
      <c r="D2000" s="73" t="s">
        <v>1222</v>
      </c>
      <c r="H2000" s="79"/>
      <c r="I2000" t="s">
        <v>359</v>
      </c>
      <c r="J2000" s="59"/>
      <c r="K2000" s="59"/>
      <c r="L2000" s="59"/>
      <c r="M2000" s="59"/>
      <c r="N2000" s="59"/>
      <c r="O2000" s="59"/>
      <c r="P2000" s="59"/>
      <c r="Q2000" s="59"/>
      <c r="R2000" s="59"/>
      <c r="S2000" s="59"/>
      <c r="U2000" t="s">
        <v>1233</v>
      </c>
    </row>
    <row r="2001" spans="3:21" x14ac:dyDescent="0.25">
      <c r="D2001" s="73" t="s">
        <v>1223</v>
      </c>
      <c r="H2001" s="79"/>
      <c r="I2001"/>
      <c r="J2001" s="59"/>
      <c r="K2001" s="59"/>
      <c r="L2001" s="59"/>
      <c r="M2001" s="59"/>
      <c r="N2001" s="59"/>
      <c r="O2001" s="59"/>
      <c r="P2001" s="59"/>
      <c r="Q2001" s="59"/>
      <c r="R2001" s="59"/>
      <c r="S2001" s="59"/>
    </row>
    <row r="2002" spans="3:21" x14ac:dyDescent="0.25">
      <c r="D2002" s="12"/>
      <c r="J2002" s="59"/>
      <c r="K2002" s="59"/>
      <c r="L2002" s="59"/>
      <c r="M2002" s="59"/>
      <c r="N2002" s="59"/>
      <c r="O2002" s="59"/>
      <c r="P2002" s="59"/>
      <c r="Q2002" s="59"/>
      <c r="R2002" s="59"/>
      <c r="S2002" s="59"/>
    </row>
    <row r="2003" spans="3:21" x14ac:dyDescent="0.25">
      <c r="C2003" s="5" t="str">
        <f ca="1">INDEX('Version control'!$H$36:$H$62,MATCH($A$1,'Version control'!$F$36:$F$62,0),1)&amp;"-S: All the way non-domestic aggregated (related MPAN) distribution by bands"</f>
        <v>Input 501-S: All the way non-domestic aggregated (related MPAN) distribution by bands</v>
      </c>
      <c r="D2003" s="5"/>
      <c r="E2003" s="5"/>
      <c r="F2003" s="5"/>
      <c r="G2003" s="5"/>
      <c r="H2003" s="5"/>
      <c r="I2003" s="143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</row>
    <row r="2004" spans="3:21" x14ac:dyDescent="0.25">
      <c r="J2004" s="59"/>
      <c r="K2004" s="59"/>
      <c r="L2004" s="59"/>
      <c r="M2004" s="59"/>
      <c r="N2004" s="59"/>
      <c r="O2004" s="59"/>
      <c r="P2004" s="59"/>
      <c r="Q2004" s="59"/>
      <c r="R2004" s="59"/>
      <c r="S2004" s="59"/>
    </row>
    <row r="2005" spans="3:21" x14ac:dyDescent="0.25">
      <c r="E2005" s="392" t="s">
        <v>199</v>
      </c>
      <c r="J2005" s="59"/>
      <c r="K2005" s="59"/>
      <c r="L2005" s="59"/>
      <c r="M2005" s="59"/>
      <c r="N2005" s="59"/>
      <c r="O2005" s="59"/>
      <c r="P2005" s="59"/>
      <c r="Q2005" s="59"/>
      <c r="R2005" s="59"/>
      <c r="S2005" s="59"/>
    </row>
    <row r="2006" spans="3:21" x14ac:dyDescent="0.25">
      <c r="F2006" s="80" t="s">
        <v>1060</v>
      </c>
      <c r="G2006" s="80" t="s">
        <v>94</v>
      </c>
      <c r="H2006" s="80"/>
      <c r="I2006" s="94"/>
      <c r="J2006" s="156">
        <f t="shared" ref="J2006:J2010" si="384">CHOOSE(year_selection, L2006,M2006,N2006,O2006,P2006,Q2006,R2006,S2006)</f>
        <v>0</v>
      </c>
      <c r="K2006" s="378"/>
      <c r="L2006" s="466"/>
      <c r="M2006" s="466">
        <v>0</v>
      </c>
      <c r="N2006" s="466">
        <v>0</v>
      </c>
      <c r="O2006" s="466">
        <v>0</v>
      </c>
      <c r="P2006" s="466">
        <f t="shared" ref="P2006:S2010" si="385">$O2006</f>
        <v>0</v>
      </c>
      <c r="Q2006" s="466">
        <f t="shared" si="385"/>
        <v>0</v>
      </c>
      <c r="R2006" s="466">
        <f t="shared" si="385"/>
        <v>0</v>
      </c>
      <c r="S2006" s="466">
        <f t="shared" si="385"/>
        <v>0</v>
      </c>
    </row>
    <row r="2007" spans="3:21" x14ac:dyDescent="0.25">
      <c r="F2007" t="s">
        <v>1061</v>
      </c>
      <c r="G2007" t="s">
        <v>94</v>
      </c>
      <c r="J2007" s="157">
        <f t="shared" si="384"/>
        <v>8.4363128002655496E-2</v>
      </c>
      <c r="K2007" s="380"/>
      <c r="L2007" s="467"/>
      <c r="M2007" s="467">
        <v>3.114815340814811E-2</v>
      </c>
      <c r="N2007" s="467">
        <v>7.3423589803189332E-2</v>
      </c>
      <c r="O2007" s="467">
        <v>8.4363128002655496E-2</v>
      </c>
      <c r="P2007" s="467">
        <f t="shared" si="385"/>
        <v>8.4363128002655496E-2</v>
      </c>
      <c r="Q2007" s="467">
        <f t="shared" si="385"/>
        <v>8.4363128002655496E-2</v>
      </c>
      <c r="R2007" s="467">
        <f t="shared" si="385"/>
        <v>8.4363128002655496E-2</v>
      </c>
      <c r="S2007" s="467">
        <f t="shared" si="385"/>
        <v>8.4363128002655496E-2</v>
      </c>
    </row>
    <row r="2008" spans="3:21" x14ac:dyDescent="0.25">
      <c r="F2008" t="s">
        <v>1062</v>
      </c>
      <c r="G2008" t="s">
        <v>94</v>
      </c>
      <c r="J2008" s="157">
        <f t="shared" si="384"/>
        <v>0.15242182843567806</v>
      </c>
      <c r="K2008" s="380"/>
      <c r="L2008" s="467"/>
      <c r="M2008" s="467">
        <v>0.13834413045927971</v>
      </c>
      <c r="N2008" s="467">
        <v>0.14981669324412941</v>
      </c>
      <c r="O2008" s="467">
        <v>0.15242182843567806</v>
      </c>
      <c r="P2008" s="467">
        <f t="shared" si="385"/>
        <v>0.15242182843567806</v>
      </c>
      <c r="Q2008" s="467">
        <f t="shared" si="385"/>
        <v>0.15242182843567806</v>
      </c>
      <c r="R2008" s="467">
        <f t="shared" si="385"/>
        <v>0.15242182843567806</v>
      </c>
      <c r="S2008" s="467">
        <f t="shared" si="385"/>
        <v>0.15242182843567806</v>
      </c>
    </row>
    <row r="2009" spans="3:21" x14ac:dyDescent="0.25">
      <c r="F2009" t="s">
        <v>1063</v>
      </c>
      <c r="G2009" t="s">
        <v>94</v>
      </c>
      <c r="J2009" s="264">
        <f t="shared" si="384"/>
        <v>0.18978830708420621</v>
      </c>
      <c r="K2009" s="380"/>
      <c r="L2009" s="468"/>
      <c r="M2009" s="468">
        <v>0.19722105308413354</v>
      </c>
      <c r="N2009" s="468">
        <v>0.19258184763983491</v>
      </c>
      <c r="O2009" s="468">
        <v>0.18978830708420621</v>
      </c>
      <c r="P2009" s="468">
        <f t="shared" si="385"/>
        <v>0.18978830708420621</v>
      </c>
      <c r="Q2009" s="468">
        <f t="shared" si="385"/>
        <v>0.18978830708420621</v>
      </c>
      <c r="R2009" s="468">
        <f t="shared" si="385"/>
        <v>0.18978830708420621</v>
      </c>
      <c r="S2009" s="468">
        <f t="shared" si="385"/>
        <v>0.18978830708420621</v>
      </c>
    </row>
    <row r="2010" spans="3:21" x14ac:dyDescent="0.25">
      <c r="F2010" s="17" t="s">
        <v>1064</v>
      </c>
      <c r="G2010" s="17" t="s">
        <v>94</v>
      </c>
      <c r="H2010" s="17"/>
      <c r="I2010" s="122"/>
      <c r="J2010" s="469">
        <f t="shared" si="384"/>
        <v>0.57342673647746012</v>
      </c>
      <c r="K2010" s="470"/>
      <c r="L2010" s="471"/>
      <c r="M2010" s="471">
        <v>0.63328666304843861</v>
      </c>
      <c r="N2010" s="471">
        <v>0.58417786931284643</v>
      </c>
      <c r="O2010" s="471">
        <v>0.57342673647746012</v>
      </c>
      <c r="P2010" s="471">
        <f t="shared" si="385"/>
        <v>0.57342673647746012</v>
      </c>
      <c r="Q2010" s="471">
        <f t="shared" si="385"/>
        <v>0.57342673647746012</v>
      </c>
      <c r="R2010" s="471">
        <f t="shared" si="385"/>
        <v>0.57342673647746012</v>
      </c>
      <c r="S2010" s="471">
        <f t="shared" si="385"/>
        <v>0.57342673647746012</v>
      </c>
    </row>
    <row r="2011" spans="3:21" x14ac:dyDescent="0.25">
      <c r="D2011" s="12"/>
      <c r="J2011" s="198"/>
      <c r="K2011" s="198"/>
      <c r="L2011" s="198"/>
      <c r="M2011" s="198"/>
      <c r="N2011" s="198"/>
      <c r="O2011" s="198"/>
      <c r="P2011" s="198"/>
      <c r="Q2011" s="198"/>
      <c r="R2011" s="198"/>
      <c r="S2011" s="198"/>
    </row>
    <row r="2012" spans="3:21" x14ac:dyDescent="0.25">
      <c r="E2012" s="392" t="s">
        <v>200</v>
      </c>
      <c r="J2012" s="59"/>
      <c r="K2012" s="59"/>
      <c r="L2012" s="59"/>
      <c r="M2012" s="59"/>
      <c r="N2012" s="59"/>
      <c r="O2012" s="59"/>
      <c r="P2012" s="59"/>
      <c r="Q2012" s="59"/>
      <c r="R2012" s="59"/>
      <c r="S2012" s="59"/>
    </row>
    <row r="2013" spans="3:21" x14ac:dyDescent="0.25">
      <c r="F2013" s="80" t="s">
        <v>1060</v>
      </c>
      <c r="G2013" s="80" t="s">
        <v>94</v>
      </c>
      <c r="H2013" s="80"/>
      <c r="I2013" s="94"/>
      <c r="J2013" s="156">
        <f t="shared" ref="J2013:J2017" si="386">CHOOSE(year_selection, L2013,M2013,N2013,O2013,P2013,Q2013,R2013,S2013)</f>
        <v>0</v>
      </c>
      <c r="K2013" s="378"/>
      <c r="L2013" s="466"/>
      <c r="M2013" s="466">
        <v>0</v>
      </c>
      <c r="N2013" s="466">
        <v>0</v>
      </c>
      <c r="O2013" s="466">
        <v>0</v>
      </c>
      <c r="P2013" s="466">
        <f t="shared" ref="P2013:S2017" si="387">$O2013</f>
        <v>0</v>
      </c>
      <c r="Q2013" s="466">
        <f t="shared" si="387"/>
        <v>0</v>
      </c>
      <c r="R2013" s="466">
        <f t="shared" si="387"/>
        <v>0</v>
      </c>
      <c r="S2013" s="466">
        <f t="shared" si="387"/>
        <v>0</v>
      </c>
    </row>
    <row r="2014" spans="3:21" x14ac:dyDescent="0.25">
      <c r="F2014" t="s">
        <v>1061</v>
      </c>
      <c r="G2014" t="s">
        <v>94</v>
      </c>
      <c r="J2014" s="157">
        <f t="shared" si="386"/>
        <v>8.4363128002655496E-2</v>
      </c>
      <c r="K2014" s="380"/>
      <c r="L2014" s="467"/>
      <c r="M2014" s="467">
        <v>3.114815340814811E-2</v>
      </c>
      <c r="N2014" s="467">
        <v>7.3423589803189332E-2</v>
      </c>
      <c r="O2014" s="467">
        <v>8.4363128002655496E-2</v>
      </c>
      <c r="P2014" s="467">
        <f t="shared" si="387"/>
        <v>8.4363128002655496E-2</v>
      </c>
      <c r="Q2014" s="467">
        <f t="shared" si="387"/>
        <v>8.4363128002655496E-2</v>
      </c>
      <c r="R2014" s="467">
        <f t="shared" si="387"/>
        <v>8.4363128002655496E-2</v>
      </c>
      <c r="S2014" s="467">
        <f t="shared" si="387"/>
        <v>8.4363128002655496E-2</v>
      </c>
    </row>
    <row r="2015" spans="3:21" x14ac:dyDescent="0.25">
      <c r="F2015" t="s">
        <v>1062</v>
      </c>
      <c r="G2015" t="s">
        <v>94</v>
      </c>
      <c r="J2015" s="157">
        <f t="shared" si="386"/>
        <v>0.15242182843567806</v>
      </c>
      <c r="K2015" s="380"/>
      <c r="L2015" s="467"/>
      <c r="M2015" s="467">
        <v>0.13834413045927971</v>
      </c>
      <c r="N2015" s="467">
        <v>0.14981669324412941</v>
      </c>
      <c r="O2015" s="467">
        <v>0.15242182843567806</v>
      </c>
      <c r="P2015" s="467">
        <f t="shared" si="387"/>
        <v>0.15242182843567806</v>
      </c>
      <c r="Q2015" s="467">
        <f t="shared" si="387"/>
        <v>0.15242182843567806</v>
      </c>
      <c r="R2015" s="467">
        <f t="shared" si="387"/>
        <v>0.15242182843567806</v>
      </c>
      <c r="S2015" s="467">
        <f t="shared" si="387"/>
        <v>0.15242182843567806</v>
      </c>
    </row>
    <row r="2016" spans="3:21" x14ac:dyDescent="0.25">
      <c r="F2016" t="s">
        <v>1063</v>
      </c>
      <c r="G2016" t="s">
        <v>94</v>
      </c>
      <c r="J2016" s="264">
        <f t="shared" si="386"/>
        <v>0.18978830708420621</v>
      </c>
      <c r="K2016" s="380"/>
      <c r="L2016" s="468"/>
      <c r="M2016" s="468">
        <v>0.19722105308413354</v>
      </c>
      <c r="N2016" s="468">
        <v>0.19258184763983491</v>
      </c>
      <c r="O2016" s="468">
        <v>0.18978830708420621</v>
      </c>
      <c r="P2016" s="468">
        <f t="shared" si="387"/>
        <v>0.18978830708420621</v>
      </c>
      <c r="Q2016" s="468">
        <f t="shared" si="387"/>
        <v>0.18978830708420621</v>
      </c>
      <c r="R2016" s="468">
        <f t="shared" si="387"/>
        <v>0.18978830708420621</v>
      </c>
      <c r="S2016" s="468">
        <f t="shared" si="387"/>
        <v>0.18978830708420621</v>
      </c>
    </row>
    <row r="2017" spans="3:21" x14ac:dyDescent="0.25">
      <c r="F2017" s="17" t="s">
        <v>1064</v>
      </c>
      <c r="G2017" s="17" t="s">
        <v>94</v>
      </c>
      <c r="H2017" s="17"/>
      <c r="I2017" s="122"/>
      <c r="J2017" s="469">
        <f t="shared" si="386"/>
        <v>0.57342673647746012</v>
      </c>
      <c r="K2017" s="470"/>
      <c r="L2017" s="471"/>
      <c r="M2017" s="471">
        <v>0.63328666304843861</v>
      </c>
      <c r="N2017" s="471">
        <v>0.58417786931284643</v>
      </c>
      <c r="O2017" s="471">
        <v>0.57342673647746012</v>
      </c>
      <c r="P2017" s="471">
        <f t="shared" si="387"/>
        <v>0.57342673647746012</v>
      </c>
      <c r="Q2017" s="471">
        <f t="shared" si="387"/>
        <v>0.57342673647746012</v>
      </c>
      <c r="R2017" s="471">
        <f t="shared" si="387"/>
        <v>0.57342673647746012</v>
      </c>
      <c r="S2017" s="471">
        <f t="shared" si="387"/>
        <v>0.57342673647746012</v>
      </c>
    </row>
    <row r="2018" spans="3:21" x14ac:dyDescent="0.25">
      <c r="D2018" s="12"/>
      <c r="J2018" s="198"/>
      <c r="K2018" s="198"/>
      <c r="L2018" s="198"/>
      <c r="M2018" s="198"/>
      <c r="N2018" s="198"/>
      <c r="O2018" s="198"/>
      <c r="P2018" s="198"/>
      <c r="Q2018" s="198"/>
      <c r="R2018" s="198"/>
      <c r="S2018" s="198"/>
    </row>
    <row r="2019" spans="3:21" x14ac:dyDescent="0.25">
      <c r="E2019" s="392" t="s">
        <v>201</v>
      </c>
      <c r="J2019" s="59"/>
      <c r="K2019" s="59"/>
      <c r="L2019" s="59"/>
      <c r="M2019" s="59"/>
      <c r="N2019" s="59"/>
      <c r="O2019" s="59"/>
      <c r="P2019" s="59"/>
      <c r="Q2019" s="59"/>
      <c r="R2019" s="59"/>
      <c r="S2019" s="59"/>
    </row>
    <row r="2020" spans="3:21" x14ac:dyDescent="0.25">
      <c r="F2020" s="80" t="s">
        <v>1060</v>
      </c>
      <c r="G2020" s="80" t="s">
        <v>94</v>
      </c>
      <c r="H2020" s="80"/>
      <c r="I2020" s="94"/>
      <c r="J2020" s="156">
        <f t="shared" ref="J2020:J2024" si="388">CHOOSE(year_selection, L2020,M2020,N2020,O2020,P2020,Q2020,R2020,S2020)</f>
        <v>0</v>
      </c>
      <c r="K2020" s="378"/>
      <c r="L2020" s="466"/>
      <c r="M2020" s="466">
        <v>0</v>
      </c>
      <c r="N2020" s="466">
        <v>0</v>
      </c>
      <c r="O2020" s="466">
        <v>0</v>
      </c>
      <c r="P2020" s="466">
        <f t="shared" ref="P2020:S2024" si="389">$O2020</f>
        <v>0</v>
      </c>
      <c r="Q2020" s="466">
        <f t="shared" si="389"/>
        <v>0</v>
      </c>
      <c r="R2020" s="466">
        <f t="shared" si="389"/>
        <v>0</v>
      </c>
      <c r="S2020" s="466">
        <f t="shared" si="389"/>
        <v>0</v>
      </c>
    </row>
    <row r="2021" spans="3:21" x14ac:dyDescent="0.25">
      <c r="F2021" t="s">
        <v>1061</v>
      </c>
      <c r="G2021" t="s">
        <v>94</v>
      </c>
      <c r="J2021" s="157">
        <f t="shared" si="388"/>
        <v>8.4363128002655496E-2</v>
      </c>
      <c r="K2021" s="380"/>
      <c r="L2021" s="467"/>
      <c r="M2021" s="467">
        <v>3.114815340814811E-2</v>
      </c>
      <c r="N2021" s="467">
        <v>7.3423589803189332E-2</v>
      </c>
      <c r="O2021" s="467">
        <v>8.4363128002655496E-2</v>
      </c>
      <c r="P2021" s="467">
        <f t="shared" si="389"/>
        <v>8.4363128002655496E-2</v>
      </c>
      <c r="Q2021" s="467">
        <f t="shared" si="389"/>
        <v>8.4363128002655496E-2</v>
      </c>
      <c r="R2021" s="467">
        <f t="shared" si="389"/>
        <v>8.4363128002655496E-2</v>
      </c>
      <c r="S2021" s="467">
        <f t="shared" si="389"/>
        <v>8.4363128002655496E-2</v>
      </c>
    </row>
    <row r="2022" spans="3:21" x14ac:dyDescent="0.25">
      <c r="F2022" t="s">
        <v>1062</v>
      </c>
      <c r="G2022" t="s">
        <v>94</v>
      </c>
      <c r="J2022" s="157">
        <f t="shared" si="388"/>
        <v>0.15242182843567806</v>
      </c>
      <c r="K2022" s="380"/>
      <c r="L2022" s="467"/>
      <c r="M2022" s="467">
        <v>0.13834413045927971</v>
      </c>
      <c r="N2022" s="467">
        <v>0.14981669324412941</v>
      </c>
      <c r="O2022" s="467">
        <v>0.15242182843567806</v>
      </c>
      <c r="P2022" s="467">
        <f t="shared" si="389"/>
        <v>0.15242182843567806</v>
      </c>
      <c r="Q2022" s="467">
        <f t="shared" si="389"/>
        <v>0.15242182843567806</v>
      </c>
      <c r="R2022" s="467">
        <f t="shared" si="389"/>
        <v>0.15242182843567806</v>
      </c>
      <c r="S2022" s="467">
        <f t="shared" si="389"/>
        <v>0.15242182843567806</v>
      </c>
    </row>
    <row r="2023" spans="3:21" x14ac:dyDescent="0.25">
      <c r="F2023" t="s">
        <v>1063</v>
      </c>
      <c r="G2023" t="s">
        <v>94</v>
      </c>
      <c r="J2023" s="264">
        <f t="shared" si="388"/>
        <v>0.18978830708420621</v>
      </c>
      <c r="K2023" s="380"/>
      <c r="L2023" s="468"/>
      <c r="M2023" s="468">
        <v>0.19722105308413354</v>
      </c>
      <c r="N2023" s="468">
        <v>0.19258184763983491</v>
      </c>
      <c r="O2023" s="468">
        <v>0.18978830708420621</v>
      </c>
      <c r="P2023" s="468">
        <f t="shared" si="389"/>
        <v>0.18978830708420621</v>
      </c>
      <c r="Q2023" s="468">
        <f t="shared" si="389"/>
        <v>0.18978830708420621</v>
      </c>
      <c r="R2023" s="468">
        <f t="shared" si="389"/>
        <v>0.18978830708420621</v>
      </c>
      <c r="S2023" s="468">
        <f t="shared" si="389"/>
        <v>0.18978830708420621</v>
      </c>
    </row>
    <row r="2024" spans="3:21" x14ac:dyDescent="0.25">
      <c r="F2024" s="17" t="s">
        <v>1064</v>
      </c>
      <c r="G2024" s="17" t="s">
        <v>94</v>
      </c>
      <c r="H2024" s="17"/>
      <c r="I2024" s="122"/>
      <c r="J2024" s="469">
        <f t="shared" si="388"/>
        <v>0.57342673647746012</v>
      </c>
      <c r="K2024" s="470"/>
      <c r="L2024" s="471"/>
      <c r="M2024" s="471">
        <v>0.63328666304843861</v>
      </c>
      <c r="N2024" s="471">
        <v>0.58417786931284643</v>
      </c>
      <c r="O2024" s="471">
        <v>0.57342673647746012</v>
      </c>
      <c r="P2024" s="471">
        <f t="shared" si="389"/>
        <v>0.57342673647746012</v>
      </c>
      <c r="Q2024" s="471">
        <f t="shared" si="389"/>
        <v>0.57342673647746012</v>
      </c>
      <c r="R2024" s="471">
        <f t="shared" si="389"/>
        <v>0.57342673647746012</v>
      </c>
      <c r="S2024" s="471">
        <f t="shared" si="389"/>
        <v>0.57342673647746012</v>
      </c>
    </row>
    <row r="2025" spans="3:21" x14ac:dyDescent="0.25">
      <c r="D2025" s="12"/>
      <c r="J2025" s="198"/>
      <c r="K2025" s="198"/>
      <c r="L2025" s="198"/>
      <c r="M2025" s="198"/>
      <c r="N2025" s="198"/>
      <c r="O2025" s="198"/>
      <c r="P2025" s="198"/>
      <c r="Q2025" s="198"/>
      <c r="R2025" s="198"/>
      <c r="S2025" s="198"/>
    </row>
    <row r="2026" spans="3:21" x14ac:dyDescent="0.25">
      <c r="C2026" s="5" t="str">
        <f ca="1">INDEX('Version control'!$H$36:$H$62,MATCH($A$1,'Version control'!$F$36:$F$62,0),1)&amp;"-T: LDNO LV non-domestic aggregated (related MPAN) distribution by bands"</f>
        <v>Input 501-T: LDNO LV non-domestic aggregated (related MPAN) distribution by bands</v>
      </c>
      <c r="D2026" s="5"/>
      <c r="E2026" s="5"/>
      <c r="F2026" s="5"/>
      <c r="G2026" s="5"/>
      <c r="H2026" s="5"/>
      <c r="I2026" s="143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</row>
    <row r="2027" spans="3:21" x14ac:dyDescent="0.25">
      <c r="J2027" s="59"/>
      <c r="K2027" s="59"/>
      <c r="L2027" s="59"/>
      <c r="M2027" s="59"/>
      <c r="N2027" s="59"/>
      <c r="O2027" s="59"/>
      <c r="P2027" s="59"/>
      <c r="Q2027" s="59"/>
      <c r="R2027" s="59"/>
      <c r="S2027" s="59"/>
    </row>
    <row r="2028" spans="3:21" x14ac:dyDescent="0.25">
      <c r="E2028" s="392" t="s">
        <v>199</v>
      </c>
      <c r="J2028" s="59"/>
      <c r="K2028" s="59"/>
      <c r="L2028" s="59"/>
      <c r="M2028" s="59"/>
      <c r="N2028" s="59"/>
      <c r="O2028" s="59"/>
      <c r="P2028" s="59"/>
      <c r="Q2028" s="59"/>
      <c r="R2028" s="59"/>
      <c r="S2028" s="59"/>
    </row>
    <row r="2029" spans="3:21" x14ac:dyDescent="0.25">
      <c r="F2029" s="80" t="s">
        <v>1060</v>
      </c>
      <c r="G2029" s="80" t="s">
        <v>94</v>
      </c>
      <c r="H2029" s="80"/>
      <c r="I2029" s="94"/>
      <c r="J2029" s="156">
        <f t="shared" ref="J2029:J2033" si="390">CHOOSE(year_selection, L2029,M2029,N2029,O2029,P2029,Q2029,R2029,S2029)</f>
        <v>0</v>
      </c>
      <c r="K2029" s="378"/>
      <c r="L2029" s="466"/>
      <c r="M2029" s="466">
        <v>0</v>
      </c>
      <c r="N2029" s="466">
        <v>0</v>
      </c>
      <c r="O2029" s="466">
        <v>0</v>
      </c>
      <c r="P2029" s="466">
        <f t="shared" ref="P2029:S2033" si="391">$O2029</f>
        <v>0</v>
      </c>
      <c r="Q2029" s="466">
        <f t="shared" si="391"/>
        <v>0</v>
      </c>
      <c r="R2029" s="466">
        <f t="shared" si="391"/>
        <v>0</v>
      </c>
      <c r="S2029" s="466">
        <f t="shared" si="391"/>
        <v>0</v>
      </c>
    </row>
    <row r="2030" spans="3:21" x14ac:dyDescent="0.25">
      <c r="F2030" t="s">
        <v>1061</v>
      </c>
      <c r="G2030" t="s">
        <v>94</v>
      </c>
      <c r="J2030" s="157">
        <f t="shared" si="390"/>
        <v>0.20815298064635118</v>
      </c>
      <c r="K2030" s="380"/>
      <c r="L2030" s="467"/>
      <c r="M2030" s="467">
        <v>3.114815340814811E-2</v>
      </c>
      <c r="N2030" s="467">
        <v>7.3423589803189332E-2</v>
      </c>
      <c r="O2030" s="467">
        <v>0.20815298064635118</v>
      </c>
      <c r="P2030" s="467">
        <f t="shared" si="391"/>
        <v>0.20815298064635118</v>
      </c>
      <c r="Q2030" s="467">
        <f t="shared" si="391"/>
        <v>0.20815298064635118</v>
      </c>
      <c r="R2030" s="467">
        <f t="shared" si="391"/>
        <v>0.20815298064635118</v>
      </c>
      <c r="S2030" s="467">
        <f t="shared" si="391"/>
        <v>0.20815298064635118</v>
      </c>
    </row>
    <row r="2031" spans="3:21" x14ac:dyDescent="0.25">
      <c r="F2031" t="s">
        <v>1062</v>
      </c>
      <c r="G2031" t="s">
        <v>94</v>
      </c>
      <c r="J2031" s="157">
        <f t="shared" si="390"/>
        <v>0.27613151280383996</v>
      </c>
      <c r="K2031" s="380"/>
      <c r="L2031" s="467"/>
      <c r="M2031" s="467">
        <v>0.13834413045927971</v>
      </c>
      <c r="N2031" s="467">
        <v>0.14981669324412941</v>
      </c>
      <c r="O2031" s="467">
        <v>0.27613151280383996</v>
      </c>
      <c r="P2031" s="467">
        <f t="shared" si="391"/>
        <v>0.27613151280383996</v>
      </c>
      <c r="Q2031" s="467">
        <f t="shared" si="391"/>
        <v>0.27613151280383996</v>
      </c>
      <c r="R2031" s="467">
        <f t="shared" si="391"/>
        <v>0.27613151280383996</v>
      </c>
      <c r="S2031" s="467">
        <f t="shared" si="391"/>
        <v>0.27613151280383996</v>
      </c>
    </row>
    <row r="2032" spans="3:21" x14ac:dyDescent="0.25">
      <c r="F2032" t="s">
        <v>1063</v>
      </c>
      <c r="G2032" t="s">
        <v>94</v>
      </c>
      <c r="J2032" s="264">
        <f t="shared" si="390"/>
        <v>0.19270967326144897</v>
      </c>
      <c r="K2032" s="380"/>
      <c r="L2032" s="468"/>
      <c r="M2032" s="468">
        <v>0.19722105308413354</v>
      </c>
      <c r="N2032" s="468">
        <v>0.19258184763983491</v>
      </c>
      <c r="O2032" s="468">
        <v>0.19270967326144897</v>
      </c>
      <c r="P2032" s="468">
        <f t="shared" si="391"/>
        <v>0.19270967326144897</v>
      </c>
      <c r="Q2032" s="468">
        <f t="shared" si="391"/>
        <v>0.19270967326144897</v>
      </c>
      <c r="R2032" s="468">
        <f t="shared" si="391"/>
        <v>0.19270967326144897</v>
      </c>
      <c r="S2032" s="468">
        <f t="shared" si="391"/>
        <v>0.19270967326144897</v>
      </c>
    </row>
    <row r="2033" spans="4:19" x14ac:dyDescent="0.25">
      <c r="F2033" s="17" t="s">
        <v>1064</v>
      </c>
      <c r="G2033" s="17" t="s">
        <v>94</v>
      </c>
      <c r="H2033" s="17"/>
      <c r="I2033" s="122"/>
      <c r="J2033" s="469">
        <f t="shared" si="390"/>
        <v>0.32300583328835969</v>
      </c>
      <c r="K2033" s="470"/>
      <c r="L2033" s="471"/>
      <c r="M2033" s="471">
        <v>0.63328666304843861</v>
      </c>
      <c r="N2033" s="471">
        <v>0.58417786931284643</v>
      </c>
      <c r="O2033" s="471">
        <v>0.32300583328835969</v>
      </c>
      <c r="P2033" s="471">
        <f t="shared" si="391"/>
        <v>0.32300583328835969</v>
      </c>
      <c r="Q2033" s="471">
        <f t="shared" si="391"/>
        <v>0.32300583328835969</v>
      </c>
      <c r="R2033" s="471">
        <f t="shared" si="391"/>
        <v>0.32300583328835969</v>
      </c>
      <c r="S2033" s="471">
        <f t="shared" si="391"/>
        <v>0.32300583328835969</v>
      </c>
    </row>
    <row r="2034" spans="4:19" x14ac:dyDescent="0.25">
      <c r="D2034" s="12"/>
      <c r="J2034" s="198"/>
      <c r="K2034" s="198"/>
      <c r="L2034" s="198"/>
      <c r="M2034" s="198"/>
      <c r="N2034" s="198"/>
      <c r="O2034" s="198"/>
      <c r="P2034" s="198"/>
      <c r="Q2034" s="198"/>
      <c r="R2034" s="198"/>
      <c r="S2034" s="198"/>
    </row>
    <row r="2035" spans="4:19" x14ac:dyDescent="0.25">
      <c r="E2035" s="392" t="s">
        <v>200</v>
      </c>
      <c r="J2035" s="59"/>
      <c r="K2035" s="59"/>
      <c r="L2035" s="59"/>
      <c r="M2035" s="59"/>
      <c r="N2035" s="59"/>
      <c r="O2035" s="59"/>
      <c r="P2035" s="59"/>
      <c r="Q2035" s="59"/>
      <c r="R2035" s="59"/>
      <c r="S2035" s="59"/>
    </row>
    <row r="2036" spans="4:19" x14ac:dyDescent="0.25">
      <c r="F2036" s="80" t="s">
        <v>1060</v>
      </c>
      <c r="G2036" s="80" t="s">
        <v>94</v>
      </c>
      <c r="H2036" s="80"/>
      <c r="I2036" s="94"/>
      <c r="J2036" s="156">
        <f t="shared" ref="J2036:J2040" si="392">CHOOSE(year_selection, L2036,M2036,N2036,O2036,P2036,Q2036,R2036,S2036)</f>
        <v>0</v>
      </c>
      <c r="K2036" s="378"/>
      <c r="L2036" s="466"/>
      <c r="M2036" s="466">
        <v>0</v>
      </c>
      <c r="N2036" s="466">
        <v>0</v>
      </c>
      <c r="O2036" s="466">
        <v>0</v>
      </c>
      <c r="P2036" s="466">
        <f t="shared" ref="P2036:S2040" si="393">$O2036</f>
        <v>0</v>
      </c>
      <c r="Q2036" s="466">
        <f t="shared" si="393"/>
        <v>0</v>
      </c>
      <c r="R2036" s="466">
        <f t="shared" si="393"/>
        <v>0</v>
      </c>
      <c r="S2036" s="466">
        <f t="shared" si="393"/>
        <v>0</v>
      </c>
    </row>
    <row r="2037" spans="4:19" x14ac:dyDescent="0.25">
      <c r="F2037" t="s">
        <v>1061</v>
      </c>
      <c r="G2037" t="s">
        <v>94</v>
      </c>
      <c r="J2037" s="157">
        <f t="shared" si="392"/>
        <v>0.20815298064635118</v>
      </c>
      <c r="K2037" s="380"/>
      <c r="L2037" s="467"/>
      <c r="M2037" s="467">
        <v>3.114815340814811E-2</v>
      </c>
      <c r="N2037" s="467">
        <v>7.3423589803189332E-2</v>
      </c>
      <c r="O2037" s="467">
        <v>0.20815298064635118</v>
      </c>
      <c r="P2037" s="467">
        <f t="shared" si="393"/>
        <v>0.20815298064635118</v>
      </c>
      <c r="Q2037" s="467">
        <f t="shared" si="393"/>
        <v>0.20815298064635118</v>
      </c>
      <c r="R2037" s="467">
        <f t="shared" si="393"/>
        <v>0.20815298064635118</v>
      </c>
      <c r="S2037" s="467">
        <f t="shared" si="393"/>
        <v>0.20815298064635118</v>
      </c>
    </row>
    <row r="2038" spans="4:19" x14ac:dyDescent="0.25">
      <c r="F2038" t="s">
        <v>1062</v>
      </c>
      <c r="G2038" t="s">
        <v>94</v>
      </c>
      <c r="J2038" s="157">
        <f t="shared" si="392"/>
        <v>0.27613151280383996</v>
      </c>
      <c r="K2038" s="380"/>
      <c r="L2038" s="467"/>
      <c r="M2038" s="467">
        <v>0.13834413045927971</v>
      </c>
      <c r="N2038" s="467">
        <v>0.14981669324412941</v>
      </c>
      <c r="O2038" s="467">
        <v>0.27613151280383996</v>
      </c>
      <c r="P2038" s="467">
        <f t="shared" si="393"/>
        <v>0.27613151280383996</v>
      </c>
      <c r="Q2038" s="467">
        <f t="shared" si="393"/>
        <v>0.27613151280383996</v>
      </c>
      <c r="R2038" s="467">
        <f t="shared" si="393"/>
        <v>0.27613151280383996</v>
      </c>
      <c r="S2038" s="467">
        <f t="shared" si="393"/>
        <v>0.27613151280383996</v>
      </c>
    </row>
    <row r="2039" spans="4:19" x14ac:dyDescent="0.25">
      <c r="F2039" t="s">
        <v>1063</v>
      </c>
      <c r="G2039" t="s">
        <v>94</v>
      </c>
      <c r="J2039" s="264">
        <f t="shared" si="392"/>
        <v>0.19270967326144897</v>
      </c>
      <c r="K2039" s="380"/>
      <c r="L2039" s="468"/>
      <c r="M2039" s="468">
        <v>0.19722105308413354</v>
      </c>
      <c r="N2039" s="468">
        <v>0.19258184763983491</v>
      </c>
      <c r="O2039" s="468">
        <v>0.19270967326144897</v>
      </c>
      <c r="P2039" s="468">
        <f t="shared" si="393"/>
        <v>0.19270967326144897</v>
      </c>
      <c r="Q2039" s="468">
        <f t="shared" si="393"/>
        <v>0.19270967326144897</v>
      </c>
      <c r="R2039" s="468">
        <f t="shared" si="393"/>
        <v>0.19270967326144897</v>
      </c>
      <c r="S2039" s="468">
        <f t="shared" si="393"/>
        <v>0.19270967326144897</v>
      </c>
    </row>
    <row r="2040" spans="4:19" x14ac:dyDescent="0.25">
      <c r="F2040" s="17" t="s">
        <v>1064</v>
      </c>
      <c r="G2040" s="17" t="s">
        <v>94</v>
      </c>
      <c r="H2040" s="17"/>
      <c r="I2040" s="122"/>
      <c r="J2040" s="469">
        <f t="shared" si="392"/>
        <v>0.32300583328835969</v>
      </c>
      <c r="K2040" s="470"/>
      <c r="L2040" s="471"/>
      <c r="M2040" s="471">
        <v>0.63328666304843861</v>
      </c>
      <c r="N2040" s="471">
        <v>0.58417786931284643</v>
      </c>
      <c r="O2040" s="471">
        <v>0.32300583328835969</v>
      </c>
      <c r="P2040" s="471">
        <f t="shared" si="393"/>
        <v>0.32300583328835969</v>
      </c>
      <c r="Q2040" s="471">
        <f t="shared" si="393"/>
        <v>0.32300583328835969</v>
      </c>
      <c r="R2040" s="471">
        <f t="shared" si="393"/>
        <v>0.32300583328835969</v>
      </c>
      <c r="S2040" s="471">
        <f t="shared" si="393"/>
        <v>0.32300583328835969</v>
      </c>
    </row>
    <row r="2041" spans="4:19" x14ac:dyDescent="0.25">
      <c r="D2041" s="12"/>
      <c r="J2041" s="198"/>
      <c r="K2041" s="198"/>
      <c r="L2041" s="198"/>
      <c r="M2041" s="198"/>
      <c r="N2041" s="198"/>
      <c r="O2041" s="198"/>
      <c r="P2041" s="198"/>
      <c r="Q2041" s="198"/>
      <c r="R2041" s="198"/>
      <c r="S2041" s="198"/>
    </row>
    <row r="2042" spans="4:19" x14ac:dyDescent="0.25">
      <c r="E2042" s="392" t="s">
        <v>201</v>
      </c>
      <c r="J2042" s="59"/>
      <c r="K2042" s="59"/>
      <c r="L2042" s="59"/>
      <c r="M2042" s="59"/>
      <c r="N2042" s="59"/>
      <c r="O2042" s="59"/>
      <c r="P2042" s="59"/>
      <c r="Q2042" s="59"/>
      <c r="R2042" s="59"/>
      <c r="S2042" s="59"/>
    </row>
    <row r="2043" spans="4:19" x14ac:dyDescent="0.25">
      <c r="F2043" s="80" t="s">
        <v>1060</v>
      </c>
      <c r="G2043" s="80" t="s">
        <v>94</v>
      </c>
      <c r="H2043" s="80"/>
      <c r="I2043" s="94"/>
      <c r="J2043" s="156">
        <f t="shared" ref="J2043:J2047" si="394">CHOOSE(year_selection, L2043,M2043,N2043,O2043,P2043,Q2043,R2043,S2043)</f>
        <v>0</v>
      </c>
      <c r="K2043" s="378"/>
      <c r="L2043" s="466"/>
      <c r="M2043" s="466">
        <v>0</v>
      </c>
      <c r="N2043" s="466">
        <v>0</v>
      </c>
      <c r="O2043" s="466">
        <v>0</v>
      </c>
      <c r="P2043" s="466">
        <f t="shared" ref="P2043:S2047" si="395">$O2043</f>
        <v>0</v>
      </c>
      <c r="Q2043" s="466">
        <f t="shared" si="395"/>
        <v>0</v>
      </c>
      <c r="R2043" s="466">
        <f t="shared" si="395"/>
        <v>0</v>
      </c>
      <c r="S2043" s="466">
        <f t="shared" si="395"/>
        <v>0</v>
      </c>
    </row>
    <row r="2044" spans="4:19" x14ac:dyDescent="0.25">
      <c r="F2044" t="s">
        <v>1061</v>
      </c>
      <c r="G2044" t="s">
        <v>94</v>
      </c>
      <c r="J2044" s="157">
        <f t="shared" si="394"/>
        <v>0.20815298064635118</v>
      </c>
      <c r="K2044" s="380"/>
      <c r="L2044" s="467"/>
      <c r="M2044" s="467">
        <v>3.114815340814811E-2</v>
      </c>
      <c r="N2044" s="467">
        <v>7.3423589803189332E-2</v>
      </c>
      <c r="O2044" s="467">
        <v>0.20815298064635118</v>
      </c>
      <c r="P2044" s="467">
        <f t="shared" si="395"/>
        <v>0.20815298064635118</v>
      </c>
      <c r="Q2044" s="467">
        <f t="shared" si="395"/>
        <v>0.20815298064635118</v>
      </c>
      <c r="R2044" s="467">
        <f t="shared" si="395"/>
        <v>0.20815298064635118</v>
      </c>
      <c r="S2044" s="467">
        <f t="shared" si="395"/>
        <v>0.20815298064635118</v>
      </c>
    </row>
    <row r="2045" spans="4:19" x14ac:dyDescent="0.25">
      <c r="F2045" t="s">
        <v>1062</v>
      </c>
      <c r="G2045" t="s">
        <v>94</v>
      </c>
      <c r="J2045" s="157">
        <f t="shared" si="394"/>
        <v>0.27613151280383996</v>
      </c>
      <c r="K2045" s="380"/>
      <c r="L2045" s="467"/>
      <c r="M2045" s="467">
        <v>0.13834413045927971</v>
      </c>
      <c r="N2045" s="467">
        <v>0.14981669324412941</v>
      </c>
      <c r="O2045" s="467">
        <v>0.27613151280383996</v>
      </c>
      <c r="P2045" s="467">
        <f t="shared" si="395"/>
        <v>0.27613151280383996</v>
      </c>
      <c r="Q2045" s="467">
        <f t="shared" si="395"/>
        <v>0.27613151280383996</v>
      </c>
      <c r="R2045" s="467">
        <f t="shared" si="395"/>
        <v>0.27613151280383996</v>
      </c>
      <c r="S2045" s="467">
        <f t="shared" si="395"/>
        <v>0.27613151280383996</v>
      </c>
    </row>
    <row r="2046" spans="4:19" x14ac:dyDescent="0.25">
      <c r="F2046" t="s">
        <v>1063</v>
      </c>
      <c r="G2046" t="s">
        <v>94</v>
      </c>
      <c r="J2046" s="264">
        <f t="shared" si="394"/>
        <v>0.19270967326144897</v>
      </c>
      <c r="K2046" s="380"/>
      <c r="L2046" s="468"/>
      <c r="M2046" s="468">
        <v>0.19722105308413354</v>
      </c>
      <c r="N2046" s="468">
        <v>0.19258184763983491</v>
      </c>
      <c r="O2046" s="468">
        <v>0.19270967326144897</v>
      </c>
      <c r="P2046" s="468">
        <f t="shared" si="395"/>
        <v>0.19270967326144897</v>
      </c>
      <c r="Q2046" s="468">
        <f t="shared" si="395"/>
        <v>0.19270967326144897</v>
      </c>
      <c r="R2046" s="468">
        <f t="shared" si="395"/>
        <v>0.19270967326144897</v>
      </c>
      <c r="S2046" s="468">
        <f t="shared" si="395"/>
        <v>0.19270967326144897</v>
      </c>
    </row>
    <row r="2047" spans="4:19" x14ac:dyDescent="0.25">
      <c r="F2047" s="17" t="s">
        <v>1064</v>
      </c>
      <c r="G2047" s="17" t="s">
        <v>94</v>
      </c>
      <c r="H2047" s="17"/>
      <c r="I2047" s="122"/>
      <c r="J2047" s="469">
        <f t="shared" si="394"/>
        <v>0.32300583328835969</v>
      </c>
      <c r="K2047" s="470"/>
      <c r="L2047" s="471"/>
      <c r="M2047" s="471">
        <v>0.63328666304843861</v>
      </c>
      <c r="N2047" s="471">
        <v>0.58417786931284643</v>
      </c>
      <c r="O2047" s="471">
        <v>0.32300583328835969</v>
      </c>
      <c r="P2047" s="471">
        <f t="shared" si="395"/>
        <v>0.32300583328835969</v>
      </c>
      <c r="Q2047" s="471">
        <f t="shared" si="395"/>
        <v>0.32300583328835969</v>
      </c>
      <c r="R2047" s="471">
        <f t="shared" si="395"/>
        <v>0.32300583328835969</v>
      </c>
      <c r="S2047" s="471">
        <f t="shared" si="395"/>
        <v>0.32300583328835969</v>
      </c>
    </row>
    <row r="2048" spans="4:19" x14ac:dyDescent="0.25">
      <c r="D2048" s="12"/>
      <c r="J2048" s="198"/>
      <c r="K2048" s="198"/>
      <c r="L2048" s="198"/>
      <c r="M2048" s="198"/>
      <c r="N2048" s="198"/>
      <c r="O2048" s="198"/>
      <c r="P2048" s="198"/>
      <c r="Q2048" s="198"/>
      <c r="R2048" s="198"/>
      <c r="S2048" s="198"/>
    </row>
    <row r="2049" spans="3:21" x14ac:dyDescent="0.25">
      <c r="C2049" s="5" t="str">
        <f ca="1">INDEX('Version control'!$H$36:$H$62,MATCH($A$1,'Version control'!$F$36:$F$62,0),1)&amp;"-U: LDNO HV non-domestic aggregated (related MPAN) distribution by bands"</f>
        <v>Input 501-U: LDNO HV non-domestic aggregated (related MPAN) distribution by bands</v>
      </c>
      <c r="D2049" s="5"/>
      <c r="E2049" s="5"/>
      <c r="F2049" s="5"/>
      <c r="G2049" s="5"/>
      <c r="H2049" s="5"/>
      <c r="I2049" s="143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</row>
    <row r="2050" spans="3:21" x14ac:dyDescent="0.25">
      <c r="J2050" s="59"/>
      <c r="K2050" s="59"/>
      <c r="L2050" s="59"/>
      <c r="M2050" s="59"/>
      <c r="N2050" s="59"/>
      <c r="O2050" s="59"/>
      <c r="P2050" s="59"/>
      <c r="Q2050" s="59"/>
      <c r="R2050" s="59"/>
      <c r="S2050" s="59"/>
    </row>
    <row r="2051" spans="3:21" x14ac:dyDescent="0.25">
      <c r="E2051" s="392" t="s">
        <v>199</v>
      </c>
      <c r="J2051" s="59"/>
      <c r="K2051" s="59"/>
      <c r="L2051" s="59"/>
      <c r="M2051" s="59"/>
      <c r="N2051" s="59"/>
      <c r="O2051" s="59"/>
      <c r="P2051" s="59"/>
      <c r="Q2051" s="59"/>
      <c r="R2051" s="59"/>
      <c r="S2051" s="59"/>
    </row>
    <row r="2052" spans="3:21" x14ac:dyDescent="0.25">
      <c r="F2052" s="80" t="s">
        <v>1060</v>
      </c>
      <c r="G2052" s="80" t="s">
        <v>94</v>
      </c>
      <c r="H2052" s="80"/>
      <c r="I2052" s="94"/>
      <c r="J2052" s="156">
        <f t="shared" ref="J2052:J2056" si="396">CHOOSE(year_selection, L2052,M2052,N2052,O2052,P2052,Q2052,R2052,S2052)</f>
        <v>0</v>
      </c>
      <c r="K2052" s="378"/>
      <c r="L2052" s="466"/>
      <c r="M2052" s="466">
        <v>0</v>
      </c>
      <c r="N2052" s="466">
        <v>0</v>
      </c>
      <c r="O2052" s="466">
        <v>0</v>
      </c>
      <c r="P2052" s="466">
        <f t="shared" ref="P2052:S2056" si="397">$O2052</f>
        <v>0</v>
      </c>
      <c r="Q2052" s="466">
        <f t="shared" si="397"/>
        <v>0</v>
      </c>
      <c r="R2052" s="466">
        <f t="shared" si="397"/>
        <v>0</v>
      </c>
      <c r="S2052" s="466">
        <f t="shared" si="397"/>
        <v>0</v>
      </c>
    </row>
    <row r="2053" spans="3:21" x14ac:dyDescent="0.25">
      <c r="F2053" t="s">
        <v>1061</v>
      </c>
      <c r="G2053" t="s">
        <v>94</v>
      </c>
      <c r="J2053" s="157">
        <f t="shared" si="396"/>
        <v>9.6678573594067993E-2</v>
      </c>
      <c r="K2053" s="380"/>
      <c r="L2053" s="467"/>
      <c r="M2053" s="467">
        <v>3.114815340814811E-2</v>
      </c>
      <c r="N2053" s="467">
        <v>7.3423589803189332E-2</v>
      </c>
      <c r="O2053" s="467">
        <v>9.6678573594067993E-2</v>
      </c>
      <c r="P2053" s="467">
        <f t="shared" si="397"/>
        <v>9.6678573594067993E-2</v>
      </c>
      <c r="Q2053" s="467">
        <f t="shared" si="397"/>
        <v>9.6678573594067993E-2</v>
      </c>
      <c r="R2053" s="467">
        <f t="shared" si="397"/>
        <v>9.6678573594067993E-2</v>
      </c>
      <c r="S2053" s="467">
        <f t="shared" si="397"/>
        <v>9.6678573594067993E-2</v>
      </c>
    </row>
    <row r="2054" spans="3:21" x14ac:dyDescent="0.25">
      <c r="F2054" t="s">
        <v>1062</v>
      </c>
      <c r="G2054" t="s">
        <v>94</v>
      </c>
      <c r="J2054" s="157">
        <f t="shared" si="396"/>
        <v>0.15226788856971082</v>
      </c>
      <c r="K2054" s="380"/>
      <c r="L2054" s="467"/>
      <c r="M2054" s="467">
        <v>0.13834413045927971</v>
      </c>
      <c r="N2054" s="467">
        <v>0.14981669324412941</v>
      </c>
      <c r="O2054" s="467">
        <v>0.15226788856971082</v>
      </c>
      <c r="P2054" s="467">
        <f t="shared" si="397"/>
        <v>0.15226788856971082</v>
      </c>
      <c r="Q2054" s="467">
        <f t="shared" si="397"/>
        <v>0.15226788856971082</v>
      </c>
      <c r="R2054" s="467">
        <f t="shared" si="397"/>
        <v>0.15226788856971082</v>
      </c>
      <c r="S2054" s="467">
        <f t="shared" si="397"/>
        <v>0.15226788856971082</v>
      </c>
    </row>
    <row r="2055" spans="3:21" x14ac:dyDescent="0.25">
      <c r="F2055" t="s">
        <v>1063</v>
      </c>
      <c r="G2055" t="s">
        <v>94</v>
      </c>
      <c r="J2055" s="264">
        <f t="shared" si="396"/>
        <v>0.24073066324937284</v>
      </c>
      <c r="K2055" s="380"/>
      <c r="L2055" s="468"/>
      <c r="M2055" s="468">
        <v>0.19722105308413354</v>
      </c>
      <c r="N2055" s="468">
        <v>0.19258184763983491</v>
      </c>
      <c r="O2055" s="468">
        <v>0.24073066324937284</v>
      </c>
      <c r="P2055" s="468">
        <f t="shared" si="397"/>
        <v>0.24073066324937284</v>
      </c>
      <c r="Q2055" s="468">
        <f t="shared" si="397"/>
        <v>0.24073066324937284</v>
      </c>
      <c r="R2055" s="468">
        <f t="shared" si="397"/>
        <v>0.24073066324937284</v>
      </c>
      <c r="S2055" s="468">
        <f t="shared" si="397"/>
        <v>0.24073066324937284</v>
      </c>
    </row>
    <row r="2056" spans="3:21" x14ac:dyDescent="0.25">
      <c r="F2056" s="17" t="s">
        <v>1064</v>
      </c>
      <c r="G2056" s="17" t="s">
        <v>94</v>
      </c>
      <c r="H2056" s="17"/>
      <c r="I2056" s="122"/>
      <c r="J2056" s="469">
        <f t="shared" si="396"/>
        <v>0.51032287458684833</v>
      </c>
      <c r="K2056" s="470"/>
      <c r="L2056" s="471"/>
      <c r="M2056" s="471">
        <v>0.63328666304843861</v>
      </c>
      <c r="N2056" s="471">
        <v>0.58417786931284643</v>
      </c>
      <c r="O2056" s="471">
        <v>0.51032287458684833</v>
      </c>
      <c r="P2056" s="471">
        <f t="shared" si="397"/>
        <v>0.51032287458684833</v>
      </c>
      <c r="Q2056" s="471">
        <f t="shared" si="397"/>
        <v>0.51032287458684833</v>
      </c>
      <c r="R2056" s="471">
        <f t="shared" si="397"/>
        <v>0.51032287458684833</v>
      </c>
      <c r="S2056" s="471">
        <f t="shared" si="397"/>
        <v>0.51032287458684833</v>
      </c>
    </row>
    <row r="2057" spans="3:21" x14ac:dyDescent="0.25">
      <c r="D2057" s="12"/>
      <c r="J2057" s="198"/>
      <c r="K2057" s="198"/>
      <c r="L2057" s="198"/>
      <c r="M2057" s="198"/>
      <c r="N2057" s="198"/>
      <c r="O2057" s="198"/>
      <c r="P2057" s="198"/>
      <c r="Q2057" s="198"/>
      <c r="R2057" s="198"/>
      <c r="S2057" s="198"/>
    </row>
    <row r="2058" spans="3:21" x14ac:dyDescent="0.25">
      <c r="E2058" s="392" t="s">
        <v>200</v>
      </c>
      <c r="J2058" s="59"/>
      <c r="K2058" s="59"/>
      <c r="L2058" s="59"/>
      <c r="M2058" s="59"/>
      <c r="N2058" s="59"/>
      <c r="O2058" s="59"/>
      <c r="P2058" s="59"/>
      <c r="Q2058" s="59"/>
      <c r="R2058" s="59"/>
      <c r="S2058" s="59"/>
    </row>
    <row r="2059" spans="3:21" x14ac:dyDescent="0.25">
      <c r="F2059" s="80" t="s">
        <v>1060</v>
      </c>
      <c r="G2059" s="80" t="s">
        <v>94</v>
      </c>
      <c r="H2059" s="80"/>
      <c r="I2059" s="94"/>
      <c r="J2059" s="156">
        <f t="shared" ref="J2059:J2063" si="398">CHOOSE(year_selection, L2059,M2059,N2059,O2059,P2059,Q2059,R2059,S2059)</f>
        <v>0</v>
      </c>
      <c r="K2059" s="378"/>
      <c r="L2059" s="466"/>
      <c r="M2059" s="466">
        <v>0</v>
      </c>
      <c r="N2059" s="466">
        <v>0</v>
      </c>
      <c r="O2059" s="466">
        <v>0</v>
      </c>
      <c r="P2059" s="466">
        <f t="shared" ref="P2059:S2063" si="399">$O2059</f>
        <v>0</v>
      </c>
      <c r="Q2059" s="466">
        <f t="shared" si="399"/>
        <v>0</v>
      </c>
      <c r="R2059" s="466">
        <f t="shared" si="399"/>
        <v>0</v>
      </c>
      <c r="S2059" s="466">
        <f t="shared" si="399"/>
        <v>0</v>
      </c>
    </row>
    <row r="2060" spans="3:21" x14ac:dyDescent="0.25">
      <c r="F2060" t="s">
        <v>1061</v>
      </c>
      <c r="G2060" t="s">
        <v>94</v>
      </c>
      <c r="J2060" s="157">
        <f t="shared" si="398"/>
        <v>9.6678573594067993E-2</v>
      </c>
      <c r="K2060" s="380"/>
      <c r="L2060" s="467"/>
      <c r="M2060" s="467">
        <v>3.114815340814811E-2</v>
      </c>
      <c r="N2060" s="467">
        <v>7.3423589803189332E-2</v>
      </c>
      <c r="O2060" s="467">
        <v>9.6678573594067993E-2</v>
      </c>
      <c r="P2060" s="467">
        <f t="shared" si="399"/>
        <v>9.6678573594067993E-2</v>
      </c>
      <c r="Q2060" s="467">
        <f t="shared" si="399"/>
        <v>9.6678573594067993E-2</v>
      </c>
      <c r="R2060" s="467">
        <f t="shared" si="399"/>
        <v>9.6678573594067993E-2</v>
      </c>
      <c r="S2060" s="467">
        <f t="shared" si="399"/>
        <v>9.6678573594067993E-2</v>
      </c>
    </row>
    <row r="2061" spans="3:21" x14ac:dyDescent="0.25">
      <c r="F2061" t="s">
        <v>1062</v>
      </c>
      <c r="G2061" t="s">
        <v>94</v>
      </c>
      <c r="J2061" s="157">
        <f t="shared" si="398"/>
        <v>0.15226788856971082</v>
      </c>
      <c r="K2061" s="380"/>
      <c r="L2061" s="467"/>
      <c r="M2061" s="467">
        <v>0.13834413045927971</v>
      </c>
      <c r="N2061" s="467">
        <v>0.14981669324412941</v>
      </c>
      <c r="O2061" s="467">
        <v>0.15226788856971082</v>
      </c>
      <c r="P2061" s="467">
        <f t="shared" si="399"/>
        <v>0.15226788856971082</v>
      </c>
      <c r="Q2061" s="467">
        <f t="shared" si="399"/>
        <v>0.15226788856971082</v>
      </c>
      <c r="R2061" s="467">
        <f t="shared" si="399"/>
        <v>0.15226788856971082</v>
      </c>
      <c r="S2061" s="467">
        <f t="shared" si="399"/>
        <v>0.15226788856971082</v>
      </c>
    </row>
    <row r="2062" spans="3:21" x14ac:dyDescent="0.25">
      <c r="F2062" t="s">
        <v>1063</v>
      </c>
      <c r="G2062" t="s">
        <v>94</v>
      </c>
      <c r="J2062" s="264">
        <f t="shared" si="398"/>
        <v>0.24073066324937284</v>
      </c>
      <c r="K2062" s="380"/>
      <c r="L2062" s="468"/>
      <c r="M2062" s="468">
        <v>0.19722105308413354</v>
      </c>
      <c r="N2062" s="468">
        <v>0.19258184763983491</v>
      </c>
      <c r="O2062" s="468">
        <v>0.24073066324937284</v>
      </c>
      <c r="P2062" s="468">
        <f t="shared" si="399"/>
        <v>0.24073066324937284</v>
      </c>
      <c r="Q2062" s="468">
        <f t="shared" si="399"/>
        <v>0.24073066324937284</v>
      </c>
      <c r="R2062" s="468">
        <f t="shared" si="399"/>
        <v>0.24073066324937284</v>
      </c>
      <c r="S2062" s="468">
        <f t="shared" si="399"/>
        <v>0.24073066324937284</v>
      </c>
    </row>
    <row r="2063" spans="3:21" x14ac:dyDescent="0.25">
      <c r="F2063" s="17" t="s">
        <v>1064</v>
      </c>
      <c r="G2063" s="17" t="s">
        <v>94</v>
      </c>
      <c r="H2063" s="17"/>
      <c r="I2063" s="122"/>
      <c r="J2063" s="469">
        <f t="shared" si="398"/>
        <v>0.51032287458684833</v>
      </c>
      <c r="K2063" s="470"/>
      <c r="L2063" s="471"/>
      <c r="M2063" s="471">
        <v>0.63328666304843861</v>
      </c>
      <c r="N2063" s="471">
        <v>0.58417786931284643</v>
      </c>
      <c r="O2063" s="471">
        <v>0.51032287458684833</v>
      </c>
      <c r="P2063" s="471">
        <f t="shared" si="399"/>
        <v>0.51032287458684833</v>
      </c>
      <c r="Q2063" s="471">
        <f t="shared" si="399"/>
        <v>0.51032287458684833</v>
      </c>
      <c r="R2063" s="471">
        <f t="shared" si="399"/>
        <v>0.51032287458684833</v>
      </c>
      <c r="S2063" s="471">
        <f t="shared" si="399"/>
        <v>0.51032287458684833</v>
      </c>
    </row>
    <row r="2064" spans="3:21" x14ac:dyDescent="0.25">
      <c r="D2064" s="12"/>
      <c r="J2064" s="198"/>
      <c r="K2064" s="198"/>
      <c r="L2064" s="198"/>
      <c r="M2064" s="198"/>
      <c r="N2064" s="198"/>
      <c r="O2064" s="198"/>
      <c r="P2064" s="198"/>
      <c r="Q2064" s="198"/>
      <c r="R2064" s="198"/>
      <c r="S2064" s="198"/>
    </row>
    <row r="2065" spans="2:49" x14ac:dyDescent="0.25">
      <c r="E2065" s="392" t="s">
        <v>201</v>
      </c>
      <c r="J2065" s="59"/>
      <c r="K2065" s="59"/>
      <c r="L2065" s="59"/>
      <c r="M2065" s="59"/>
      <c r="N2065" s="59"/>
      <c r="O2065" s="59"/>
      <c r="P2065" s="59"/>
      <c r="Q2065" s="59"/>
      <c r="R2065" s="59"/>
      <c r="S2065" s="59"/>
    </row>
    <row r="2066" spans="2:49" x14ac:dyDescent="0.25">
      <c r="F2066" s="80" t="s">
        <v>1060</v>
      </c>
      <c r="G2066" s="80" t="s">
        <v>94</v>
      </c>
      <c r="H2066" s="80"/>
      <c r="I2066" s="94"/>
      <c r="J2066" s="156">
        <f t="shared" ref="J2066:J2070" si="400">CHOOSE(year_selection, L2066,M2066,N2066,O2066,P2066,Q2066,R2066,S2066)</f>
        <v>0</v>
      </c>
      <c r="K2066" s="378"/>
      <c r="L2066" s="466"/>
      <c r="M2066" s="466">
        <v>0</v>
      </c>
      <c r="N2066" s="466">
        <v>0</v>
      </c>
      <c r="O2066" s="466">
        <v>0</v>
      </c>
      <c r="P2066" s="466">
        <f t="shared" ref="P2066:S2070" si="401">$O2066</f>
        <v>0</v>
      </c>
      <c r="Q2066" s="466">
        <f t="shared" si="401"/>
        <v>0</v>
      </c>
      <c r="R2066" s="466">
        <f t="shared" si="401"/>
        <v>0</v>
      </c>
      <c r="S2066" s="466">
        <f t="shared" si="401"/>
        <v>0</v>
      </c>
    </row>
    <row r="2067" spans="2:49" x14ac:dyDescent="0.25">
      <c r="F2067" t="s">
        <v>1061</v>
      </c>
      <c r="G2067" t="s">
        <v>94</v>
      </c>
      <c r="J2067" s="157">
        <f t="shared" si="400"/>
        <v>9.6678573594067993E-2</v>
      </c>
      <c r="K2067" s="380"/>
      <c r="L2067" s="467"/>
      <c r="M2067" s="467">
        <v>3.114815340814811E-2</v>
      </c>
      <c r="N2067" s="467">
        <v>7.3423589803189332E-2</v>
      </c>
      <c r="O2067" s="467">
        <v>9.6678573594067993E-2</v>
      </c>
      <c r="P2067" s="467">
        <f t="shared" si="401"/>
        <v>9.6678573594067993E-2</v>
      </c>
      <c r="Q2067" s="467">
        <f t="shared" si="401"/>
        <v>9.6678573594067993E-2</v>
      </c>
      <c r="R2067" s="467">
        <f t="shared" si="401"/>
        <v>9.6678573594067993E-2</v>
      </c>
      <c r="S2067" s="467">
        <f t="shared" si="401"/>
        <v>9.6678573594067993E-2</v>
      </c>
    </row>
    <row r="2068" spans="2:49" x14ac:dyDescent="0.25">
      <c r="F2068" t="s">
        <v>1062</v>
      </c>
      <c r="G2068" t="s">
        <v>94</v>
      </c>
      <c r="J2068" s="157">
        <f t="shared" si="400"/>
        <v>0.15226788856971082</v>
      </c>
      <c r="K2068" s="380"/>
      <c r="L2068" s="467"/>
      <c r="M2068" s="467">
        <v>0.13834413045927971</v>
      </c>
      <c r="N2068" s="467">
        <v>0.14981669324412941</v>
      </c>
      <c r="O2068" s="467">
        <v>0.15226788856971082</v>
      </c>
      <c r="P2068" s="467">
        <f t="shared" si="401"/>
        <v>0.15226788856971082</v>
      </c>
      <c r="Q2068" s="467">
        <f t="shared" si="401"/>
        <v>0.15226788856971082</v>
      </c>
      <c r="R2068" s="467">
        <f t="shared" si="401"/>
        <v>0.15226788856971082</v>
      </c>
      <c r="S2068" s="467">
        <f t="shared" si="401"/>
        <v>0.15226788856971082</v>
      </c>
    </row>
    <row r="2069" spans="2:49" x14ac:dyDescent="0.25">
      <c r="F2069" t="s">
        <v>1063</v>
      </c>
      <c r="G2069" t="s">
        <v>94</v>
      </c>
      <c r="J2069" s="264">
        <f t="shared" si="400"/>
        <v>0.24073066324937284</v>
      </c>
      <c r="K2069" s="380"/>
      <c r="L2069" s="468"/>
      <c r="M2069" s="468">
        <v>0.19722105308413354</v>
      </c>
      <c r="N2069" s="468">
        <v>0.19258184763983491</v>
      </c>
      <c r="O2069" s="468">
        <v>0.24073066324937284</v>
      </c>
      <c r="P2069" s="468">
        <f t="shared" si="401"/>
        <v>0.24073066324937284</v>
      </c>
      <c r="Q2069" s="468">
        <f t="shared" si="401"/>
        <v>0.24073066324937284</v>
      </c>
      <c r="R2069" s="468">
        <f t="shared" si="401"/>
        <v>0.24073066324937284</v>
      </c>
      <c r="S2069" s="468">
        <f t="shared" si="401"/>
        <v>0.24073066324937284</v>
      </c>
    </row>
    <row r="2070" spans="2:49" x14ac:dyDescent="0.25">
      <c r="F2070" s="17" t="s">
        <v>1064</v>
      </c>
      <c r="G2070" s="17" t="s">
        <v>94</v>
      </c>
      <c r="H2070" s="17"/>
      <c r="I2070" s="122"/>
      <c r="J2070" s="469">
        <f t="shared" si="400"/>
        <v>0.51032287458684833</v>
      </c>
      <c r="K2070" s="470"/>
      <c r="L2070" s="471"/>
      <c r="M2070" s="471">
        <v>0.63328666304843861</v>
      </c>
      <c r="N2070" s="471">
        <v>0.58417786931284643</v>
      </c>
      <c r="O2070" s="471">
        <v>0.51032287458684833</v>
      </c>
      <c r="P2070" s="471">
        <f t="shared" si="401"/>
        <v>0.51032287458684833</v>
      </c>
      <c r="Q2070" s="471">
        <f t="shared" si="401"/>
        <v>0.51032287458684833</v>
      </c>
      <c r="R2070" s="471">
        <f t="shared" si="401"/>
        <v>0.51032287458684833</v>
      </c>
      <c r="S2070" s="471">
        <f t="shared" si="401"/>
        <v>0.51032287458684833</v>
      </c>
    </row>
    <row r="2071" spans="2:49" x14ac:dyDescent="0.25">
      <c r="D2071" s="12"/>
      <c r="J2071" s="198"/>
      <c r="K2071" s="198"/>
      <c r="L2071" s="198"/>
      <c r="M2071" s="198"/>
      <c r="N2071" s="198"/>
      <c r="O2071" s="198"/>
      <c r="P2071" s="198"/>
      <c r="Q2071" s="198"/>
      <c r="R2071" s="198"/>
      <c r="S2071" s="198"/>
    </row>
    <row r="2072" spans="2:49" x14ac:dyDescent="0.25">
      <c r="B2072" s="82" t="s">
        <v>382</v>
      </c>
      <c r="C2072" s="82"/>
      <c r="D2072" s="82"/>
      <c r="E2072" s="82"/>
      <c r="F2072" s="82"/>
      <c r="G2072" s="82"/>
      <c r="H2072" s="82"/>
      <c r="I2072" s="136"/>
      <c r="J2072" s="136"/>
      <c r="K2072" s="136"/>
      <c r="L2072" s="136"/>
      <c r="M2072" s="136"/>
      <c r="N2072" s="136"/>
      <c r="O2072" s="136"/>
      <c r="P2072" s="136"/>
      <c r="Q2072" s="136"/>
      <c r="R2072" s="136"/>
      <c r="S2072" s="136"/>
      <c r="T2072" s="82"/>
      <c r="U2072" s="82"/>
      <c r="W2072" s="82"/>
      <c r="X2072" s="82"/>
      <c r="Y2072" s="82"/>
      <c r="Z2072" s="82"/>
      <c r="AA2072" s="82"/>
      <c r="AB2072" s="82"/>
      <c r="AC2072" s="82"/>
      <c r="AD2072" s="82"/>
      <c r="AE2072" s="82"/>
      <c r="AF2072" s="82"/>
      <c r="AG2072" s="82"/>
      <c r="AH2072" s="82"/>
      <c r="AI2072" s="82"/>
      <c r="AJ2072" s="82"/>
      <c r="AK2072" s="82"/>
      <c r="AL2072" s="82"/>
      <c r="AM2072" s="82"/>
      <c r="AN2072" s="82"/>
      <c r="AO2072" s="82"/>
      <c r="AP2072" s="82"/>
      <c r="AQ2072" s="82"/>
      <c r="AR2072" s="82"/>
      <c r="AS2072" s="82"/>
      <c r="AT2072" s="82"/>
      <c r="AU2072" s="82"/>
      <c r="AV2072" s="82"/>
      <c r="AW2072" s="82"/>
    </row>
    <row r="2073" spans="2:49" x14ac:dyDescent="0.25">
      <c r="D2073" s="12"/>
      <c r="J2073" s="59"/>
      <c r="K2073" s="59"/>
      <c r="L2073" s="59"/>
      <c r="M2073" s="59"/>
      <c r="N2073" s="59"/>
      <c r="O2073" s="59"/>
      <c r="P2073" s="59"/>
      <c r="Q2073" s="59"/>
      <c r="R2073" s="59"/>
      <c r="S2073" s="59"/>
    </row>
    <row r="2074" spans="2:49" x14ac:dyDescent="0.25">
      <c r="C2074" s="73" t="s">
        <v>636</v>
      </c>
      <c r="I2074" s="59" t="s">
        <v>359</v>
      </c>
      <c r="J2074" s="59"/>
      <c r="K2074" s="59"/>
      <c r="L2074" s="59"/>
      <c r="M2074" s="59"/>
      <c r="N2074" s="59"/>
      <c r="O2074" s="59"/>
      <c r="P2074" s="59"/>
      <c r="Q2074" s="59"/>
      <c r="R2074" s="59"/>
      <c r="S2074" s="59"/>
      <c r="U2074" t="s">
        <v>815</v>
      </c>
    </row>
    <row r="2075" spans="2:49" x14ac:dyDescent="0.25">
      <c r="D2075" s="12"/>
      <c r="J2075" s="59"/>
      <c r="K2075" s="59"/>
      <c r="L2075" s="59"/>
      <c r="M2075" s="59"/>
      <c r="N2075" s="59"/>
      <c r="O2075" s="59"/>
      <c r="P2075" s="59"/>
      <c r="Q2075" s="59"/>
      <c r="R2075" s="59"/>
      <c r="S2075" s="59"/>
    </row>
    <row r="2076" spans="2:49" x14ac:dyDescent="0.25">
      <c r="C2076" s="5" t="str">
        <f ca="1">INDEX('Version control'!$H$36:$H$62,MATCH($A$1,'Version control'!$F$36:$F$62,0),1)&amp;"-V: LV customer service model asset values"</f>
        <v>Input 501-V: LV customer service model asset values</v>
      </c>
      <c r="D2076" s="5"/>
      <c r="E2076" s="5"/>
      <c r="F2076" s="5"/>
      <c r="G2076" s="5"/>
      <c r="H2076" s="5"/>
      <c r="I2076" s="143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</row>
    <row r="2077" spans="2:49" x14ac:dyDescent="0.25">
      <c r="J2077" s="59"/>
      <c r="K2077" s="59"/>
      <c r="L2077" s="59"/>
      <c r="M2077" s="59"/>
      <c r="N2077" s="59"/>
      <c r="O2077" s="59"/>
      <c r="P2077" s="59"/>
      <c r="Q2077" s="59"/>
      <c r="R2077" s="59"/>
      <c r="S2077" s="59"/>
    </row>
    <row r="2078" spans="2:49" x14ac:dyDescent="0.25">
      <c r="E2078" s="52" t="s">
        <v>637</v>
      </c>
      <c r="J2078" s="59"/>
      <c r="K2078" s="59"/>
      <c r="L2078" s="59"/>
      <c r="M2078" s="59"/>
      <c r="N2078" s="59"/>
      <c r="O2078" s="59"/>
      <c r="P2078" s="59"/>
      <c r="Q2078" s="59"/>
      <c r="R2078" s="59"/>
      <c r="S2078" s="59"/>
    </row>
    <row r="2079" spans="2:49" x14ac:dyDescent="0.25">
      <c r="F2079" s="80" t="s">
        <v>925</v>
      </c>
      <c r="G2079" s="80" t="s">
        <v>509</v>
      </c>
      <c r="H2079" s="80"/>
      <c r="I2079" s="94"/>
      <c r="J2079" s="195">
        <f t="shared" ref="J2079:J2091" si="402">CHOOSE(year_selection, L2079,M2079,N2079,O2079,P2079,Q2079,R2079,S2079)</f>
        <v>377.70000000000005</v>
      </c>
      <c r="K2079" s="196"/>
      <c r="L2079" s="283"/>
      <c r="M2079" s="283">
        <v>377.70000000000005</v>
      </c>
      <c r="N2079" s="283">
        <v>377.70000000000005</v>
      </c>
      <c r="O2079" s="283">
        <v>377.70000000000005</v>
      </c>
      <c r="P2079" s="283"/>
      <c r="Q2079" s="283"/>
      <c r="R2079" s="283"/>
      <c r="S2079" s="283"/>
    </row>
    <row r="2080" spans="2:49" x14ac:dyDescent="0.25">
      <c r="F2080" t="s">
        <v>926</v>
      </c>
      <c r="G2080" t="s">
        <v>509</v>
      </c>
      <c r="J2080" s="202"/>
      <c r="K2080" s="198"/>
      <c r="L2080" s="202"/>
      <c r="M2080" s="202"/>
      <c r="N2080" s="202"/>
      <c r="O2080" s="202"/>
      <c r="P2080" s="202"/>
      <c r="Q2080" s="202"/>
      <c r="R2080" s="202"/>
      <c r="S2080" s="202"/>
    </row>
    <row r="2081" spans="3:21" x14ac:dyDescent="0.25">
      <c r="F2081" t="s">
        <v>927</v>
      </c>
      <c r="G2081" t="s">
        <v>509</v>
      </c>
      <c r="J2081" s="197">
        <f t="shared" ref="J2081" si="403">CHOOSE(year_selection, L2081,M2081,N2081,O2081,P2081,Q2081,R2081,S2081)</f>
        <v>508.75</v>
      </c>
      <c r="K2081" s="198"/>
      <c r="L2081" s="284"/>
      <c r="M2081" s="284">
        <v>508.75</v>
      </c>
      <c r="N2081" s="284">
        <v>508.75</v>
      </c>
      <c r="O2081" s="284">
        <v>508.75</v>
      </c>
      <c r="P2081" s="284"/>
      <c r="Q2081" s="284"/>
      <c r="R2081" s="284"/>
      <c r="S2081" s="284"/>
    </row>
    <row r="2082" spans="3:21" x14ac:dyDescent="0.25">
      <c r="F2082" t="s">
        <v>928</v>
      </c>
      <c r="G2082" t="s">
        <v>509</v>
      </c>
      <c r="J2082" s="202"/>
      <c r="K2082" s="198"/>
      <c r="L2082" s="202"/>
      <c r="M2082" s="202"/>
      <c r="N2082" s="202"/>
      <c r="O2082" s="202"/>
      <c r="P2082" s="202"/>
      <c r="Q2082" s="202"/>
      <c r="R2082" s="202"/>
      <c r="S2082" s="202"/>
    </row>
    <row r="2083" spans="3:21" x14ac:dyDescent="0.25">
      <c r="F2083" t="s">
        <v>929</v>
      </c>
      <c r="G2083" t="s">
        <v>509</v>
      </c>
      <c r="J2083" s="197">
        <f t="shared" ref="J2083:J2084" si="404">CHOOSE(year_selection, L2083,M2083,N2083,O2083,P2083,Q2083,R2083,S2083)</f>
        <v>2380</v>
      </c>
      <c r="K2083" s="198"/>
      <c r="L2083" s="284"/>
      <c r="M2083" s="284">
        <v>2380</v>
      </c>
      <c r="N2083" s="284">
        <v>2380</v>
      </c>
      <c r="O2083" s="284">
        <v>2380</v>
      </c>
      <c r="P2083" s="284"/>
      <c r="Q2083" s="284"/>
      <c r="R2083" s="284"/>
      <c r="S2083" s="284"/>
    </row>
    <row r="2084" spans="3:21" x14ac:dyDescent="0.25">
      <c r="F2084" t="s">
        <v>930</v>
      </c>
      <c r="G2084" t="s">
        <v>509</v>
      </c>
      <c r="J2084" s="197">
        <f t="shared" si="404"/>
        <v>840</v>
      </c>
      <c r="K2084" s="198"/>
      <c r="L2084" s="284"/>
      <c r="M2084" s="284">
        <v>840</v>
      </c>
      <c r="N2084" s="284">
        <v>840</v>
      </c>
      <c r="O2084" s="284">
        <v>840</v>
      </c>
      <c r="P2084" s="284"/>
      <c r="Q2084" s="284"/>
      <c r="R2084" s="284"/>
      <c r="S2084" s="284"/>
    </row>
    <row r="2085" spans="3:21" x14ac:dyDescent="0.25">
      <c r="F2085" t="s">
        <v>931</v>
      </c>
      <c r="G2085" t="s">
        <v>509</v>
      </c>
      <c r="J2085" s="202"/>
      <c r="K2085" s="198"/>
      <c r="L2085" s="202"/>
      <c r="M2085" s="202"/>
      <c r="N2085" s="202"/>
      <c r="O2085" s="202"/>
      <c r="P2085" s="202"/>
      <c r="Q2085" s="202"/>
      <c r="R2085" s="202"/>
      <c r="S2085" s="202"/>
    </row>
    <row r="2086" spans="3:21" x14ac:dyDescent="0.25">
      <c r="F2086" t="s">
        <v>932</v>
      </c>
      <c r="G2086" t="s">
        <v>509</v>
      </c>
      <c r="J2086" s="202"/>
      <c r="K2086" s="198"/>
      <c r="L2086" s="202"/>
      <c r="M2086" s="202"/>
      <c r="N2086" s="202"/>
      <c r="O2086" s="202"/>
      <c r="P2086" s="202"/>
      <c r="Q2086" s="202"/>
      <c r="R2086" s="202"/>
      <c r="S2086" s="202"/>
    </row>
    <row r="2087" spans="3:21" x14ac:dyDescent="0.25">
      <c r="F2087" t="s">
        <v>933</v>
      </c>
      <c r="G2087" t="s">
        <v>509</v>
      </c>
      <c r="J2087" s="197">
        <f t="shared" ref="J2087" si="405">CHOOSE(year_selection, L2087,M2087,N2087,O2087,P2087,Q2087,R2087,S2087)</f>
        <v>0</v>
      </c>
      <c r="K2087" s="198"/>
      <c r="L2087" s="284"/>
      <c r="M2087" s="284">
        <v>0</v>
      </c>
      <c r="N2087" s="284">
        <v>0</v>
      </c>
      <c r="O2087" s="284">
        <v>0</v>
      </c>
      <c r="P2087" s="284"/>
      <c r="Q2087" s="284"/>
      <c r="R2087" s="284"/>
      <c r="S2087" s="284"/>
    </row>
    <row r="2088" spans="3:21" x14ac:dyDescent="0.25">
      <c r="F2088" t="s">
        <v>934</v>
      </c>
      <c r="G2088" t="s">
        <v>509</v>
      </c>
      <c r="J2088" s="197">
        <f t="shared" si="402"/>
        <v>0</v>
      </c>
      <c r="K2088" s="198"/>
      <c r="L2088" s="284"/>
      <c r="M2088" s="284">
        <v>0</v>
      </c>
      <c r="N2088" s="284">
        <v>0</v>
      </c>
      <c r="O2088" s="284">
        <v>0</v>
      </c>
      <c r="P2088" s="284"/>
      <c r="Q2088" s="284"/>
      <c r="R2088" s="284"/>
      <c r="S2088" s="284"/>
    </row>
    <row r="2089" spans="3:21" x14ac:dyDescent="0.25">
      <c r="F2089" t="s">
        <v>935</v>
      </c>
      <c r="G2089" t="s">
        <v>509</v>
      </c>
      <c r="J2089" s="197">
        <f t="shared" si="402"/>
        <v>0</v>
      </c>
      <c r="K2089" s="198"/>
      <c r="L2089" s="284"/>
      <c r="M2089" s="284">
        <v>0</v>
      </c>
      <c r="N2089" s="284">
        <v>0</v>
      </c>
      <c r="O2089" s="284">
        <v>0</v>
      </c>
      <c r="P2089" s="284"/>
      <c r="Q2089" s="284"/>
      <c r="R2089" s="284"/>
      <c r="S2089" s="284"/>
    </row>
    <row r="2090" spans="3:21" x14ac:dyDescent="0.25">
      <c r="F2090" t="s">
        <v>936</v>
      </c>
      <c r="G2090" t="s">
        <v>509</v>
      </c>
      <c r="J2090" s="197">
        <f t="shared" si="402"/>
        <v>0</v>
      </c>
      <c r="K2090" s="198"/>
      <c r="L2090" s="284"/>
      <c r="M2090" s="284">
        <v>0</v>
      </c>
      <c r="N2090" s="284">
        <v>0</v>
      </c>
      <c r="O2090" s="284">
        <v>0</v>
      </c>
      <c r="P2090" s="284"/>
      <c r="Q2090" s="284"/>
      <c r="R2090" s="284"/>
      <c r="S2090" s="284"/>
    </row>
    <row r="2091" spans="3:21" x14ac:dyDescent="0.25">
      <c r="F2091" t="s">
        <v>937</v>
      </c>
      <c r="G2091" t="s">
        <v>509</v>
      </c>
      <c r="J2091" s="197">
        <f t="shared" si="402"/>
        <v>0</v>
      </c>
      <c r="K2091" s="198"/>
      <c r="L2091" s="284"/>
      <c r="M2091" s="284">
        <v>0</v>
      </c>
      <c r="N2091" s="284">
        <v>0</v>
      </c>
      <c r="O2091" s="284">
        <v>0</v>
      </c>
      <c r="P2091" s="284"/>
      <c r="Q2091" s="284"/>
      <c r="R2091" s="284"/>
      <c r="S2091" s="284"/>
    </row>
    <row r="2092" spans="3:21" x14ac:dyDescent="0.25">
      <c r="F2092" t="s">
        <v>938</v>
      </c>
      <c r="G2092" t="s">
        <v>509</v>
      </c>
      <c r="J2092" s="197">
        <f t="shared" ref="J2092" si="406">CHOOSE(year_selection, L2092,M2092,N2092,O2092,P2092,Q2092,R2092,S2092)</f>
        <v>0</v>
      </c>
      <c r="K2092" s="198"/>
      <c r="L2092" s="284"/>
      <c r="M2092" s="284">
        <v>0</v>
      </c>
      <c r="N2092" s="284">
        <v>0</v>
      </c>
      <c r="O2092" s="284">
        <v>0</v>
      </c>
      <c r="P2092" s="284"/>
      <c r="Q2092" s="284"/>
      <c r="R2092" s="284"/>
      <c r="S2092" s="284"/>
    </row>
    <row r="2093" spans="3:21" x14ac:dyDescent="0.25">
      <c r="F2093" t="s">
        <v>939</v>
      </c>
      <c r="G2093" t="s">
        <v>509</v>
      </c>
      <c r="J2093" s="202"/>
      <c r="K2093" s="198"/>
      <c r="L2093" s="202"/>
      <c r="M2093" s="202"/>
      <c r="N2093" s="202"/>
      <c r="O2093" s="202"/>
      <c r="P2093" s="202"/>
      <c r="Q2093" s="202"/>
      <c r="R2093" s="202"/>
      <c r="S2093" s="202"/>
    </row>
    <row r="2094" spans="3:21" x14ac:dyDescent="0.25">
      <c r="F2094" s="17" t="s">
        <v>940</v>
      </c>
      <c r="G2094" s="17" t="s">
        <v>509</v>
      </c>
      <c r="H2094" s="17"/>
      <c r="I2094" s="122"/>
      <c r="J2094" s="203"/>
      <c r="K2094" s="200"/>
      <c r="L2094" s="203"/>
      <c r="M2094" s="203"/>
      <c r="N2094" s="203"/>
      <c r="O2094" s="203"/>
      <c r="P2094" s="203"/>
      <c r="Q2094" s="203"/>
      <c r="R2094" s="203"/>
      <c r="S2094" s="203"/>
    </row>
    <row r="2095" spans="3:21" x14ac:dyDescent="0.25">
      <c r="D2095" s="12"/>
      <c r="J2095" s="198"/>
      <c r="K2095" s="198"/>
      <c r="L2095" s="198"/>
      <c r="M2095" s="198"/>
      <c r="N2095" s="198"/>
      <c r="O2095" s="198"/>
      <c r="P2095" s="198"/>
      <c r="Q2095" s="198"/>
      <c r="R2095" s="198"/>
      <c r="S2095" s="198"/>
    </row>
    <row r="2096" spans="3:21" x14ac:dyDescent="0.25">
      <c r="C2096" s="5" t="str">
        <f ca="1">INDEX('Version control'!$H$36:$H$62,MATCH($A$1,'Version control'!$F$36:$F$62,0),1)&amp;"-W: HV customer service model asset values"</f>
        <v>Input 501-W: HV customer service model asset values</v>
      </c>
      <c r="D2096" s="5"/>
      <c r="E2096" s="5"/>
      <c r="F2096" s="5"/>
      <c r="G2096" s="5"/>
      <c r="H2096" s="5"/>
      <c r="I2096" s="143"/>
      <c r="J2096" s="205"/>
      <c r="K2096" s="205"/>
      <c r="L2096" s="205"/>
      <c r="M2096" s="205"/>
      <c r="N2096" s="205"/>
      <c r="O2096" s="205"/>
      <c r="P2096" s="205"/>
      <c r="Q2096" s="205"/>
      <c r="R2096" s="205"/>
      <c r="S2096" s="205"/>
      <c r="T2096" s="5"/>
      <c r="U2096" s="5"/>
    </row>
    <row r="2097" spans="5:19" x14ac:dyDescent="0.25">
      <c r="J2097" s="198"/>
      <c r="K2097" s="198"/>
      <c r="L2097" s="198"/>
      <c r="M2097" s="198"/>
      <c r="N2097" s="198"/>
      <c r="O2097" s="198"/>
      <c r="P2097" s="198"/>
      <c r="Q2097" s="198"/>
      <c r="R2097" s="198"/>
      <c r="S2097" s="198"/>
    </row>
    <row r="2098" spans="5:19" x14ac:dyDescent="0.25">
      <c r="E2098" s="52" t="s">
        <v>638</v>
      </c>
      <c r="J2098" s="198"/>
      <c r="K2098" s="198"/>
      <c r="L2098" s="198"/>
      <c r="M2098" s="198"/>
      <c r="N2098" s="198"/>
      <c r="O2098" s="198"/>
      <c r="P2098" s="198"/>
      <c r="Q2098" s="198"/>
      <c r="R2098" s="198"/>
      <c r="S2098" s="198"/>
    </row>
    <row r="2099" spans="5:19" x14ac:dyDescent="0.25">
      <c r="F2099" s="80" t="s">
        <v>925</v>
      </c>
      <c r="G2099" s="80" t="s">
        <v>509</v>
      </c>
      <c r="H2099" s="80"/>
      <c r="I2099" s="94"/>
      <c r="J2099" s="201"/>
      <c r="K2099" s="196"/>
      <c r="L2099" s="201"/>
      <c r="M2099" s="201"/>
      <c r="N2099" s="201"/>
      <c r="O2099" s="201"/>
      <c r="P2099" s="201"/>
      <c r="Q2099" s="201"/>
      <c r="R2099" s="201"/>
      <c r="S2099" s="201"/>
    </row>
    <row r="2100" spans="5:19" x14ac:dyDescent="0.25">
      <c r="F2100" t="s">
        <v>926</v>
      </c>
      <c r="G2100" t="s">
        <v>509</v>
      </c>
      <c r="J2100" s="202"/>
      <c r="K2100" s="198"/>
      <c r="L2100" s="202"/>
      <c r="M2100" s="202"/>
      <c r="N2100" s="202"/>
      <c r="O2100" s="202"/>
      <c r="P2100" s="202"/>
      <c r="Q2100" s="202"/>
      <c r="R2100" s="202"/>
      <c r="S2100" s="202"/>
    </row>
    <row r="2101" spans="5:19" x14ac:dyDescent="0.25">
      <c r="F2101" t="s">
        <v>927</v>
      </c>
      <c r="G2101" t="s">
        <v>509</v>
      </c>
      <c r="J2101" s="202"/>
      <c r="K2101" s="198"/>
      <c r="L2101" s="202"/>
      <c r="M2101" s="202"/>
      <c r="N2101" s="202"/>
      <c r="O2101" s="202"/>
      <c r="P2101" s="202"/>
      <c r="Q2101" s="202"/>
      <c r="R2101" s="202"/>
      <c r="S2101" s="202"/>
    </row>
    <row r="2102" spans="5:19" x14ac:dyDescent="0.25">
      <c r="F2102" t="s">
        <v>928</v>
      </c>
      <c r="G2102" t="s">
        <v>509</v>
      </c>
      <c r="J2102" s="202"/>
      <c r="K2102" s="198"/>
      <c r="L2102" s="202"/>
      <c r="M2102" s="202"/>
      <c r="N2102" s="202"/>
      <c r="O2102" s="202"/>
      <c r="P2102" s="202"/>
      <c r="Q2102" s="202"/>
      <c r="R2102" s="202"/>
      <c r="S2102" s="202"/>
    </row>
    <row r="2103" spans="5:19" x14ac:dyDescent="0.25">
      <c r="F2103" t="s">
        <v>929</v>
      </c>
      <c r="G2103" t="s">
        <v>509</v>
      </c>
      <c r="J2103" s="202"/>
      <c r="K2103" s="198"/>
      <c r="L2103" s="202"/>
      <c r="M2103" s="202"/>
      <c r="N2103" s="202"/>
      <c r="O2103" s="202"/>
      <c r="P2103" s="202"/>
      <c r="Q2103" s="202"/>
      <c r="R2103" s="202"/>
      <c r="S2103" s="202"/>
    </row>
    <row r="2104" spans="5:19" x14ac:dyDescent="0.25">
      <c r="F2104" t="s">
        <v>930</v>
      </c>
      <c r="G2104" t="s">
        <v>509</v>
      </c>
      <c r="J2104" s="202"/>
      <c r="K2104" s="198"/>
      <c r="L2104" s="202"/>
      <c r="M2104" s="202"/>
      <c r="N2104" s="202"/>
      <c r="O2104" s="202"/>
      <c r="P2104" s="202"/>
      <c r="Q2104" s="202"/>
      <c r="R2104" s="202"/>
      <c r="S2104" s="202"/>
    </row>
    <row r="2105" spans="5:19" x14ac:dyDescent="0.25">
      <c r="F2105" t="s">
        <v>931</v>
      </c>
      <c r="G2105" t="s">
        <v>509</v>
      </c>
      <c r="J2105" s="197">
        <f t="shared" ref="J2105" si="407">CHOOSE(year_selection, L2105,M2105,N2105,O2105,P2105,Q2105,R2105,S2105)</f>
        <v>12718.10554</v>
      </c>
      <c r="K2105" s="198"/>
      <c r="L2105" s="284"/>
      <c r="M2105" s="284">
        <v>12718.10554</v>
      </c>
      <c r="N2105" s="284">
        <v>12718.10554</v>
      </c>
      <c r="O2105" s="284">
        <v>12718.10554</v>
      </c>
      <c r="P2105" s="284"/>
      <c r="Q2105" s="284"/>
      <c r="R2105" s="284"/>
      <c r="S2105" s="284"/>
    </row>
    <row r="2106" spans="5:19" x14ac:dyDescent="0.25">
      <c r="F2106" t="s">
        <v>932</v>
      </c>
      <c r="G2106" t="s">
        <v>509</v>
      </c>
      <c r="J2106" s="202"/>
      <c r="K2106" s="198"/>
      <c r="L2106" s="202"/>
      <c r="M2106" s="202"/>
      <c r="N2106" s="202"/>
      <c r="O2106" s="202"/>
      <c r="P2106" s="202"/>
      <c r="Q2106" s="202"/>
      <c r="R2106" s="202"/>
      <c r="S2106" s="202"/>
    </row>
    <row r="2107" spans="5:19" x14ac:dyDescent="0.25">
      <c r="F2107" t="s">
        <v>933</v>
      </c>
      <c r="G2107" t="s">
        <v>509</v>
      </c>
      <c r="J2107" s="202"/>
      <c r="K2107" s="198"/>
      <c r="L2107" s="202"/>
      <c r="M2107" s="202"/>
      <c r="N2107" s="202"/>
      <c r="O2107" s="202"/>
      <c r="P2107" s="202"/>
      <c r="Q2107" s="202"/>
      <c r="R2107" s="202"/>
      <c r="S2107" s="202"/>
    </row>
    <row r="2108" spans="5:19" x14ac:dyDescent="0.25">
      <c r="F2108" t="s">
        <v>934</v>
      </c>
      <c r="G2108" t="s">
        <v>509</v>
      </c>
      <c r="J2108" s="202"/>
      <c r="K2108" s="198"/>
      <c r="L2108" s="202"/>
      <c r="M2108" s="202"/>
      <c r="N2108" s="202"/>
      <c r="O2108" s="202"/>
      <c r="P2108" s="202"/>
      <c r="Q2108" s="202"/>
      <c r="R2108" s="202"/>
      <c r="S2108" s="202"/>
    </row>
    <row r="2109" spans="5:19" x14ac:dyDescent="0.25">
      <c r="F2109" t="s">
        <v>935</v>
      </c>
      <c r="G2109" t="s">
        <v>509</v>
      </c>
      <c r="J2109" s="202"/>
      <c r="K2109" s="198"/>
      <c r="L2109" s="202"/>
      <c r="M2109" s="202"/>
      <c r="N2109" s="202"/>
      <c r="O2109" s="202"/>
      <c r="P2109" s="202"/>
      <c r="Q2109" s="202"/>
      <c r="R2109" s="202"/>
      <c r="S2109" s="202"/>
    </row>
    <row r="2110" spans="5:19" x14ac:dyDescent="0.25">
      <c r="F2110" t="s">
        <v>936</v>
      </c>
      <c r="G2110" t="s">
        <v>509</v>
      </c>
      <c r="J2110" s="202"/>
      <c r="K2110" s="198"/>
      <c r="L2110" s="202"/>
      <c r="M2110" s="202"/>
      <c r="N2110" s="202"/>
      <c r="O2110" s="202"/>
      <c r="P2110" s="202"/>
      <c r="Q2110" s="202"/>
      <c r="R2110" s="202"/>
      <c r="S2110" s="202"/>
    </row>
    <row r="2111" spans="5:19" x14ac:dyDescent="0.25">
      <c r="F2111" t="s">
        <v>937</v>
      </c>
      <c r="G2111" t="s">
        <v>509</v>
      </c>
      <c r="J2111" s="202"/>
      <c r="K2111" s="198"/>
      <c r="L2111" s="202"/>
      <c r="M2111" s="202"/>
      <c r="N2111" s="202"/>
      <c r="O2111" s="202"/>
      <c r="P2111" s="202"/>
      <c r="Q2111" s="202"/>
      <c r="R2111" s="202"/>
      <c r="S2111" s="202"/>
    </row>
    <row r="2112" spans="5:19" x14ac:dyDescent="0.25">
      <c r="F2112" t="s">
        <v>938</v>
      </c>
      <c r="G2112" t="s">
        <v>509</v>
      </c>
      <c r="J2112" s="202"/>
      <c r="K2112" s="198"/>
      <c r="L2112" s="202"/>
      <c r="M2112" s="202"/>
      <c r="N2112" s="202"/>
      <c r="O2112" s="202"/>
      <c r="P2112" s="202"/>
      <c r="Q2112" s="202"/>
      <c r="R2112" s="202"/>
      <c r="S2112" s="202"/>
    </row>
    <row r="2113" spans="3:21" x14ac:dyDescent="0.25">
      <c r="F2113" t="s">
        <v>939</v>
      </c>
      <c r="G2113" t="s">
        <v>509</v>
      </c>
      <c r="J2113" s="197">
        <f t="shared" ref="J2113" si="408">CHOOSE(year_selection, L2113,M2113,N2113,O2113,P2113,Q2113,R2113,S2113)</f>
        <v>9287</v>
      </c>
      <c r="K2113" s="198"/>
      <c r="L2113" s="284"/>
      <c r="M2113" s="284">
        <v>9287</v>
      </c>
      <c r="N2113" s="284">
        <v>9287</v>
      </c>
      <c r="O2113" s="284">
        <v>9287</v>
      </c>
      <c r="P2113" s="284"/>
      <c r="Q2113" s="284"/>
      <c r="R2113" s="284"/>
      <c r="S2113" s="284"/>
    </row>
    <row r="2114" spans="3:21" x14ac:dyDescent="0.25">
      <c r="F2114" s="17" t="s">
        <v>940</v>
      </c>
      <c r="G2114" s="17" t="s">
        <v>509</v>
      </c>
      <c r="H2114" s="17"/>
      <c r="I2114" s="122"/>
      <c r="J2114" s="199">
        <f t="shared" ref="J2114" si="409">CHOOSE(year_selection, L2114,M2114,N2114,O2114,P2114,Q2114,R2114,S2114)</f>
        <v>9287</v>
      </c>
      <c r="K2114" s="200"/>
      <c r="L2114" s="285"/>
      <c r="M2114" s="285">
        <v>9287</v>
      </c>
      <c r="N2114" s="285">
        <v>9287</v>
      </c>
      <c r="O2114" s="285">
        <v>9287</v>
      </c>
      <c r="P2114" s="285"/>
      <c r="Q2114" s="285"/>
      <c r="R2114" s="285"/>
      <c r="S2114" s="285"/>
    </row>
    <row r="2115" spans="3:21" x14ac:dyDescent="0.25">
      <c r="D2115" s="12"/>
      <c r="J2115" s="198"/>
      <c r="K2115" s="198"/>
      <c r="L2115" s="198"/>
      <c r="M2115" s="198"/>
      <c r="N2115" s="198"/>
      <c r="O2115" s="198"/>
      <c r="P2115" s="198"/>
      <c r="Q2115" s="198"/>
      <c r="R2115" s="198"/>
      <c r="S2115" s="198"/>
    </row>
    <row r="2116" spans="3:21" x14ac:dyDescent="0.25">
      <c r="C2116" s="5" t="str">
        <f ca="1">INDEX('Version control'!$H$36:$H$62,MATCH($A$1,'Version control'!$F$36:$F$62,0),1)&amp;"-X: LV UMS customer service model asset values"</f>
        <v>Input 501-X: LV UMS customer service model asset values</v>
      </c>
      <c r="D2116" s="5"/>
      <c r="E2116" s="5"/>
      <c r="F2116" s="5"/>
      <c r="G2116" s="5"/>
      <c r="H2116" s="5"/>
      <c r="I2116" s="143"/>
      <c r="J2116" s="205"/>
      <c r="K2116" s="205"/>
      <c r="L2116" s="205"/>
      <c r="M2116" s="205"/>
      <c r="N2116" s="205"/>
      <c r="O2116" s="205"/>
      <c r="P2116" s="205"/>
      <c r="Q2116" s="205"/>
      <c r="R2116" s="205"/>
      <c r="S2116" s="205"/>
      <c r="T2116" s="5"/>
      <c r="U2116" s="5"/>
    </row>
    <row r="2117" spans="3:21" x14ac:dyDescent="0.25">
      <c r="J2117" s="198"/>
      <c r="K2117" s="198"/>
      <c r="L2117" s="198"/>
      <c r="M2117" s="198"/>
      <c r="N2117" s="198"/>
      <c r="O2117" s="198"/>
      <c r="P2117" s="198"/>
      <c r="Q2117" s="198"/>
      <c r="R2117" s="198"/>
      <c r="S2117" s="198"/>
    </row>
    <row r="2118" spans="3:21" x14ac:dyDescent="0.25">
      <c r="E2118" s="52" t="s">
        <v>639</v>
      </c>
      <c r="I2118" s="59" t="s">
        <v>359</v>
      </c>
      <c r="J2118" s="198"/>
      <c r="K2118" s="198"/>
      <c r="L2118" s="198"/>
      <c r="M2118" s="198"/>
      <c r="N2118" s="198"/>
      <c r="O2118" s="198"/>
      <c r="P2118" s="198"/>
      <c r="Q2118" s="198"/>
      <c r="R2118" s="198"/>
      <c r="S2118" s="198"/>
      <c r="U2118" t="s">
        <v>704</v>
      </c>
    </row>
    <row r="2119" spans="3:21" x14ac:dyDescent="0.25">
      <c r="F2119" s="80" t="s">
        <v>925</v>
      </c>
      <c r="G2119" s="80" t="s">
        <v>271</v>
      </c>
      <c r="H2119" s="80"/>
      <c r="I2119" s="94"/>
      <c r="J2119" s="201"/>
      <c r="K2119" s="196"/>
      <c r="L2119" s="201"/>
      <c r="M2119" s="201"/>
      <c r="N2119" s="201"/>
      <c r="O2119" s="201"/>
      <c r="P2119" s="201"/>
      <c r="Q2119" s="201"/>
      <c r="R2119" s="201"/>
      <c r="S2119" s="201"/>
    </row>
    <row r="2120" spans="3:21" x14ac:dyDescent="0.25">
      <c r="F2120" t="s">
        <v>926</v>
      </c>
      <c r="G2120" t="s">
        <v>271</v>
      </c>
      <c r="J2120" s="202"/>
      <c r="K2120" s="198"/>
      <c r="L2120" s="202"/>
      <c r="M2120" s="202"/>
      <c r="N2120" s="202"/>
      <c r="O2120" s="202"/>
      <c r="P2120" s="202"/>
      <c r="Q2120" s="202"/>
      <c r="R2120" s="202"/>
      <c r="S2120" s="202"/>
    </row>
    <row r="2121" spans="3:21" x14ac:dyDescent="0.25">
      <c r="F2121" t="s">
        <v>927</v>
      </c>
      <c r="G2121" t="s">
        <v>271</v>
      </c>
      <c r="J2121" s="202"/>
      <c r="K2121" s="198"/>
      <c r="L2121" s="202"/>
      <c r="M2121" s="202"/>
      <c r="N2121" s="202"/>
      <c r="O2121" s="202"/>
      <c r="P2121" s="202"/>
      <c r="Q2121" s="202"/>
      <c r="R2121" s="202"/>
      <c r="S2121" s="202"/>
    </row>
    <row r="2122" spans="3:21" x14ac:dyDescent="0.25">
      <c r="F2122" t="s">
        <v>928</v>
      </c>
      <c r="G2122" t="s">
        <v>271</v>
      </c>
      <c r="J2122" s="202"/>
      <c r="K2122" s="198"/>
      <c r="L2122" s="202"/>
      <c r="M2122" s="202"/>
      <c r="N2122" s="202"/>
      <c r="O2122" s="202"/>
      <c r="P2122" s="202"/>
      <c r="Q2122" s="202"/>
      <c r="R2122" s="202"/>
      <c r="S2122" s="202"/>
    </row>
    <row r="2123" spans="3:21" x14ac:dyDescent="0.25">
      <c r="F2123" t="s">
        <v>929</v>
      </c>
      <c r="G2123" t="s">
        <v>271</v>
      </c>
      <c r="J2123" s="202"/>
      <c r="K2123" s="198"/>
      <c r="L2123" s="202"/>
      <c r="M2123" s="202"/>
      <c r="N2123" s="202"/>
      <c r="O2123" s="202"/>
      <c r="P2123" s="202"/>
      <c r="Q2123" s="202"/>
      <c r="R2123" s="202"/>
      <c r="S2123" s="202"/>
    </row>
    <row r="2124" spans="3:21" x14ac:dyDescent="0.25">
      <c r="F2124" t="s">
        <v>930</v>
      </c>
      <c r="G2124" t="s">
        <v>271</v>
      </c>
      <c r="J2124" s="202"/>
      <c r="K2124" s="198"/>
      <c r="L2124" s="202"/>
      <c r="M2124" s="202"/>
      <c r="N2124" s="202"/>
      <c r="O2124" s="202"/>
      <c r="P2124" s="202"/>
      <c r="Q2124" s="202"/>
      <c r="R2124" s="202"/>
      <c r="S2124" s="202"/>
    </row>
    <row r="2125" spans="3:21" x14ac:dyDescent="0.25">
      <c r="F2125" t="s">
        <v>931</v>
      </c>
      <c r="G2125" t="s">
        <v>271</v>
      </c>
      <c r="J2125" s="202"/>
      <c r="K2125" s="198"/>
      <c r="L2125" s="202"/>
      <c r="M2125" s="202"/>
      <c r="N2125" s="202"/>
      <c r="O2125" s="202"/>
      <c r="P2125" s="202"/>
      <c r="Q2125" s="202"/>
      <c r="R2125" s="202"/>
      <c r="S2125" s="202"/>
    </row>
    <row r="2126" spans="3:21" x14ac:dyDescent="0.25">
      <c r="F2126" t="s">
        <v>932</v>
      </c>
      <c r="G2126" t="s">
        <v>271</v>
      </c>
      <c r="J2126" s="197">
        <f>CHOOSE(year_selection, L2126,M2126,N2126,O2126,P2126,Q2126,R2126,S2126)</f>
        <v>120.51</v>
      </c>
      <c r="K2126" s="198"/>
      <c r="L2126" s="284"/>
      <c r="M2126" s="284">
        <v>120.51</v>
      </c>
      <c r="N2126" s="284">
        <v>120.51</v>
      </c>
      <c r="O2126" s="285">
        <v>120.51</v>
      </c>
      <c r="P2126" s="284"/>
      <c r="Q2126" s="284"/>
      <c r="R2126" s="284"/>
      <c r="S2126" s="284"/>
    </row>
    <row r="2127" spans="3:21" x14ac:dyDescent="0.25">
      <c r="F2127" t="s">
        <v>933</v>
      </c>
      <c r="G2127" t="s">
        <v>271</v>
      </c>
      <c r="J2127" s="202"/>
      <c r="K2127" s="198"/>
      <c r="L2127" s="202"/>
      <c r="M2127" s="202"/>
      <c r="N2127" s="202"/>
      <c r="O2127" s="202"/>
      <c r="P2127" s="202"/>
      <c r="Q2127" s="202"/>
      <c r="R2127" s="202"/>
      <c r="S2127" s="202"/>
    </row>
    <row r="2128" spans="3:21" x14ac:dyDescent="0.25">
      <c r="F2128" t="s">
        <v>934</v>
      </c>
      <c r="G2128" t="s">
        <v>271</v>
      </c>
      <c r="J2128" s="202"/>
      <c r="K2128" s="198"/>
      <c r="L2128" s="202"/>
      <c r="M2128" s="202"/>
      <c r="N2128" s="202"/>
      <c r="O2128" s="202"/>
      <c r="P2128" s="202"/>
      <c r="Q2128" s="202"/>
      <c r="R2128" s="202"/>
      <c r="S2128" s="202"/>
    </row>
    <row r="2129" spans="2:49" x14ac:dyDescent="0.25">
      <c r="F2129" t="s">
        <v>935</v>
      </c>
      <c r="G2129" t="s">
        <v>271</v>
      </c>
      <c r="J2129" s="202"/>
      <c r="K2129" s="198"/>
      <c r="L2129" s="202"/>
      <c r="M2129" s="202"/>
      <c r="N2129" s="202"/>
      <c r="O2129" s="202"/>
      <c r="P2129" s="202"/>
      <c r="Q2129" s="202"/>
      <c r="R2129" s="202"/>
      <c r="S2129" s="202"/>
    </row>
    <row r="2130" spans="2:49" x14ac:dyDescent="0.25">
      <c r="F2130" t="s">
        <v>936</v>
      </c>
      <c r="G2130" t="s">
        <v>271</v>
      </c>
      <c r="J2130" s="202"/>
      <c r="K2130" s="198"/>
      <c r="L2130" s="202"/>
      <c r="M2130" s="202"/>
      <c r="N2130" s="202"/>
      <c r="O2130" s="202"/>
      <c r="P2130" s="202"/>
      <c r="Q2130" s="202"/>
      <c r="R2130" s="202"/>
      <c r="S2130" s="202"/>
    </row>
    <row r="2131" spans="2:49" x14ac:dyDescent="0.25">
      <c r="F2131" t="s">
        <v>937</v>
      </c>
      <c r="G2131" t="s">
        <v>271</v>
      </c>
      <c r="J2131" s="202"/>
      <c r="K2131" s="198"/>
      <c r="L2131" s="202"/>
      <c r="M2131" s="202"/>
      <c r="N2131" s="202"/>
      <c r="O2131" s="202"/>
      <c r="P2131" s="202"/>
      <c r="Q2131" s="202"/>
      <c r="R2131" s="202"/>
      <c r="S2131" s="202"/>
    </row>
    <row r="2132" spans="2:49" x14ac:dyDescent="0.25">
      <c r="F2132" t="s">
        <v>938</v>
      </c>
      <c r="G2132" t="s">
        <v>271</v>
      </c>
      <c r="J2132" s="202"/>
      <c r="K2132" s="198"/>
      <c r="L2132" s="202"/>
      <c r="M2132" s="202"/>
      <c r="N2132" s="202"/>
      <c r="O2132" s="202"/>
      <c r="P2132" s="202"/>
      <c r="Q2132" s="202"/>
      <c r="R2132" s="202"/>
      <c r="S2132" s="202"/>
    </row>
    <row r="2133" spans="2:49" x14ac:dyDescent="0.25">
      <c r="F2133" t="s">
        <v>939</v>
      </c>
      <c r="G2133" t="s">
        <v>271</v>
      </c>
      <c r="J2133" s="202"/>
      <c r="K2133" s="198"/>
      <c r="L2133" s="202"/>
      <c r="M2133" s="202"/>
      <c r="N2133" s="202"/>
      <c r="O2133" s="202"/>
      <c r="P2133" s="202"/>
      <c r="Q2133" s="202"/>
      <c r="R2133" s="202"/>
      <c r="S2133" s="202"/>
    </row>
    <row r="2134" spans="2:49" x14ac:dyDescent="0.25">
      <c r="F2134" s="17" t="s">
        <v>940</v>
      </c>
      <c r="G2134" s="17" t="s">
        <v>271</v>
      </c>
      <c r="H2134" s="17"/>
      <c r="I2134" s="122"/>
      <c r="J2134" s="203"/>
      <c r="K2134" s="200"/>
      <c r="L2134" s="203"/>
      <c r="M2134" s="203"/>
      <c r="N2134" s="203"/>
      <c r="O2134" s="203"/>
      <c r="P2134" s="203"/>
      <c r="Q2134" s="203"/>
      <c r="R2134" s="203"/>
      <c r="S2134" s="203"/>
    </row>
    <row r="2135" spans="2:49" x14ac:dyDescent="0.25">
      <c r="D2135" s="12"/>
      <c r="J2135" s="59"/>
      <c r="K2135" s="59"/>
      <c r="L2135" s="59"/>
      <c r="M2135" s="59"/>
      <c r="N2135" s="59"/>
      <c r="O2135" s="59"/>
      <c r="P2135" s="59"/>
      <c r="Q2135" s="59"/>
      <c r="R2135" s="59"/>
      <c r="S2135" s="59"/>
    </row>
    <row r="2136" spans="2:49" x14ac:dyDescent="0.25">
      <c r="B2136" s="82" t="s">
        <v>109</v>
      </c>
      <c r="C2136" s="82"/>
      <c r="D2136" s="82"/>
      <c r="E2136" s="82"/>
      <c r="F2136" s="82"/>
      <c r="G2136" s="82"/>
      <c r="H2136" s="82"/>
      <c r="I2136" s="136"/>
      <c r="J2136" s="136"/>
      <c r="K2136" s="136"/>
      <c r="L2136" s="136"/>
      <c r="M2136" s="136"/>
      <c r="N2136" s="136"/>
      <c r="O2136" s="136"/>
      <c r="P2136" s="136"/>
      <c r="Q2136" s="136"/>
      <c r="R2136" s="136"/>
      <c r="S2136" s="136"/>
      <c r="T2136" s="82"/>
      <c r="U2136" s="82"/>
      <c r="W2136" s="82"/>
      <c r="X2136" s="82"/>
      <c r="Y2136" s="82"/>
      <c r="Z2136" s="82"/>
      <c r="AA2136" s="82"/>
      <c r="AB2136" s="82"/>
      <c r="AC2136" s="82"/>
      <c r="AD2136" s="82"/>
      <c r="AE2136" s="82"/>
      <c r="AF2136" s="82"/>
      <c r="AG2136" s="82"/>
      <c r="AH2136" s="82"/>
      <c r="AI2136" s="82"/>
      <c r="AJ2136" s="82"/>
      <c r="AK2136" s="82"/>
      <c r="AL2136" s="82"/>
      <c r="AM2136" s="82"/>
      <c r="AN2136" s="82"/>
      <c r="AO2136" s="82"/>
      <c r="AP2136" s="82"/>
      <c r="AQ2136" s="82"/>
      <c r="AR2136" s="82"/>
      <c r="AS2136" s="82"/>
      <c r="AT2136" s="82"/>
      <c r="AU2136" s="82"/>
      <c r="AV2136" s="82"/>
      <c r="AW2136" s="82"/>
    </row>
    <row r="2137" spans="2:49" x14ac:dyDescent="0.25">
      <c r="H2137" s="59"/>
      <c r="J2137" s="59"/>
      <c r="K2137" s="59"/>
      <c r="L2137" s="59"/>
      <c r="M2137" s="59"/>
      <c r="N2137" s="59"/>
      <c r="O2137" s="59"/>
      <c r="P2137" s="59"/>
      <c r="Q2137" s="59"/>
      <c r="R2137" s="59"/>
      <c r="S2137" s="59"/>
    </row>
    <row r="2138" spans="2:49" x14ac:dyDescent="0.25">
      <c r="E2138" t="s">
        <v>415</v>
      </c>
      <c r="G2138" s="46" t="s">
        <v>588</v>
      </c>
      <c r="H2138" s="150">
        <f t="array" ref="H2138">SUM(IF(ISERROR(H19:S2135), 1))</f>
        <v>0</v>
      </c>
      <c r="J2138" s="59"/>
      <c r="K2138" s="59"/>
      <c r="L2138" s="59"/>
      <c r="M2138" s="59"/>
      <c r="N2138" s="59"/>
      <c r="O2138" s="59"/>
      <c r="P2138" s="59"/>
      <c r="Q2138" s="59"/>
      <c r="R2138" s="59"/>
      <c r="S2138" s="59"/>
    </row>
    <row r="2139" spans="2:49" x14ac:dyDescent="0.25">
      <c r="H2139" s="59"/>
      <c r="J2139" s="59"/>
      <c r="K2139" s="59"/>
      <c r="L2139" s="59"/>
      <c r="M2139" s="59"/>
      <c r="N2139" s="59"/>
      <c r="O2139" s="59"/>
      <c r="P2139" s="59"/>
      <c r="Q2139" s="59"/>
      <c r="R2139" s="59"/>
      <c r="S2139" s="59"/>
    </row>
    <row r="2140" spans="2:49" x14ac:dyDescent="0.25">
      <c r="E2140" t="s">
        <v>374</v>
      </c>
      <c r="G2140" s="46" t="s">
        <v>588</v>
      </c>
      <c r="H2140" s="263">
        <f>SUM(H2138)</f>
        <v>0</v>
      </c>
      <c r="J2140" s="59"/>
      <c r="K2140" s="59"/>
      <c r="L2140" s="59"/>
      <c r="M2140" s="59"/>
      <c r="N2140" s="59"/>
      <c r="O2140" s="59"/>
      <c r="P2140" s="59"/>
      <c r="Q2140" s="59"/>
      <c r="R2140" s="59"/>
      <c r="S2140" s="59"/>
    </row>
    <row r="2141" spans="2:49" x14ac:dyDescent="0.25">
      <c r="J2141" s="59"/>
      <c r="K2141" s="59"/>
      <c r="L2141" s="59"/>
      <c r="M2141" s="59"/>
      <c r="N2141" s="59"/>
      <c r="O2141" s="59"/>
      <c r="P2141" s="59"/>
      <c r="Q2141" s="59"/>
      <c r="R2141" s="59"/>
      <c r="S2141" s="59"/>
    </row>
    <row r="2142" spans="2:49" x14ac:dyDescent="0.25">
      <c r="B2142" s="82" t="s">
        <v>110</v>
      </c>
      <c r="C2142" s="82"/>
      <c r="D2142" s="82"/>
      <c r="E2142" s="82"/>
      <c r="F2142" s="82"/>
      <c r="G2142" s="82"/>
      <c r="H2142" s="82"/>
      <c r="I2142" s="136"/>
      <c r="J2142" s="82"/>
      <c r="K2142" s="82"/>
      <c r="L2142" s="82"/>
      <c r="M2142" s="82"/>
      <c r="N2142" s="82"/>
      <c r="O2142" s="82"/>
      <c r="P2142" s="82"/>
      <c r="Q2142" s="82"/>
      <c r="R2142" s="82"/>
      <c r="S2142" s="82"/>
      <c r="T2142" s="82"/>
      <c r="U2142" s="82"/>
      <c r="V2142" s="263"/>
      <c r="W2142" s="82"/>
      <c r="X2142" s="82"/>
      <c r="Y2142" s="82"/>
      <c r="Z2142" s="82"/>
      <c r="AA2142" s="82"/>
      <c r="AB2142" s="82"/>
      <c r="AC2142" s="82"/>
      <c r="AD2142" s="82"/>
      <c r="AE2142" s="82"/>
      <c r="AF2142" s="82"/>
      <c r="AG2142" s="82"/>
      <c r="AH2142" s="82"/>
      <c r="AI2142" s="82"/>
      <c r="AJ2142" s="82"/>
      <c r="AK2142" s="82"/>
      <c r="AL2142" s="82"/>
      <c r="AM2142" s="82"/>
      <c r="AN2142" s="82"/>
      <c r="AO2142" s="82"/>
      <c r="AP2142" s="82"/>
      <c r="AQ2142" s="82"/>
      <c r="AR2142" s="82"/>
      <c r="AS2142" s="82"/>
      <c r="AT2142" s="82"/>
      <c r="AU2142" s="82"/>
      <c r="AV2142" s="82"/>
      <c r="AW2142" s="82"/>
    </row>
  </sheetData>
  <sheetProtection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O2106:O2114 L2101:N2114 P2101:S2114 O2101:O2104 L2126:S2126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112" activePane="bottomRight" state="frozen"/>
      <selection pane="topRight"/>
      <selection pane="bottomLeft"/>
      <selection pane="bottomRight" activeCell="R127" sqref="R127"/>
    </sheetView>
  </sheetViews>
  <sheetFormatPr defaultColWidth="0" defaultRowHeight="15" x14ac:dyDescent="0.25"/>
  <cols>
    <col min="1" max="1" width="2.5703125" customWidth="1"/>
    <col min="2" max="2" width="4.7109375" customWidth="1"/>
    <col min="3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9" width="14.85546875" bestFit="1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140625" hidden="1"/>
  </cols>
  <sheetData>
    <row r="1" spans="1:27" s="8" customFormat="1" x14ac:dyDescent="0.25">
      <c r="A1" s="8" t="str">
        <f ca="1">MID(CELL("filename",A1),FIND("]",CELL("filename",A1))+1,255)</f>
        <v>ARP_Inputs by network level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H218 &amp; IF(H218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ht="30" x14ac:dyDescent="0.25">
      <c r="B5" s="112"/>
      <c r="C5" s="7"/>
      <c r="D5" s="7"/>
      <c r="E5" s="7"/>
      <c r="F5" s="7"/>
      <c r="G5" s="106"/>
      <c r="H5" s="33"/>
      <c r="J5" s="124" t="str">
        <f>"Year selected ("&amp; charging_year_selected &amp;")"</f>
        <v>Year selected (2024/25)</v>
      </c>
      <c r="L5" s="33" t="str">
        <f t="array" ref="L5:S6">TRANSPOSE('ARP_User control'!G28:H35)</f>
        <v>2021/22</v>
      </c>
      <c r="M5" s="33" t="str">
        <v>2022/23</v>
      </c>
      <c r="N5" s="33" t="str">
        <v>2023/24</v>
      </c>
      <c r="O5" s="33" t="str">
        <v>2024/25</v>
      </c>
      <c r="P5" s="33" t="str">
        <v>2025/26</v>
      </c>
      <c r="Q5" s="33" t="str">
        <v>2026/27</v>
      </c>
      <c r="R5" s="33" t="str">
        <v>2027/28</v>
      </c>
      <c r="S5" s="33" t="str">
        <v>2028/29</v>
      </c>
      <c r="U5" s="33"/>
    </row>
    <row r="6" spans="1:27" x14ac:dyDescent="0.25">
      <c r="B6" s="112" t="s">
        <v>451</v>
      </c>
      <c r="C6" s="7"/>
      <c r="D6" s="7"/>
      <c r="E6" s="7"/>
      <c r="F6" s="7"/>
      <c r="G6" s="106" t="s">
        <v>91</v>
      </c>
      <c r="H6" s="33" t="s">
        <v>92</v>
      </c>
      <c r="J6" s="126" t="str">
        <f>'ARP_User control'!$H$36</f>
        <v>Current</v>
      </c>
      <c r="L6" s="33" t="str">
        <v>Historic</v>
      </c>
      <c r="M6" s="33" t="str">
        <v>Historic</v>
      </c>
      <c r="N6" s="33" t="str">
        <v>Historic</v>
      </c>
      <c r="O6" s="33" t="str">
        <v>Current</v>
      </c>
      <c r="P6" s="33" t="str">
        <v>Forecast</v>
      </c>
      <c r="Q6" s="33" t="str">
        <v>Forecast</v>
      </c>
      <c r="R6" s="33" t="str">
        <v>Forecast</v>
      </c>
      <c r="S6" s="33" t="str">
        <v>Forecast</v>
      </c>
      <c r="U6" s="106" t="s">
        <v>93</v>
      </c>
    </row>
    <row r="8" spans="1:27" x14ac:dyDescent="0.25">
      <c r="B8" s="82" t="s">
        <v>90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W8" s="82"/>
      <c r="X8" s="82"/>
      <c r="Y8" s="82"/>
      <c r="Z8" s="82"/>
      <c r="AA8" s="82"/>
    </row>
    <row r="10" spans="1:27" x14ac:dyDescent="0.25">
      <c r="C10" s="73" t="s">
        <v>689</v>
      </c>
    </row>
    <row r="11" spans="1:27" x14ac:dyDescent="0.25">
      <c r="C11" s="73" t="s">
        <v>688</v>
      </c>
    </row>
    <row r="12" spans="1:27" x14ac:dyDescent="0.25">
      <c r="C12" s="73" t="s">
        <v>780</v>
      </c>
    </row>
    <row r="13" spans="1:27" x14ac:dyDescent="0.25">
      <c r="D13" s="12"/>
    </row>
    <row r="14" spans="1:27" x14ac:dyDescent="0.25">
      <c r="B14" s="82" t="s">
        <v>195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Y14" s="82"/>
      <c r="Z14" s="82"/>
      <c r="AA14" s="82"/>
    </row>
    <row r="16" spans="1:27" x14ac:dyDescent="0.25">
      <c r="C16" s="5" t="str">
        <f ca="1">INDEX('Version control'!$H$36:$H$62,MATCH($A$1,'Version control'!$F$36:$F$62,0),1)&amp;"-A: Diversity allowance between top and bottom of network level"</f>
        <v>Input 502-A: Diversity allowance between top and bottom of network level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8" spans="3:21" x14ac:dyDescent="0.25">
      <c r="E18" s="123" t="s">
        <v>42</v>
      </c>
      <c r="G18" s="68"/>
      <c r="I18" t="s">
        <v>359</v>
      </c>
      <c r="U18" s="79" t="s">
        <v>808</v>
      </c>
    </row>
    <row r="19" spans="3:21" x14ac:dyDescent="0.25">
      <c r="F19" s="14" t="s">
        <v>267</v>
      </c>
      <c r="G19" s="14" t="s">
        <v>94</v>
      </c>
      <c r="H19" s="80"/>
      <c r="I19" s="80"/>
      <c r="J19" s="206"/>
      <c r="K19" s="196"/>
      <c r="L19" s="206"/>
      <c r="M19" s="206"/>
      <c r="N19" s="206"/>
      <c r="O19" s="206"/>
      <c r="P19" s="206"/>
      <c r="Q19" s="206"/>
      <c r="R19" s="206"/>
      <c r="S19" s="206"/>
      <c r="U19" s="79"/>
    </row>
    <row r="20" spans="3:21" x14ac:dyDescent="0.25">
      <c r="F20" s="68" t="s">
        <v>43</v>
      </c>
      <c r="G20" s="68" t="s">
        <v>94</v>
      </c>
      <c r="J20" s="197">
        <f>CHOOSE(year_selection, L20,M20,N20,O20,P20,Q20,R20,S20)</f>
        <v>0.11600000000000001</v>
      </c>
      <c r="K20" s="198"/>
      <c r="L20" s="281">
        <v>0.11600000000000001</v>
      </c>
      <c r="M20" s="281">
        <v>0.11600000000000001</v>
      </c>
      <c r="N20" s="281">
        <v>0.11600000000000001</v>
      </c>
      <c r="O20" s="281">
        <v>0.11600000000000001</v>
      </c>
      <c r="P20" s="281">
        <f>$O20</f>
        <v>0.11600000000000001</v>
      </c>
      <c r="Q20" s="281">
        <f t="shared" ref="Q20:S23" si="0">$O20</f>
        <v>0.11600000000000001</v>
      </c>
      <c r="R20" s="281">
        <f t="shared" si="0"/>
        <v>0.11600000000000001</v>
      </c>
      <c r="S20" s="281">
        <f t="shared" si="0"/>
        <v>0.11600000000000001</v>
      </c>
      <c r="U20" s="79"/>
    </row>
    <row r="21" spans="3:21" x14ac:dyDescent="0.25">
      <c r="F21" s="68" t="s">
        <v>44</v>
      </c>
      <c r="G21" s="68" t="s">
        <v>94</v>
      </c>
      <c r="J21" s="197">
        <f>CHOOSE(year_selection, L21,M21,N21,O21,P21,Q21,R21,S21)</f>
        <v>0</v>
      </c>
      <c r="K21" s="198"/>
      <c r="L21" s="281">
        <v>0</v>
      </c>
      <c r="M21" s="281">
        <v>0</v>
      </c>
      <c r="N21" s="281">
        <v>0</v>
      </c>
      <c r="O21" s="281">
        <v>0</v>
      </c>
      <c r="P21" s="281">
        <f t="shared" ref="P21" si="1">$O21</f>
        <v>0</v>
      </c>
      <c r="Q21" s="281">
        <f t="shared" si="0"/>
        <v>0</v>
      </c>
      <c r="R21" s="281">
        <f t="shared" si="0"/>
        <v>0</v>
      </c>
      <c r="S21" s="281">
        <f t="shared" si="0"/>
        <v>0</v>
      </c>
      <c r="U21" s="79"/>
    </row>
    <row r="22" spans="3:21" x14ac:dyDescent="0.25">
      <c r="F22" s="68" t="s">
        <v>45</v>
      </c>
      <c r="G22" s="68" t="s">
        <v>94</v>
      </c>
      <c r="J22" s="207"/>
      <c r="K22" s="198"/>
      <c r="L22" s="207"/>
      <c r="M22" s="207"/>
      <c r="N22" s="207"/>
      <c r="O22" s="207"/>
      <c r="P22" s="207"/>
      <c r="Q22" s="207"/>
      <c r="R22" s="207"/>
      <c r="S22" s="207"/>
      <c r="U22" s="79"/>
    </row>
    <row r="23" spans="3:21" x14ac:dyDescent="0.25">
      <c r="F23" s="68" t="s">
        <v>46</v>
      </c>
      <c r="G23" s="68" t="s">
        <v>94</v>
      </c>
      <c r="J23" s="197">
        <f>CHOOSE(year_selection, L23,M23,N23,O23,P23,Q23,R23,S23)</f>
        <v>0.13</v>
      </c>
      <c r="K23" s="198"/>
      <c r="L23" s="281">
        <v>0.13</v>
      </c>
      <c r="M23" s="281">
        <v>0.13</v>
      </c>
      <c r="N23" s="281">
        <v>0.13</v>
      </c>
      <c r="O23" s="281">
        <v>0.13</v>
      </c>
      <c r="P23" s="281">
        <f>$O23</f>
        <v>0.13</v>
      </c>
      <c r="Q23" s="281">
        <f t="shared" si="0"/>
        <v>0.13</v>
      </c>
      <c r="R23" s="281">
        <f t="shared" si="0"/>
        <v>0.13</v>
      </c>
      <c r="S23" s="281">
        <f t="shared" si="0"/>
        <v>0.13</v>
      </c>
      <c r="U23" s="79"/>
    </row>
    <row r="24" spans="3:21" x14ac:dyDescent="0.25">
      <c r="F24" s="68" t="s">
        <v>47</v>
      </c>
      <c r="G24" s="68" t="s">
        <v>94</v>
      </c>
      <c r="J24" s="207"/>
      <c r="K24" s="198"/>
      <c r="L24" s="207"/>
      <c r="M24" s="207"/>
      <c r="N24" s="207"/>
      <c r="O24" s="207"/>
      <c r="P24" s="207"/>
      <c r="Q24" s="207"/>
      <c r="R24" s="207"/>
      <c r="S24" s="207"/>
      <c r="U24" s="79"/>
    </row>
    <row r="25" spans="3:21" x14ac:dyDescent="0.25">
      <c r="F25" s="68" t="s">
        <v>51</v>
      </c>
      <c r="G25" s="68" t="s">
        <v>94</v>
      </c>
      <c r="J25" s="207"/>
      <c r="K25" s="198"/>
      <c r="L25" s="207"/>
      <c r="M25" s="207"/>
      <c r="N25" s="207"/>
      <c r="O25" s="207"/>
      <c r="P25" s="207"/>
      <c r="Q25" s="207"/>
      <c r="R25" s="207"/>
      <c r="S25" s="207"/>
      <c r="U25" s="79"/>
    </row>
    <row r="26" spans="3:21" x14ac:dyDescent="0.25">
      <c r="F26" s="68" t="s">
        <v>48</v>
      </c>
      <c r="G26" s="68" t="s">
        <v>94</v>
      </c>
      <c r="J26" s="197">
        <f>CHOOSE(year_selection, L26,M26,N26,O26,P26,Q26,R26,S26)</f>
        <v>0.25</v>
      </c>
      <c r="K26" s="198"/>
      <c r="L26" s="281">
        <v>0.25</v>
      </c>
      <c r="M26" s="281">
        <v>0.25</v>
      </c>
      <c r="N26" s="281">
        <v>0.25</v>
      </c>
      <c r="O26" s="281">
        <v>0.25</v>
      </c>
      <c r="P26" s="281">
        <f>$O26</f>
        <v>0.25</v>
      </c>
      <c r="Q26" s="281">
        <f t="shared" ref="Q26:S26" si="2">$O26</f>
        <v>0.25</v>
      </c>
      <c r="R26" s="281">
        <f t="shared" si="2"/>
        <v>0.25</v>
      </c>
      <c r="S26" s="281">
        <f t="shared" si="2"/>
        <v>0.25</v>
      </c>
      <c r="U26" s="79"/>
    </row>
    <row r="27" spans="3:21" x14ac:dyDescent="0.25">
      <c r="F27" s="68" t="s">
        <v>49</v>
      </c>
      <c r="G27" s="68" t="s">
        <v>94</v>
      </c>
      <c r="J27" s="207"/>
      <c r="K27" s="198"/>
      <c r="L27" s="207"/>
      <c r="M27" s="207"/>
      <c r="N27" s="207"/>
      <c r="O27" s="207"/>
      <c r="P27" s="207"/>
      <c r="Q27" s="207"/>
      <c r="R27" s="207"/>
      <c r="S27" s="207"/>
      <c r="U27" s="79"/>
    </row>
    <row r="28" spans="3:21" x14ac:dyDescent="0.25">
      <c r="F28" s="13" t="s">
        <v>50</v>
      </c>
      <c r="G28" s="13" t="s">
        <v>94</v>
      </c>
      <c r="H28" s="17"/>
      <c r="I28" s="17"/>
      <c r="J28" s="210"/>
      <c r="K28" s="200"/>
      <c r="L28" s="210"/>
      <c r="M28" s="210"/>
      <c r="N28" s="210"/>
      <c r="O28" s="210"/>
      <c r="P28" s="210"/>
      <c r="Q28" s="210"/>
      <c r="R28" s="210"/>
      <c r="S28" s="210"/>
      <c r="U28" s="79"/>
    </row>
    <row r="29" spans="3:21" x14ac:dyDescent="0.25">
      <c r="J29" s="198"/>
      <c r="K29" s="198"/>
      <c r="L29" s="198"/>
      <c r="M29" s="198"/>
      <c r="N29" s="198"/>
      <c r="O29" s="198"/>
      <c r="P29" s="198"/>
      <c r="Q29" s="198"/>
      <c r="R29" s="198"/>
      <c r="S29" s="198"/>
    </row>
    <row r="30" spans="3:21" x14ac:dyDescent="0.25">
      <c r="C30" s="5" t="str">
        <f ca="1">INDEX('Version control'!$H$36:$H$62,MATCH($A$1,'Version control'!$F$36:$F$62,0),1)&amp;"-B: Proportion of EHV/HV load going through 132kV/HV direct transformation"</f>
        <v>Input 502-B: Proportion of EHV/HV load going through 132kV/HV direct transformation</v>
      </c>
      <c r="D30" s="5"/>
      <c r="E30" s="5"/>
      <c r="F30" s="5"/>
      <c r="G30" s="5"/>
      <c r="H30" s="5"/>
      <c r="I30" s="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5"/>
      <c r="U30" s="5"/>
    </row>
    <row r="31" spans="3:21" x14ac:dyDescent="0.25">
      <c r="J31" s="211"/>
      <c r="K31" s="211"/>
      <c r="L31" s="211"/>
      <c r="M31" s="211"/>
      <c r="N31" s="211"/>
      <c r="O31" s="211"/>
      <c r="P31" s="211"/>
      <c r="Q31" s="211"/>
      <c r="R31" s="211"/>
      <c r="S31" s="211"/>
    </row>
    <row r="32" spans="3:21" x14ac:dyDescent="0.25">
      <c r="E32" s="123" t="s">
        <v>422</v>
      </c>
      <c r="G32" s="68"/>
      <c r="H32" s="68"/>
      <c r="I32" s="99"/>
      <c r="J32" s="198"/>
      <c r="K32" s="198"/>
      <c r="L32" s="198"/>
      <c r="M32" s="198"/>
      <c r="N32" s="198"/>
      <c r="O32" s="198"/>
      <c r="P32" s="198"/>
      <c r="Q32" s="198"/>
      <c r="R32" s="198"/>
      <c r="S32" s="198"/>
    </row>
    <row r="33" spans="3:21" x14ac:dyDescent="0.25">
      <c r="F33" s="14" t="s">
        <v>267</v>
      </c>
      <c r="G33" s="14" t="s">
        <v>94</v>
      </c>
      <c r="H33" s="80"/>
      <c r="I33" s="80"/>
      <c r="J33" s="206"/>
      <c r="K33" s="196"/>
      <c r="L33" s="206"/>
      <c r="M33" s="206"/>
      <c r="N33" s="206"/>
      <c r="O33" s="206"/>
      <c r="P33" s="206"/>
      <c r="Q33" s="206"/>
      <c r="R33" s="206"/>
      <c r="S33" s="206"/>
      <c r="U33" s="79"/>
    </row>
    <row r="34" spans="3:21" x14ac:dyDescent="0.25">
      <c r="F34" s="68" t="s">
        <v>43</v>
      </c>
      <c r="G34" s="68" t="s">
        <v>94</v>
      </c>
      <c r="J34" s="207"/>
      <c r="K34" s="198"/>
      <c r="L34" s="207"/>
      <c r="M34" s="207"/>
      <c r="N34" s="207"/>
      <c r="O34" s="207"/>
      <c r="P34" s="207"/>
      <c r="Q34" s="207"/>
      <c r="R34" s="207"/>
      <c r="S34" s="207"/>
      <c r="U34" s="79"/>
    </row>
    <row r="35" spans="3:21" x14ac:dyDescent="0.25">
      <c r="F35" s="68" t="s">
        <v>44</v>
      </c>
      <c r="G35" s="68" t="s">
        <v>94</v>
      </c>
      <c r="J35" s="207"/>
      <c r="K35" s="198"/>
      <c r="L35" s="207"/>
      <c r="M35" s="207"/>
      <c r="N35" s="207"/>
      <c r="O35" s="207"/>
      <c r="P35" s="207"/>
      <c r="Q35" s="207"/>
      <c r="R35" s="207"/>
      <c r="S35" s="207"/>
      <c r="U35" s="79"/>
    </row>
    <row r="36" spans="3:21" x14ac:dyDescent="0.25">
      <c r="F36" s="68" t="s">
        <v>45</v>
      </c>
      <c r="G36" s="68" t="s">
        <v>94</v>
      </c>
      <c r="J36" s="207"/>
      <c r="K36" s="198"/>
      <c r="L36" s="207"/>
      <c r="M36" s="207"/>
      <c r="N36" s="207"/>
      <c r="O36" s="207"/>
      <c r="P36" s="207"/>
      <c r="Q36" s="207"/>
      <c r="R36" s="207"/>
      <c r="S36" s="207"/>
      <c r="U36" s="79"/>
    </row>
    <row r="37" spans="3:21" x14ac:dyDescent="0.25">
      <c r="F37" s="68" t="s">
        <v>46</v>
      </c>
      <c r="G37" s="68" t="s">
        <v>94</v>
      </c>
      <c r="J37" s="207"/>
      <c r="K37" s="198"/>
      <c r="L37" s="207"/>
      <c r="M37" s="207"/>
      <c r="N37" s="207"/>
      <c r="O37" s="207"/>
      <c r="P37" s="207"/>
      <c r="Q37" s="207"/>
      <c r="R37" s="207"/>
      <c r="S37" s="207"/>
      <c r="U37" s="79"/>
    </row>
    <row r="38" spans="3:21" x14ac:dyDescent="0.25">
      <c r="F38" s="68" t="s">
        <v>47</v>
      </c>
      <c r="G38" s="68" t="s">
        <v>94</v>
      </c>
      <c r="J38" s="207"/>
      <c r="K38" s="198"/>
      <c r="L38" s="207"/>
      <c r="M38" s="207"/>
      <c r="N38" s="207"/>
      <c r="O38" s="207"/>
      <c r="P38" s="207"/>
      <c r="Q38" s="207"/>
      <c r="R38" s="207"/>
      <c r="S38" s="207"/>
      <c r="U38" s="79"/>
    </row>
    <row r="39" spans="3:21" x14ac:dyDescent="0.25">
      <c r="F39" s="68" t="s">
        <v>51</v>
      </c>
      <c r="G39" s="68" t="s">
        <v>94</v>
      </c>
      <c r="J39" s="197">
        <f>CHOOSE(year_selection, L39,M39,N39,O39,P39,Q39,R39,S39)</f>
        <v>0</v>
      </c>
      <c r="K39" s="198"/>
      <c r="L39" s="281">
        <v>0</v>
      </c>
      <c r="M39" s="281">
        <v>0</v>
      </c>
      <c r="N39" s="281">
        <v>0</v>
      </c>
      <c r="O39" s="281">
        <v>0</v>
      </c>
      <c r="P39" s="281">
        <f>$O39</f>
        <v>0</v>
      </c>
      <c r="Q39" s="281">
        <f t="shared" ref="Q39:S39" si="3">$O39</f>
        <v>0</v>
      </c>
      <c r="R39" s="281">
        <f t="shared" si="3"/>
        <v>0</v>
      </c>
      <c r="S39" s="281">
        <f t="shared" si="3"/>
        <v>0</v>
      </c>
      <c r="U39" s="79"/>
    </row>
    <row r="40" spans="3:21" x14ac:dyDescent="0.25">
      <c r="F40" s="68" t="s">
        <v>48</v>
      </c>
      <c r="G40" s="68" t="s">
        <v>94</v>
      </c>
      <c r="J40" s="207"/>
      <c r="K40" s="198"/>
      <c r="L40" s="207"/>
      <c r="M40" s="207"/>
      <c r="N40" s="207"/>
      <c r="O40" s="207"/>
      <c r="P40" s="207"/>
      <c r="Q40" s="207"/>
      <c r="R40" s="207"/>
      <c r="S40" s="207"/>
      <c r="U40" s="79"/>
    </row>
    <row r="41" spans="3:21" x14ac:dyDescent="0.25">
      <c r="F41" s="68" t="s">
        <v>49</v>
      </c>
      <c r="G41" s="68" t="s">
        <v>94</v>
      </c>
      <c r="J41" s="207"/>
      <c r="K41" s="198"/>
      <c r="L41" s="207"/>
      <c r="M41" s="207"/>
      <c r="N41" s="207"/>
      <c r="O41" s="207"/>
      <c r="P41" s="207"/>
      <c r="Q41" s="207"/>
      <c r="R41" s="207"/>
      <c r="S41" s="207"/>
      <c r="U41" s="79"/>
    </row>
    <row r="42" spans="3:21" x14ac:dyDescent="0.25">
      <c r="F42" s="13" t="s">
        <v>50</v>
      </c>
      <c r="G42" s="13" t="s">
        <v>94</v>
      </c>
      <c r="H42" s="17"/>
      <c r="I42" s="17"/>
      <c r="J42" s="210"/>
      <c r="K42" s="200"/>
      <c r="L42" s="210"/>
      <c r="M42" s="210"/>
      <c r="N42" s="210"/>
      <c r="O42" s="210"/>
      <c r="P42" s="210"/>
      <c r="Q42" s="210"/>
      <c r="R42" s="210"/>
      <c r="S42" s="210"/>
      <c r="U42" s="79"/>
    </row>
    <row r="43" spans="3:21" x14ac:dyDescent="0.25">
      <c r="J43" s="198"/>
      <c r="K43" s="198"/>
      <c r="L43" s="198"/>
      <c r="M43" s="198"/>
      <c r="N43" s="198"/>
      <c r="O43" s="198"/>
      <c r="P43" s="198"/>
      <c r="Q43" s="198"/>
      <c r="R43" s="198"/>
      <c r="S43" s="198"/>
    </row>
    <row r="44" spans="3:21" x14ac:dyDescent="0.25">
      <c r="C44" s="5" t="str">
        <f ca="1">INDEX('Version control'!$H$36:$H$62,MATCH($A$1,'Version control'!$F$36:$F$62,0),1)&amp;"-C: Loss adjustment factors to transmission"</f>
        <v>Input 502-C: Loss adjustment factors to transmission</v>
      </c>
      <c r="D44" s="5"/>
      <c r="E44" s="5"/>
      <c r="F44" s="5"/>
      <c r="G44" s="5"/>
      <c r="H44" s="5"/>
      <c r="I44" s="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5"/>
      <c r="U44" s="5"/>
    </row>
    <row r="45" spans="3:21" x14ac:dyDescent="0.25">
      <c r="J45" s="211"/>
      <c r="K45" s="211"/>
      <c r="L45" s="211"/>
      <c r="M45" s="211"/>
      <c r="N45" s="211"/>
      <c r="O45" s="211"/>
      <c r="P45" s="211"/>
      <c r="Q45" s="211"/>
      <c r="R45" s="211"/>
      <c r="S45" s="211"/>
    </row>
    <row r="46" spans="3:21" x14ac:dyDescent="0.25">
      <c r="E46" s="123" t="s">
        <v>196</v>
      </c>
      <c r="F46" s="68"/>
      <c r="G46" s="68"/>
      <c r="I46" t="s">
        <v>359</v>
      </c>
      <c r="J46" s="198"/>
      <c r="K46" s="198"/>
      <c r="L46" s="198"/>
      <c r="M46" s="198"/>
      <c r="N46" s="198"/>
      <c r="O46" s="198"/>
      <c r="P46" s="198"/>
      <c r="Q46" s="198"/>
      <c r="R46" s="198"/>
      <c r="S46" s="198"/>
      <c r="U46" s="79" t="s">
        <v>692</v>
      </c>
    </row>
    <row r="47" spans="3:21" x14ac:dyDescent="0.25">
      <c r="E47" s="68"/>
      <c r="F47" s="14" t="s">
        <v>267</v>
      </c>
      <c r="G47" s="14" t="s">
        <v>427</v>
      </c>
      <c r="H47" s="80"/>
      <c r="I47" s="80"/>
      <c r="J47" s="206"/>
      <c r="K47" s="196"/>
      <c r="L47" s="206"/>
      <c r="M47" s="206"/>
      <c r="N47" s="206"/>
      <c r="O47" s="206"/>
      <c r="P47" s="206"/>
      <c r="Q47" s="206"/>
      <c r="R47" s="206"/>
      <c r="S47" s="206"/>
      <c r="U47" s="79"/>
    </row>
    <row r="48" spans="3:21" x14ac:dyDescent="0.25">
      <c r="E48" s="68"/>
      <c r="F48" s="68" t="s">
        <v>43</v>
      </c>
      <c r="G48" s="68" t="s">
        <v>427</v>
      </c>
      <c r="J48" s="197">
        <f>CHOOSE(year_selection, L48,M48,N48,O48,P48,Q48,R48,S48)</f>
        <v>1</v>
      </c>
      <c r="K48" s="208"/>
      <c r="L48" s="281">
        <v>1</v>
      </c>
      <c r="M48" s="281">
        <v>1</v>
      </c>
      <c r="N48" s="281">
        <v>1</v>
      </c>
      <c r="O48" s="281">
        <v>1</v>
      </c>
      <c r="P48" s="281">
        <f t="shared" ref="P48:S52" si="4">$O48</f>
        <v>1</v>
      </c>
      <c r="Q48" s="281">
        <f t="shared" si="4"/>
        <v>1</v>
      </c>
      <c r="R48" s="281">
        <f t="shared" si="4"/>
        <v>1</v>
      </c>
      <c r="S48" s="281">
        <f t="shared" si="4"/>
        <v>1</v>
      </c>
      <c r="U48" s="79"/>
    </row>
    <row r="49" spans="3:22" x14ac:dyDescent="0.25">
      <c r="E49" s="68"/>
      <c r="F49" s="68" t="s">
        <v>44</v>
      </c>
      <c r="G49" s="68" t="s">
        <v>427</v>
      </c>
      <c r="J49" s="197">
        <f>CHOOSE(year_selection, L49,M49,N49,O49,P49,Q49,R49,S49)</f>
        <v>1</v>
      </c>
      <c r="K49" s="208"/>
      <c r="L49" s="281">
        <v>1</v>
      </c>
      <c r="M49" s="281">
        <v>1</v>
      </c>
      <c r="N49" s="281">
        <v>1</v>
      </c>
      <c r="O49" s="281">
        <v>1</v>
      </c>
      <c r="P49" s="281">
        <f t="shared" si="4"/>
        <v>1</v>
      </c>
      <c r="Q49" s="281">
        <f t="shared" si="4"/>
        <v>1</v>
      </c>
      <c r="R49" s="281">
        <f t="shared" si="4"/>
        <v>1</v>
      </c>
      <c r="S49" s="281">
        <f t="shared" si="4"/>
        <v>1</v>
      </c>
      <c r="U49" s="79"/>
      <c r="V49" s="79"/>
    </row>
    <row r="50" spans="3:22" x14ac:dyDescent="0.25">
      <c r="E50" s="68"/>
      <c r="F50" s="68" t="s">
        <v>45</v>
      </c>
      <c r="G50" s="68" t="s">
        <v>427</v>
      </c>
      <c r="J50" s="197">
        <f>CHOOSE(year_selection, L50,M50,N50,O50,P50,Q50,R50,S50)</f>
        <v>1</v>
      </c>
      <c r="K50" s="208"/>
      <c r="L50" s="281">
        <v>1</v>
      </c>
      <c r="M50" s="281">
        <v>1</v>
      </c>
      <c r="N50" s="281">
        <v>1</v>
      </c>
      <c r="O50" s="281">
        <v>1</v>
      </c>
      <c r="P50" s="281">
        <f t="shared" si="4"/>
        <v>1</v>
      </c>
      <c r="Q50" s="281">
        <f t="shared" si="4"/>
        <v>1</v>
      </c>
      <c r="R50" s="281">
        <f t="shared" si="4"/>
        <v>1</v>
      </c>
      <c r="S50" s="281">
        <f t="shared" si="4"/>
        <v>1</v>
      </c>
      <c r="U50" s="79"/>
      <c r="V50" s="79"/>
    </row>
    <row r="51" spans="3:22" x14ac:dyDescent="0.25">
      <c r="E51" s="68"/>
      <c r="F51" s="68" t="s">
        <v>46</v>
      </c>
      <c r="G51" s="68" t="s">
        <v>427</v>
      </c>
      <c r="J51" s="197">
        <f>CHOOSE(year_selection, L51,M51,N51,O51,P51,Q51,R51,S51)</f>
        <v>1.002</v>
      </c>
      <c r="K51" s="208"/>
      <c r="L51" s="281">
        <v>1.004</v>
      </c>
      <c r="M51" s="281">
        <v>1.004</v>
      </c>
      <c r="N51" s="281">
        <v>1.004</v>
      </c>
      <c r="O51" s="281">
        <v>1.002</v>
      </c>
      <c r="P51" s="281">
        <f t="shared" si="4"/>
        <v>1.002</v>
      </c>
      <c r="Q51" s="281">
        <f t="shared" si="4"/>
        <v>1.002</v>
      </c>
      <c r="R51" s="281">
        <f t="shared" si="4"/>
        <v>1.002</v>
      </c>
      <c r="S51" s="281">
        <f t="shared" si="4"/>
        <v>1.002</v>
      </c>
      <c r="U51" s="79"/>
      <c r="V51" s="79"/>
    </row>
    <row r="52" spans="3:22" x14ac:dyDescent="0.25">
      <c r="E52" s="68"/>
      <c r="F52" s="68" t="s">
        <v>47</v>
      </c>
      <c r="G52" s="68" t="s">
        <v>427</v>
      </c>
      <c r="J52" s="197">
        <f>CHOOSE(year_selection, L52,M52,N52,O52,P52,Q52,R52,S52)</f>
        <v>1.0129999999999999</v>
      </c>
      <c r="K52" s="208"/>
      <c r="L52" s="281">
        <v>1.0129999999999999</v>
      </c>
      <c r="M52" s="281">
        <v>1.0129999999999999</v>
      </c>
      <c r="N52" s="281">
        <v>1.0129999999999999</v>
      </c>
      <c r="O52" s="281">
        <v>1.0129999999999999</v>
      </c>
      <c r="P52" s="281">
        <f t="shared" si="4"/>
        <v>1.0129999999999999</v>
      </c>
      <c r="Q52" s="281">
        <f t="shared" si="4"/>
        <v>1.0129999999999999</v>
      </c>
      <c r="R52" s="281">
        <f t="shared" si="4"/>
        <v>1.0129999999999999</v>
      </c>
      <c r="S52" s="281">
        <f t="shared" si="4"/>
        <v>1.0129999999999999</v>
      </c>
      <c r="U52" s="79"/>
      <c r="V52" s="79"/>
    </row>
    <row r="53" spans="3:22" x14ac:dyDescent="0.25">
      <c r="E53" s="68"/>
      <c r="F53" s="68" t="s">
        <v>51</v>
      </c>
      <c r="G53" s="68" t="s">
        <v>427</v>
      </c>
      <c r="J53" s="207"/>
      <c r="K53" s="208"/>
      <c r="L53" s="207"/>
      <c r="M53" s="207"/>
      <c r="N53" s="207"/>
      <c r="O53" s="207"/>
      <c r="P53" s="207"/>
      <c r="Q53" s="207"/>
      <c r="R53" s="207"/>
      <c r="S53" s="207"/>
      <c r="U53" s="79"/>
      <c r="V53" s="79"/>
    </row>
    <row r="54" spans="3:22" x14ac:dyDescent="0.25">
      <c r="E54" s="68"/>
      <c r="F54" s="68" t="s">
        <v>48</v>
      </c>
      <c r="G54" s="68" t="s">
        <v>427</v>
      </c>
      <c r="J54" s="197">
        <f>CHOOSE(year_selection, L54,M54,N54,O54,P54,Q54,R54,S54)</f>
        <v>1.024</v>
      </c>
      <c r="K54" s="208"/>
      <c r="L54" s="281">
        <v>1.026</v>
      </c>
      <c r="M54" s="281">
        <v>1.0249999999999999</v>
      </c>
      <c r="N54" s="281">
        <v>1.0249999999999999</v>
      </c>
      <c r="O54" s="281">
        <v>1.024</v>
      </c>
      <c r="P54" s="281">
        <f t="shared" ref="P54:S56" si="5">$O54</f>
        <v>1.024</v>
      </c>
      <c r="Q54" s="281">
        <f t="shared" si="5"/>
        <v>1.024</v>
      </c>
      <c r="R54" s="281">
        <f t="shared" si="5"/>
        <v>1.024</v>
      </c>
      <c r="S54" s="281">
        <f t="shared" si="5"/>
        <v>1.024</v>
      </c>
      <c r="U54" s="79"/>
      <c r="V54" s="79"/>
    </row>
    <row r="55" spans="3:22" x14ac:dyDescent="0.25">
      <c r="E55" s="68"/>
      <c r="F55" s="68" t="s">
        <v>49</v>
      </c>
      <c r="G55" s="68" t="s">
        <v>427</v>
      </c>
      <c r="J55" s="197">
        <f>CHOOSE(year_selection, L55,M55,N55,O55,P55,Q55,R55,S55)</f>
        <v>1.044</v>
      </c>
      <c r="K55" s="208"/>
      <c r="L55" s="281">
        <v>1.044</v>
      </c>
      <c r="M55" s="281">
        <v>1.044</v>
      </c>
      <c r="N55" s="281">
        <v>1.044</v>
      </c>
      <c r="O55" s="281">
        <v>1.044</v>
      </c>
      <c r="P55" s="281">
        <f t="shared" si="5"/>
        <v>1.044</v>
      </c>
      <c r="Q55" s="281">
        <f t="shared" si="5"/>
        <v>1.044</v>
      </c>
      <c r="R55" s="281">
        <f t="shared" si="5"/>
        <v>1.044</v>
      </c>
      <c r="S55" s="281">
        <f t="shared" si="5"/>
        <v>1.044</v>
      </c>
      <c r="U55" s="79"/>
      <c r="V55" s="79"/>
    </row>
    <row r="56" spans="3:22" x14ac:dyDescent="0.25">
      <c r="E56" s="68"/>
      <c r="F56" s="13" t="s">
        <v>50</v>
      </c>
      <c r="G56" s="13" t="s">
        <v>427</v>
      </c>
      <c r="H56" s="17"/>
      <c r="I56" s="17"/>
      <c r="J56" s="199">
        <f>CHOOSE(year_selection, L56,M56,N56,O56,P56,Q56,R56,S56)</f>
        <v>1.105</v>
      </c>
      <c r="K56" s="209"/>
      <c r="L56" s="282">
        <v>1.0980000000000001</v>
      </c>
      <c r="M56" s="282">
        <v>1.099</v>
      </c>
      <c r="N56" s="282">
        <v>1.105</v>
      </c>
      <c r="O56" s="282">
        <v>1.105</v>
      </c>
      <c r="P56" s="282">
        <f t="shared" si="5"/>
        <v>1.105</v>
      </c>
      <c r="Q56" s="282">
        <f t="shared" si="5"/>
        <v>1.105</v>
      </c>
      <c r="R56" s="282">
        <f t="shared" si="5"/>
        <v>1.105</v>
      </c>
      <c r="S56" s="282">
        <f t="shared" si="5"/>
        <v>1.105</v>
      </c>
      <c r="U56" s="79"/>
      <c r="V56" s="79"/>
    </row>
    <row r="57" spans="3:22" x14ac:dyDescent="0.25">
      <c r="J57" s="198"/>
      <c r="K57" s="198"/>
      <c r="L57" s="198"/>
      <c r="M57" s="198"/>
      <c r="N57" s="198"/>
      <c r="O57" s="198"/>
      <c r="P57" s="198"/>
      <c r="Q57" s="198"/>
      <c r="R57" s="198"/>
      <c r="S57" s="198"/>
    </row>
    <row r="58" spans="3:22" x14ac:dyDescent="0.25">
      <c r="C58" s="5" t="str">
        <f ca="1">INDEX('Version control'!$H$36:$H$62,MATCH($A$1,'Version control'!$F$36:$F$62,0),1)&amp;"-D: Average kVAr by kVA, by network level"</f>
        <v>Input 502-D: Average kVAr by kVA, by network level</v>
      </c>
      <c r="D58" s="5"/>
      <c r="E58" s="5"/>
      <c r="F58" s="5"/>
      <c r="G58" s="5"/>
      <c r="H58" s="5"/>
      <c r="I58" s="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5"/>
      <c r="U58" s="5"/>
    </row>
    <row r="59" spans="3:22" x14ac:dyDescent="0.25">
      <c r="J59" s="211"/>
      <c r="K59" s="211"/>
      <c r="L59" s="211"/>
      <c r="M59" s="211"/>
      <c r="N59" s="211"/>
      <c r="O59" s="211"/>
      <c r="P59" s="211"/>
      <c r="Q59" s="211"/>
      <c r="R59" s="211"/>
      <c r="S59" s="211"/>
    </row>
    <row r="60" spans="3:22" x14ac:dyDescent="0.25">
      <c r="E60" s="123" t="s">
        <v>89</v>
      </c>
      <c r="F60" s="68"/>
      <c r="G60" s="68"/>
      <c r="I60" t="s">
        <v>359</v>
      </c>
      <c r="J60" s="198"/>
      <c r="K60" s="198"/>
      <c r="L60" s="198"/>
      <c r="M60" s="198"/>
      <c r="N60" s="198"/>
      <c r="O60" s="198"/>
      <c r="P60" s="198"/>
      <c r="Q60" s="198"/>
      <c r="R60" s="198"/>
      <c r="S60" s="198"/>
      <c r="U60" s="79" t="s">
        <v>809</v>
      </c>
    </row>
    <row r="61" spans="3:22" x14ac:dyDescent="0.25">
      <c r="E61" s="68"/>
      <c r="F61" s="14" t="s">
        <v>267</v>
      </c>
      <c r="G61" s="14" t="s">
        <v>209</v>
      </c>
      <c r="H61" s="80"/>
      <c r="I61" s="80"/>
      <c r="J61" s="201"/>
      <c r="K61" s="212"/>
      <c r="L61" s="201"/>
      <c r="M61" s="201"/>
      <c r="N61" s="201"/>
      <c r="O61" s="201"/>
      <c r="P61" s="201"/>
      <c r="Q61" s="201"/>
      <c r="R61" s="201"/>
      <c r="S61" s="201"/>
      <c r="U61" s="79"/>
    </row>
    <row r="62" spans="3:22" x14ac:dyDescent="0.25">
      <c r="E62" s="68"/>
      <c r="F62" s="68" t="s">
        <v>43</v>
      </c>
      <c r="G62" s="68" t="s">
        <v>209</v>
      </c>
      <c r="J62" s="197">
        <f t="shared" ref="J62:J70" si="6">CHOOSE(year_selection, L62,M62,N62,O62,P62,Q62,R62,S62)</f>
        <v>0.13760822365485234</v>
      </c>
      <c r="K62" s="208"/>
      <c r="L62" s="281">
        <v>0.26509994640061324</v>
      </c>
      <c r="M62" s="281">
        <v>0.20676679309993443</v>
      </c>
      <c r="N62" s="281">
        <v>0.13353779672620586</v>
      </c>
      <c r="O62" s="281">
        <v>0.13760822365485234</v>
      </c>
      <c r="P62" s="281">
        <f t="shared" ref="P62:S70" si="7">$O62</f>
        <v>0.13760822365485234</v>
      </c>
      <c r="Q62" s="281">
        <f t="shared" si="7"/>
        <v>0.13760822365485234</v>
      </c>
      <c r="R62" s="281">
        <f t="shared" si="7"/>
        <v>0.13760822365485234</v>
      </c>
      <c r="S62" s="281">
        <f t="shared" si="7"/>
        <v>0.13760822365485234</v>
      </c>
      <c r="U62" s="79"/>
    </row>
    <row r="63" spans="3:22" x14ac:dyDescent="0.25">
      <c r="E63" s="68"/>
      <c r="F63" s="68" t="s">
        <v>44</v>
      </c>
      <c r="G63" s="68" t="s">
        <v>209</v>
      </c>
      <c r="J63" s="197">
        <f t="shared" si="6"/>
        <v>0</v>
      </c>
      <c r="K63" s="208"/>
      <c r="L63" s="281">
        <v>0</v>
      </c>
      <c r="M63" s="281">
        <v>0</v>
      </c>
      <c r="N63" s="281">
        <v>0</v>
      </c>
      <c r="O63" s="281">
        <v>0</v>
      </c>
      <c r="P63" s="281">
        <f t="shared" si="7"/>
        <v>0</v>
      </c>
      <c r="Q63" s="281">
        <f t="shared" si="7"/>
        <v>0</v>
      </c>
      <c r="R63" s="281">
        <f t="shared" si="7"/>
        <v>0</v>
      </c>
      <c r="S63" s="281">
        <f t="shared" si="7"/>
        <v>0</v>
      </c>
      <c r="U63" s="79"/>
    </row>
    <row r="64" spans="3:22" x14ac:dyDescent="0.25">
      <c r="E64" s="68"/>
      <c r="F64" s="68" t="s">
        <v>45</v>
      </c>
      <c r="G64" s="68" t="s">
        <v>209</v>
      </c>
      <c r="J64" s="197">
        <f t="shared" si="6"/>
        <v>0</v>
      </c>
      <c r="K64" s="208"/>
      <c r="L64" s="281">
        <v>0</v>
      </c>
      <c r="M64" s="281">
        <v>0</v>
      </c>
      <c r="N64" s="281">
        <v>0</v>
      </c>
      <c r="O64" s="281">
        <v>0</v>
      </c>
      <c r="P64" s="281">
        <f t="shared" si="7"/>
        <v>0</v>
      </c>
      <c r="Q64" s="281">
        <f t="shared" si="7"/>
        <v>0</v>
      </c>
      <c r="R64" s="281">
        <f t="shared" si="7"/>
        <v>0</v>
      </c>
      <c r="S64" s="281">
        <f t="shared" si="7"/>
        <v>0</v>
      </c>
      <c r="U64" s="79"/>
    </row>
    <row r="65" spans="2:21" x14ac:dyDescent="0.25">
      <c r="E65" s="68"/>
      <c r="F65" s="68" t="s">
        <v>46</v>
      </c>
      <c r="G65" s="68" t="s">
        <v>209</v>
      </c>
      <c r="J65" s="197">
        <f t="shared" si="6"/>
        <v>0.13760822365485234</v>
      </c>
      <c r="K65" s="208"/>
      <c r="L65" s="281">
        <v>0.26509994640061324</v>
      </c>
      <c r="M65" s="281">
        <v>0.20676679309993443</v>
      </c>
      <c r="N65" s="281">
        <v>0.13353779672620586</v>
      </c>
      <c r="O65" s="281">
        <v>0.13760822365485234</v>
      </c>
      <c r="P65" s="281">
        <f t="shared" si="7"/>
        <v>0.13760822365485234</v>
      </c>
      <c r="Q65" s="281">
        <f t="shared" si="7"/>
        <v>0.13760822365485234</v>
      </c>
      <c r="R65" s="281">
        <f t="shared" si="7"/>
        <v>0.13760822365485234</v>
      </c>
      <c r="S65" s="281">
        <f t="shared" si="7"/>
        <v>0.13760822365485234</v>
      </c>
      <c r="U65" s="79"/>
    </row>
    <row r="66" spans="2:21" x14ac:dyDescent="0.25">
      <c r="E66" s="68"/>
      <c r="F66" s="68" t="s">
        <v>47</v>
      </c>
      <c r="G66" s="68" t="s">
        <v>209</v>
      </c>
      <c r="J66" s="197">
        <f t="shared" si="6"/>
        <v>0.15699594310556997</v>
      </c>
      <c r="K66" s="208"/>
      <c r="L66" s="281">
        <v>0.21690566590786087</v>
      </c>
      <c r="M66" s="281">
        <v>0.231095542976997</v>
      </c>
      <c r="N66" s="281">
        <v>0.24566911970438099</v>
      </c>
      <c r="O66" s="281">
        <v>0.15699594310556997</v>
      </c>
      <c r="P66" s="281">
        <f t="shared" si="7"/>
        <v>0.15699594310556997</v>
      </c>
      <c r="Q66" s="281">
        <f t="shared" si="7"/>
        <v>0.15699594310556997</v>
      </c>
      <c r="R66" s="281">
        <f t="shared" si="7"/>
        <v>0.15699594310556997</v>
      </c>
      <c r="S66" s="281">
        <f t="shared" si="7"/>
        <v>0.15699594310556997</v>
      </c>
      <c r="U66" s="79"/>
    </row>
    <row r="67" spans="2:21" x14ac:dyDescent="0.25">
      <c r="E67" s="68"/>
      <c r="F67" s="68" t="s">
        <v>51</v>
      </c>
      <c r="G67" s="68" t="s">
        <v>209</v>
      </c>
      <c r="J67" s="197">
        <f t="shared" si="6"/>
        <v>0</v>
      </c>
      <c r="K67" s="208"/>
      <c r="L67" s="281">
        <v>0</v>
      </c>
      <c r="M67" s="281">
        <v>0</v>
      </c>
      <c r="N67" s="281">
        <v>0</v>
      </c>
      <c r="O67" s="281">
        <v>0</v>
      </c>
      <c r="P67" s="281">
        <f t="shared" si="7"/>
        <v>0</v>
      </c>
      <c r="Q67" s="281">
        <f t="shared" si="7"/>
        <v>0</v>
      </c>
      <c r="R67" s="281">
        <f t="shared" si="7"/>
        <v>0</v>
      </c>
      <c r="S67" s="281">
        <f t="shared" si="7"/>
        <v>0</v>
      </c>
      <c r="U67" s="79"/>
    </row>
    <row r="68" spans="2:21" x14ac:dyDescent="0.25">
      <c r="E68" s="68"/>
      <c r="F68" s="68" t="s">
        <v>48</v>
      </c>
      <c r="G68" s="68" t="s">
        <v>209</v>
      </c>
      <c r="J68" s="197">
        <f t="shared" si="6"/>
        <v>0.15699594310556997</v>
      </c>
      <c r="K68" s="208"/>
      <c r="L68" s="281">
        <v>0.21690566590786087</v>
      </c>
      <c r="M68" s="281">
        <v>0.231095542976997</v>
      </c>
      <c r="N68" s="281">
        <v>0.24566911970438099</v>
      </c>
      <c r="O68" s="281">
        <v>0.15699594310556997</v>
      </c>
      <c r="P68" s="281">
        <f t="shared" si="7"/>
        <v>0.15699594310556997</v>
      </c>
      <c r="Q68" s="281">
        <f t="shared" si="7"/>
        <v>0.15699594310556997</v>
      </c>
      <c r="R68" s="281">
        <f t="shared" si="7"/>
        <v>0.15699594310556997</v>
      </c>
      <c r="S68" s="281">
        <f t="shared" si="7"/>
        <v>0.15699594310556997</v>
      </c>
      <c r="U68" s="79"/>
    </row>
    <row r="69" spans="2:21" x14ac:dyDescent="0.25">
      <c r="E69" s="68"/>
      <c r="F69" s="68" t="s">
        <v>49</v>
      </c>
      <c r="G69" s="68" t="s">
        <v>209</v>
      </c>
      <c r="J69" s="197">
        <f t="shared" si="6"/>
        <v>0.15699594310556997</v>
      </c>
      <c r="K69" s="208"/>
      <c r="L69" s="281">
        <v>0.21690566590786087</v>
      </c>
      <c r="M69" s="281">
        <v>0.231095542976997</v>
      </c>
      <c r="N69" s="281">
        <v>0.24566911970438099</v>
      </c>
      <c r="O69" s="281">
        <v>0.15699594310556997</v>
      </c>
      <c r="P69" s="281">
        <f t="shared" si="7"/>
        <v>0.15699594310556997</v>
      </c>
      <c r="Q69" s="281">
        <f t="shared" si="7"/>
        <v>0.15699594310556997</v>
      </c>
      <c r="R69" s="281">
        <f t="shared" si="7"/>
        <v>0.15699594310556997</v>
      </c>
      <c r="S69" s="281">
        <f t="shared" si="7"/>
        <v>0.15699594310556997</v>
      </c>
      <c r="U69" s="79"/>
    </row>
    <row r="70" spans="2:21" x14ac:dyDescent="0.25">
      <c r="E70" s="68"/>
      <c r="F70" s="13" t="s">
        <v>50</v>
      </c>
      <c r="G70" s="13" t="s">
        <v>209</v>
      </c>
      <c r="H70" s="17"/>
      <c r="I70" s="17"/>
      <c r="J70" s="199">
        <f t="shared" si="6"/>
        <v>0.15699594310556997</v>
      </c>
      <c r="K70" s="209"/>
      <c r="L70" s="282">
        <v>0.21690566590786087</v>
      </c>
      <c r="M70" s="282">
        <v>0.231095542976997</v>
      </c>
      <c r="N70" s="282">
        <v>0.24566911970438099</v>
      </c>
      <c r="O70" s="282">
        <v>0.15699594310556997</v>
      </c>
      <c r="P70" s="282">
        <f t="shared" si="7"/>
        <v>0.15699594310556997</v>
      </c>
      <c r="Q70" s="282">
        <f t="shared" si="7"/>
        <v>0.15699594310556997</v>
      </c>
      <c r="R70" s="282">
        <f t="shared" si="7"/>
        <v>0.15699594310556997</v>
      </c>
      <c r="S70" s="282">
        <f t="shared" si="7"/>
        <v>0.15699594310556997</v>
      </c>
      <c r="U70" s="79"/>
    </row>
    <row r="71" spans="2:21" x14ac:dyDescent="0.25">
      <c r="J71" s="59"/>
      <c r="K71" s="59"/>
      <c r="L71" s="59"/>
      <c r="M71" s="59"/>
      <c r="N71" s="59"/>
      <c r="O71" s="59"/>
      <c r="P71" s="59"/>
      <c r="Q71" s="59"/>
      <c r="R71" s="59"/>
      <c r="S71" s="59"/>
    </row>
    <row r="72" spans="2:21" x14ac:dyDescent="0.25">
      <c r="C72" s="5" t="str">
        <f ca="1">INDEX('Version control'!$H$36:$H$62,MATCH($A$1,'Version control'!$F$36:$F$62,0),1)&amp;"-E: Customer contributions under current connection charging policy"</f>
        <v>Input 502-E: Customer contributions under current connection charging policy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</row>
    <row r="74" spans="2:21" x14ac:dyDescent="0.25">
      <c r="B74" s="52"/>
      <c r="D74" s="52" t="s">
        <v>205</v>
      </c>
      <c r="I74" t="s">
        <v>359</v>
      </c>
      <c r="J74" s="59"/>
      <c r="K74" s="59"/>
      <c r="L74" s="59"/>
      <c r="M74" s="59"/>
      <c r="N74" s="59"/>
      <c r="O74" s="59"/>
      <c r="P74" s="59"/>
      <c r="Q74" s="59"/>
      <c r="R74" s="59"/>
      <c r="S74" s="59"/>
      <c r="U74" t="s">
        <v>810</v>
      </c>
    </row>
    <row r="75" spans="2:21" x14ac:dyDescent="0.25">
      <c r="E75" s="123" t="s">
        <v>80</v>
      </c>
      <c r="J75" s="59"/>
      <c r="K75" s="59"/>
      <c r="L75" s="59"/>
      <c r="M75" s="59"/>
      <c r="N75" s="59"/>
      <c r="O75" s="59"/>
      <c r="P75" s="59"/>
      <c r="Q75" s="59"/>
      <c r="R75" s="59"/>
      <c r="S75" s="59"/>
    </row>
    <row r="76" spans="2:21" x14ac:dyDescent="0.25">
      <c r="E76" s="68"/>
      <c r="F76" s="14" t="s">
        <v>267</v>
      </c>
      <c r="G76" s="14" t="s">
        <v>94</v>
      </c>
      <c r="H76" s="80"/>
      <c r="I76" s="80"/>
      <c r="J76" s="142"/>
      <c r="K76" s="378"/>
      <c r="L76" s="142"/>
      <c r="M76" s="142"/>
      <c r="N76" s="142"/>
      <c r="O76" s="142"/>
      <c r="P76" s="142"/>
      <c r="Q76" s="142"/>
      <c r="R76" s="142"/>
      <c r="S76" s="142"/>
      <c r="U76" s="79"/>
    </row>
    <row r="77" spans="2:21" x14ac:dyDescent="0.25">
      <c r="E77" s="68"/>
      <c r="F77" s="68" t="s">
        <v>43</v>
      </c>
      <c r="G77" s="68" t="s">
        <v>94</v>
      </c>
      <c r="J77" s="135"/>
      <c r="K77" s="379"/>
      <c r="L77" s="135"/>
      <c r="M77" s="135"/>
      <c r="N77" s="135"/>
      <c r="O77" s="135"/>
      <c r="P77" s="135"/>
      <c r="Q77" s="135"/>
      <c r="R77" s="135"/>
      <c r="S77" s="135"/>
      <c r="U77" s="79"/>
    </row>
    <row r="78" spans="2:21" x14ac:dyDescent="0.25">
      <c r="E78" s="68"/>
      <c r="F78" s="68" t="s">
        <v>44</v>
      </c>
      <c r="G78" s="68" t="s">
        <v>94</v>
      </c>
      <c r="J78" s="157">
        <f t="shared" ref="J78:J85" si="8">CHOOSE(year_selection, L78,M78,N78,O78,P78,Q78,R78,S78)</f>
        <v>0</v>
      </c>
      <c r="K78" s="379"/>
      <c r="L78" s="275">
        <v>0</v>
      </c>
      <c r="M78" s="275">
        <v>0</v>
      </c>
      <c r="N78" s="275">
        <v>0</v>
      </c>
      <c r="O78" s="275">
        <v>0</v>
      </c>
      <c r="P78" s="275">
        <f t="shared" ref="P78:S85" si="9">$O78</f>
        <v>0</v>
      </c>
      <c r="Q78" s="275">
        <f t="shared" si="9"/>
        <v>0</v>
      </c>
      <c r="R78" s="275">
        <f t="shared" si="9"/>
        <v>0</v>
      </c>
      <c r="S78" s="275">
        <f t="shared" si="9"/>
        <v>0</v>
      </c>
      <c r="U78" s="79"/>
    </row>
    <row r="79" spans="2:21" x14ac:dyDescent="0.25">
      <c r="E79" s="68"/>
      <c r="F79" s="68" t="s">
        <v>45</v>
      </c>
      <c r="G79" s="68" t="s">
        <v>94</v>
      </c>
      <c r="J79" s="157">
        <f t="shared" si="8"/>
        <v>0</v>
      </c>
      <c r="K79" s="379"/>
      <c r="L79" s="275">
        <v>0</v>
      </c>
      <c r="M79" s="275">
        <v>0</v>
      </c>
      <c r="N79" s="275">
        <v>0</v>
      </c>
      <c r="O79" s="275">
        <v>0</v>
      </c>
      <c r="P79" s="275">
        <f t="shared" si="9"/>
        <v>0</v>
      </c>
      <c r="Q79" s="275">
        <f t="shared" si="9"/>
        <v>0</v>
      </c>
      <c r="R79" s="275">
        <f t="shared" si="9"/>
        <v>0</v>
      </c>
      <c r="S79" s="275">
        <f t="shared" si="9"/>
        <v>0</v>
      </c>
      <c r="U79" s="79"/>
    </row>
    <row r="80" spans="2:21" x14ac:dyDescent="0.25">
      <c r="E80" s="68"/>
      <c r="F80" s="68" t="s">
        <v>46</v>
      </c>
      <c r="G80" s="68" t="s">
        <v>94</v>
      </c>
      <c r="J80" s="157">
        <f t="shared" si="8"/>
        <v>0</v>
      </c>
      <c r="K80" s="379"/>
      <c r="L80" s="275">
        <v>0</v>
      </c>
      <c r="M80" s="275">
        <v>0</v>
      </c>
      <c r="N80" s="275">
        <v>0</v>
      </c>
      <c r="O80" s="275">
        <v>0</v>
      </c>
      <c r="P80" s="275">
        <f t="shared" si="9"/>
        <v>0</v>
      </c>
      <c r="Q80" s="275">
        <f t="shared" si="9"/>
        <v>0</v>
      </c>
      <c r="R80" s="275">
        <f t="shared" si="9"/>
        <v>0</v>
      </c>
      <c r="S80" s="275">
        <f t="shared" si="9"/>
        <v>0</v>
      </c>
      <c r="U80" s="79"/>
    </row>
    <row r="81" spans="5:21" x14ac:dyDescent="0.25">
      <c r="E81" s="68"/>
      <c r="F81" s="68" t="s">
        <v>47</v>
      </c>
      <c r="G81" s="68" t="s">
        <v>94</v>
      </c>
      <c r="J81" s="157">
        <f t="shared" si="8"/>
        <v>0</v>
      </c>
      <c r="K81" s="379"/>
      <c r="L81" s="275">
        <v>0</v>
      </c>
      <c r="M81" s="275">
        <v>0</v>
      </c>
      <c r="N81" s="275">
        <v>0</v>
      </c>
      <c r="O81" s="275">
        <v>0</v>
      </c>
      <c r="P81" s="275">
        <f t="shared" si="9"/>
        <v>0</v>
      </c>
      <c r="Q81" s="275">
        <f t="shared" si="9"/>
        <v>0</v>
      </c>
      <c r="R81" s="275">
        <f t="shared" si="9"/>
        <v>0</v>
      </c>
      <c r="S81" s="275">
        <f t="shared" si="9"/>
        <v>0</v>
      </c>
      <c r="U81" s="79"/>
    </row>
    <row r="82" spans="5:21" x14ac:dyDescent="0.25">
      <c r="E82" s="68"/>
      <c r="F82" s="68" t="s">
        <v>51</v>
      </c>
      <c r="G82" s="68" t="s">
        <v>94</v>
      </c>
      <c r="J82" s="157">
        <f t="shared" si="8"/>
        <v>0</v>
      </c>
      <c r="K82" s="379"/>
      <c r="L82" s="275">
        <v>0</v>
      </c>
      <c r="M82" s="275">
        <v>0</v>
      </c>
      <c r="N82" s="275">
        <v>0</v>
      </c>
      <c r="O82" s="275">
        <v>0</v>
      </c>
      <c r="P82" s="275">
        <f t="shared" si="9"/>
        <v>0</v>
      </c>
      <c r="Q82" s="275">
        <f t="shared" si="9"/>
        <v>0</v>
      </c>
      <c r="R82" s="275">
        <f t="shared" si="9"/>
        <v>0</v>
      </c>
      <c r="S82" s="275">
        <f t="shared" si="9"/>
        <v>0</v>
      </c>
      <c r="U82" s="79"/>
    </row>
    <row r="83" spans="5:21" x14ac:dyDescent="0.25">
      <c r="E83" s="68"/>
      <c r="F83" s="68" t="s">
        <v>48</v>
      </c>
      <c r="G83" s="68" t="s">
        <v>94</v>
      </c>
      <c r="J83" s="157">
        <f t="shared" si="8"/>
        <v>0.20065197841726601</v>
      </c>
      <c r="K83" s="379"/>
      <c r="L83" s="275">
        <v>0.20065197841726601</v>
      </c>
      <c r="M83" s="275">
        <v>0.20065197841726601</v>
      </c>
      <c r="N83" s="275">
        <v>0.20065197841726601</v>
      </c>
      <c r="O83" s="275">
        <v>0.20065197841726601</v>
      </c>
      <c r="P83" s="275">
        <f t="shared" si="9"/>
        <v>0.20065197841726601</v>
      </c>
      <c r="Q83" s="275">
        <f t="shared" si="9"/>
        <v>0.20065197841726601</v>
      </c>
      <c r="R83" s="275">
        <f t="shared" si="9"/>
        <v>0.20065197841726601</v>
      </c>
      <c r="S83" s="275">
        <f t="shared" si="9"/>
        <v>0.20065197841726601</v>
      </c>
      <c r="U83" s="79"/>
    </row>
    <row r="84" spans="5:21" x14ac:dyDescent="0.25">
      <c r="E84" s="68"/>
      <c r="F84" s="68" t="s">
        <v>49</v>
      </c>
      <c r="G84" s="68" t="s">
        <v>94</v>
      </c>
      <c r="J84" s="157">
        <f t="shared" si="8"/>
        <v>0.26968503937007898</v>
      </c>
      <c r="K84" s="379"/>
      <c r="L84" s="275">
        <v>0.26968503937007898</v>
      </c>
      <c r="M84" s="275">
        <v>0.26968503937007898</v>
      </c>
      <c r="N84" s="275">
        <v>0.26968503937007898</v>
      </c>
      <c r="O84" s="275">
        <v>0.26968503937007898</v>
      </c>
      <c r="P84" s="275">
        <f t="shared" si="9"/>
        <v>0.26968503937007898</v>
      </c>
      <c r="Q84" s="275">
        <f t="shared" si="9"/>
        <v>0.26968503937007898</v>
      </c>
      <c r="R84" s="275">
        <f t="shared" si="9"/>
        <v>0.26968503937007898</v>
      </c>
      <c r="S84" s="275">
        <f t="shared" si="9"/>
        <v>0.26968503937007898</v>
      </c>
      <c r="U84" s="79"/>
    </row>
    <row r="85" spans="5:21" x14ac:dyDescent="0.25">
      <c r="E85" s="68"/>
      <c r="F85" s="13" t="s">
        <v>50</v>
      </c>
      <c r="G85" s="13" t="s">
        <v>94</v>
      </c>
      <c r="H85" s="17"/>
      <c r="I85" s="17"/>
      <c r="J85" s="158">
        <f t="shared" si="8"/>
        <v>0.92371773930088197</v>
      </c>
      <c r="K85" s="261"/>
      <c r="L85" s="276">
        <v>0.92371773930088197</v>
      </c>
      <c r="M85" s="276">
        <v>0.92371773930088197</v>
      </c>
      <c r="N85" s="276">
        <v>0.92371773930088197</v>
      </c>
      <c r="O85" s="276">
        <v>0.92371773930088197</v>
      </c>
      <c r="P85" s="276">
        <f t="shared" si="9"/>
        <v>0.92371773930088197</v>
      </c>
      <c r="Q85" s="276">
        <f t="shared" si="9"/>
        <v>0.92371773930088197</v>
      </c>
      <c r="R85" s="276">
        <f t="shared" si="9"/>
        <v>0.92371773930088197</v>
      </c>
      <c r="S85" s="276">
        <f t="shared" si="9"/>
        <v>0.92371773930088197</v>
      </c>
      <c r="U85" s="79"/>
    </row>
    <row r="86" spans="5:21" x14ac:dyDescent="0.25">
      <c r="E86" s="123" t="s">
        <v>81</v>
      </c>
      <c r="J86" s="380"/>
      <c r="K86" s="380"/>
      <c r="L86" s="380"/>
      <c r="M86" s="380"/>
      <c r="N86" s="380"/>
      <c r="O86" s="380"/>
      <c r="P86" s="380"/>
      <c r="Q86" s="380"/>
      <c r="R86" s="380"/>
      <c r="S86" s="380"/>
    </row>
    <row r="87" spans="5:21" x14ac:dyDescent="0.25">
      <c r="E87" s="68"/>
      <c r="F87" s="14" t="s">
        <v>267</v>
      </c>
      <c r="G87" s="14" t="s">
        <v>94</v>
      </c>
      <c r="H87" s="80"/>
      <c r="I87" s="80"/>
      <c r="J87" s="142"/>
      <c r="K87" s="378"/>
      <c r="L87" s="142"/>
      <c r="M87" s="142"/>
      <c r="N87" s="142"/>
      <c r="O87" s="142"/>
      <c r="P87" s="142"/>
      <c r="Q87" s="142"/>
      <c r="R87" s="142"/>
      <c r="S87" s="142"/>
      <c r="U87" s="79"/>
    </row>
    <row r="88" spans="5:21" x14ac:dyDescent="0.25">
      <c r="E88" s="68"/>
      <c r="F88" s="68" t="s">
        <v>43</v>
      </c>
      <c r="G88" s="68" t="s">
        <v>94</v>
      </c>
      <c r="J88" s="135"/>
      <c r="K88" s="379"/>
      <c r="L88" s="135"/>
      <c r="M88" s="135"/>
      <c r="N88" s="135"/>
      <c r="O88" s="135"/>
      <c r="P88" s="135"/>
      <c r="Q88" s="135"/>
      <c r="R88" s="135"/>
      <c r="S88" s="135"/>
      <c r="U88" s="79"/>
    </row>
    <row r="89" spans="5:21" x14ac:dyDescent="0.25">
      <c r="E89" s="68"/>
      <c r="F89" s="68" t="s">
        <v>44</v>
      </c>
      <c r="G89" s="68" t="s">
        <v>94</v>
      </c>
      <c r="J89" s="157">
        <f t="shared" ref="J89:J95" si="10">CHOOSE(year_selection, L89,M89,N89,O89,P89,Q89,R89,S89)</f>
        <v>0</v>
      </c>
      <c r="K89" s="379"/>
      <c r="L89" s="275">
        <v>0</v>
      </c>
      <c r="M89" s="275">
        <v>0</v>
      </c>
      <c r="N89" s="275">
        <v>0</v>
      </c>
      <c r="O89" s="275">
        <v>0</v>
      </c>
      <c r="P89" s="275">
        <f t="shared" ref="P89:S95" si="11">$O89</f>
        <v>0</v>
      </c>
      <c r="Q89" s="275">
        <f t="shared" si="11"/>
        <v>0</v>
      </c>
      <c r="R89" s="275">
        <f t="shared" si="11"/>
        <v>0</v>
      </c>
      <c r="S89" s="275">
        <f t="shared" si="11"/>
        <v>0</v>
      </c>
      <c r="U89" s="79"/>
    </row>
    <row r="90" spans="5:21" x14ac:dyDescent="0.25">
      <c r="E90" s="68"/>
      <c r="F90" s="68" t="s">
        <v>45</v>
      </c>
      <c r="G90" s="68" t="s">
        <v>94</v>
      </c>
      <c r="J90" s="157">
        <f t="shared" si="10"/>
        <v>0</v>
      </c>
      <c r="K90" s="379"/>
      <c r="L90" s="275">
        <v>0</v>
      </c>
      <c r="M90" s="275">
        <v>0</v>
      </c>
      <c r="N90" s="275">
        <v>0</v>
      </c>
      <c r="O90" s="275">
        <v>0</v>
      </c>
      <c r="P90" s="275">
        <f t="shared" si="11"/>
        <v>0</v>
      </c>
      <c r="Q90" s="275">
        <f t="shared" si="11"/>
        <v>0</v>
      </c>
      <c r="R90" s="275">
        <f t="shared" si="11"/>
        <v>0</v>
      </c>
      <c r="S90" s="275">
        <f t="shared" si="11"/>
        <v>0</v>
      </c>
      <c r="U90" s="79"/>
    </row>
    <row r="91" spans="5:21" x14ac:dyDescent="0.25">
      <c r="E91" s="68"/>
      <c r="F91" s="68" t="s">
        <v>46</v>
      </c>
      <c r="G91" s="68" t="s">
        <v>94</v>
      </c>
      <c r="J91" s="157">
        <f t="shared" si="10"/>
        <v>0</v>
      </c>
      <c r="K91" s="379"/>
      <c r="L91" s="275">
        <v>0</v>
      </c>
      <c r="M91" s="275">
        <v>0</v>
      </c>
      <c r="N91" s="275">
        <v>0</v>
      </c>
      <c r="O91" s="275">
        <v>0</v>
      </c>
      <c r="P91" s="275">
        <f t="shared" si="11"/>
        <v>0</v>
      </c>
      <c r="Q91" s="275">
        <f t="shared" si="11"/>
        <v>0</v>
      </c>
      <c r="R91" s="275">
        <f t="shared" si="11"/>
        <v>0</v>
      </c>
      <c r="S91" s="275">
        <f t="shared" si="11"/>
        <v>0</v>
      </c>
      <c r="U91" s="79"/>
    </row>
    <row r="92" spans="5:21" x14ac:dyDescent="0.25">
      <c r="E92" s="68"/>
      <c r="F92" s="68" t="s">
        <v>47</v>
      </c>
      <c r="G92" s="68" t="s">
        <v>94</v>
      </c>
      <c r="J92" s="157">
        <f t="shared" si="10"/>
        <v>0</v>
      </c>
      <c r="K92" s="379"/>
      <c r="L92" s="275">
        <v>0</v>
      </c>
      <c r="M92" s="275">
        <v>0</v>
      </c>
      <c r="N92" s="275">
        <v>0</v>
      </c>
      <c r="O92" s="275">
        <v>0</v>
      </c>
      <c r="P92" s="275">
        <f t="shared" si="11"/>
        <v>0</v>
      </c>
      <c r="Q92" s="275">
        <f t="shared" si="11"/>
        <v>0</v>
      </c>
      <c r="R92" s="275">
        <f t="shared" si="11"/>
        <v>0</v>
      </c>
      <c r="S92" s="275">
        <f t="shared" si="11"/>
        <v>0</v>
      </c>
      <c r="U92" s="79"/>
    </row>
    <row r="93" spans="5:21" x14ac:dyDescent="0.25">
      <c r="E93" s="68"/>
      <c r="F93" s="68" t="s">
        <v>51</v>
      </c>
      <c r="G93" s="68" t="s">
        <v>94</v>
      </c>
      <c r="J93" s="157">
        <f t="shared" si="10"/>
        <v>0</v>
      </c>
      <c r="K93" s="379"/>
      <c r="L93" s="275">
        <v>0</v>
      </c>
      <c r="M93" s="275">
        <v>0</v>
      </c>
      <c r="N93" s="275">
        <v>0</v>
      </c>
      <c r="O93" s="275">
        <v>0</v>
      </c>
      <c r="P93" s="275">
        <f t="shared" si="11"/>
        <v>0</v>
      </c>
      <c r="Q93" s="275">
        <f t="shared" si="11"/>
        <v>0</v>
      </c>
      <c r="R93" s="275">
        <f t="shared" si="11"/>
        <v>0</v>
      </c>
      <c r="S93" s="275">
        <f t="shared" si="11"/>
        <v>0</v>
      </c>
      <c r="U93" s="79"/>
    </row>
    <row r="94" spans="5:21" x14ac:dyDescent="0.25">
      <c r="E94" s="68"/>
      <c r="F94" s="68" t="s">
        <v>48</v>
      </c>
      <c r="G94" s="68" t="s">
        <v>94</v>
      </c>
      <c r="J94" s="157">
        <f t="shared" si="10"/>
        <v>0.20065197841726601</v>
      </c>
      <c r="K94" s="379"/>
      <c r="L94" s="275">
        <v>0.20065197841726601</v>
      </c>
      <c r="M94" s="275">
        <v>0.20065197841726601</v>
      </c>
      <c r="N94" s="275">
        <v>0.20065197841726601</v>
      </c>
      <c r="O94" s="275">
        <v>0.20065197841726601</v>
      </c>
      <c r="P94" s="275">
        <f t="shared" si="11"/>
        <v>0.20065197841726601</v>
      </c>
      <c r="Q94" s="275">
        <f t="shared" si="11"/>
        <v>0.20065197841726601</v>
      </c>
      <c r="R94" s="275">
        <f t="shared" si="11"/>
        <v>0.20065197841726601</v>
      </c>
      <c r="S94" s="275">
        <f t="shared" si="11"/>
        <v>0.20065197841726601</v>
      </c>
      <c r="U94" s="79"/>
    </row>
    <row r="95" spans="5:21" x14ac:dyDescent="0.25">
      <c r="E95" s="68"/>
      <c r="F95" s="68" t="s">
        <v>49</v>
      </c>
      <c r="G95" s="68" t="s">
        <v>94</v>
      </c>
      <c r="J95" s="157">
        <f t="shared" si="10"/>
        <v>0.26968503937007898</v>
      </c>
      <c r="K95" s="379"/>
      <c r="L95" s="275">
        <v>0.26968503937007898</v>
      </c>
      <c r="M95" s="275">
        <v>0.26968503937007898</v>
      </c>
      <c r="N95" s="275">
        <v>0.26968503937007898</v>
      </c>
      <c r="O95" s="275">
        <v>0.26968503937007898</v>
      </c>
      <c r="P95" s="275">
        <f>$O95</f>
        <v>0.26968503937007898</v>
      </c>
      <c r="Q95" s="275">
        <f t="shared" si="11"/>
        <v>0.26968503937007898</v>
      </c>
      <c r="R95" s="275">
        <f t="shared" si="11"/>
        <v>0.26968503937007898</v>
      </c>
      <c r="S95" s="275">
        <f t="shared" si="11"/>
        <v>0.26968503937007898</v>
      </c>
      <c r="U95" s="79"/>
    </row>
    <row r="96" spans="5:21" x14ac:dyDescent="0.25">
      <c r="E96" s="68"/>
      <c r="F96" s="13" t="s">
        <v>50</v>
      </c>
      <c r="G96" s="13" t="s">
        <v>94</v>
      </c>
      <c r="H96" s="17"/>
      <c r="I96" s="17"/>
      <c r="J96" s="36"/>
      <c r="K96" s="261"/>
      <c r="L96" s="36"/>
      <c r="M96" s="36"/>
      <c r="N96" s="36"/>
      <c r="O96" s="36"/>
      <c r="P96" s="36"/>
      <c r="Q96" s="36"/>
      <c r="R96" s="36"/>
      <c r="S96" s="36"/>
      <c r="T96" s="36"/>
      <c r="U96" s="79"/>
    </row>
    <row r="97" spans="5:21" x14ac:dyDescent="0.25">
      <c r="E97" s="123" t="s">
        <v>82</v>
      </c>
      <c r="J97" s="380"/>
      <c r="K97" s="380"/>
      <c r="L97" s="380"/>
      <c r="M97" s="380"/>
      <c r="N97" s="380"/>
      <c r="O97" s="380"/>
      <c r="P97" s="380"/>
      <c r="Q97" s="380"/>
      <c r="R97" s="380"/>
      <c r="S97" s="380"/>
    </row>
    <row r="98" spans="5:21" x14ac:dyDescent="0.25">
      <c r="E98" s="68"/>
      <c r="F98" s="14" t="s">
        <v>267</v>
      </c>
      <c r="G98" s="14" t="s">
        <v>94</v>
      </c>
      <c r="H98" s="80"/>
      <c r="I98" s="80"/>
      <c r="J98" s="142"/>
      <c r="K98" s="378"/>
      <c r="L98" s="142"/>
      <c r="M98" s="142"/>
      <c r="N98" s="142"/>
      <c r="O98" s="142"/>
      <c r="P98" s="142"/>
      <c r="Q98" s="142"/>
      <c r="R98" s="142"/>
      <c r="S98" s="142"/>
      <c r="U98" s="79"/>
    </row>
    <row r="99" spans="5:21" x14ac:dyDescent="0.25">
      <c r="E99" s="68"/>
      <c r="F99" s="68" t="s">
        <v>43</v>
      </c>
      <c r="G99" s="68" t="s">
        <v>94</v>
      </c>
      <c r="J99" s="135"/>
      <c r="K99" s="379"/>
      <c r="L99" s="135"/>
      <c r="M99" s="135"/>
      <c r="N99" s="135"/>
      <c r="O99" s="135"/>
      <c r="P99" s="135"/>
      <c r="Q99" s="135"/>
      <c r="R99" s="135"/>
      <c r="S99" s="135"/>
      <c r="U99" s="79"/>
    </row>
    <row r="100" spans="5:21" x14ac:dyDescent="0.25">
      <c r="E100" s="68"/>
      <c r="F100" s="68" t="s">
        <v>44</v>
      </c>
      <c r="G100" s="68" t="s">
        <v>94</v>
      </c>
      <c r="J100" s="157">
        <f t="shared" ref="J100:J105" si="12">CHOOSE(year_selection, L100,M100,N100,O100,P100,Q100,R100,S100)</f>
        <v>0</v>
      </c>
      <c r="K100" s="379"/>
      <c r="L100" s="275">
        <v>0</v>
      </c>
      <c r="M100" s="275">
        <v>0</v>
      </c>
      <c r="N100" s="275">
        <v>0</v>
      </c>
      <c r="O100" s="275">
        <v>0</v>
      </c>
      <c r="P100" s="275">
        <f t="shared" ref="P100:S105" si="13">$O100</f>
        <v>0</v>
      </c>
      <c r="Q100" s="275">
        <f t="shared" si="13"/>
        <v>0</v>
      </c>
      <c r="R100" s="275">
        <f t="shared" si="13"/>
        <v>0</v>
      </c>
      <c r="S100" s="275">
        <f t="shared" si="13"/>
        <v>0</v>
      </c>
      <c r="U100" s="79"/>
    </row>
    <row r="101" spans="5:21" x14ac:dyDescent="0.25">
      <c r="E101" s="68"/>
      <c r="F101" s="68" t="s">
        <v>45</v>
      </c>
      <c r="G101" s="68" t="s">
        <v>94</v>
      </c>
      <c r="J101" s="157">
        <f t="shared" si="12"/>
        <v>0</v>
      </c>
      <c r="K101" s="379"/>
      <c r="L101" s="275">
        <v>0</v>
      </c>
      <c r="M101" s="275">
        <v>0</v>
      </c>
      <c r="N101" s="275">
        <v>0</v>
      </c>
      <c r="O101" s="275">
        <v>0</v>
      </c>
      <c r="P101" s="275">
        <f t="shared" si="13"/>
        <v>0</v>
      </c>
      <c r="Q101" s="275">
        <f t="shared" si="13"/>
        <v>0</v>
      </c>
      <c r="R101" s="275">
        <f t="shared" si="13"/>
        <v>0</v>
      </c>
      <c r="S101" s="275">
        <f t="shared" si="13"/>
        <v>0</v>
      </c>
      <c r="U101" s="79"/>
    </row>
    <row r="102" spans="5:21" x14ac:dyDescent="0.25">
      <c r="E102" s="68"/>
      <c r="F102" s="68" t="s">
        <v>46</v>
      </c>
      <c r="G102" s="68" t="s">
        <v>94</v>
      </c>
      <c r="J102" s="157">
        <f t="shared" si="12"/>
        <v>3.11004784688995E-2</v>
      </c>
      <c r="K102" s="379"/>
      <c r="L102" s="275">
        <v>3.11004784688995E-2</v>
      </c>
      <c r="M102" s="275">
        <v>3.11004784688995E-2</v>
      </c>
      <c r="N102" s="275">
        <v>3.11004784688995E-2</v>
      </c>
      <c r="O102" s="275">
        <v>3.11004784688995E-2</v>
      </c>
      <c r="P102" s="275">
        <f t="shared" si="13"/>
        <v>3.11004784688995E-2</v>
      </c>
      <c r="Q102" s="275">
        <f t="shared" si="13"/>
        <v>3.11004784688995E-2</v>
      </c>
      <c r="R102" s="275">
        <f t="shared" si="13"/>
        <v>3.11004784688995E-2</v>
      </c>
      <c r="S102" s="275">
        <f t="shared" si="13"/>
        <v>3.11004784688995E-2</v>
      </c>
      <c r="U102" s="79"/>
    </row>
    <row r="103" spans="5:21" x14ac:dyDescent="0.25">
      <c r="E103" s="68"/>
      <c r="F103" s="68" t="s">
        <v>47</v>
      </c>
      <c r="G103" s="68" t="s">
        <v>94</v>
      </c>
      <c r="J103" s="157">
        <f t="shared" si="12"/>
        <v>0.14212259371833799</v>
      </c>
      <c r="K103" s="379"/>
      <c r="L103" s="275">
        <v>0.14212259371833799</v>
      </c>
      <c r="M103" s="275">
        <v>0.14212259371833799</v>
      </c>
      <c r="N103" s="275">
        <v>0.14212259371833799</v>
      </c>
      <c r="O103" s="275">
        <v>0.14212259371833799</v>
      </c>
      <c r="P103" s="275">
        <f t="shared" si="13"/>
        <v>0.14212259371833799</v>
      </c>
      <c r="Q103" s="275">
        <f t="shared" si="13"/>
        <v>0.14212259371833799</v>
      </c>
      <c r="R103" s="275">
        <f t="shared" si="13"/>
        <v>0.14212259371833799</v>
      </c>
      <c r="S103" s="275">
        <f t="shared" si="13"/>
        <v>0.14212259371833799</v>
      </c>
      <c r="U103" s="79"/>
    </row>
    <row r="104" spans="5:21" x14ac:dyDescent="0.25">
      <c r="E104" s="68"/>
      <c r="F104" s="68" t="s">
        <v>51</v>
      </c>
      <c r="G104" s="68" t="s">
        <v>94</v>
      </c>
      <c r="J104" s="157">
        <f t="shared" si="12"/>
        <v>0</v>
      </c>
      <c r="K104" s="379"/>
      <c r="L104" s="275">
        <v>0</v>
      </c>
      <c r="M104" s="275">
        <v>0</v>
      </c>
      <c r="N104" s="275">
        <v>0</v>
      </c>
      <c r="O104" s="275">
        <v>0</v>
      </c>
      <c r="P104" s="275">
        <f t="shared" si="13"/>
        <v>0</v>
      </c>
      <c r="Q104" s="275">
        <f t="shared" si="13"/>
        <v>0</v>
      </c>
      <c r="R104" s="275">
        <f t="shared" si="13"/>
        <v>0</v>
      </c>
      <c r="S104" s="275">
        <f t="shared" si="13"/>
        <v>0</v>
      </c>
      <c r="U104" s="79"/>
    </row>
    <row r="105" spans="5:21" x14ac:dyDescent="0.25">
      <c r="E105" s="68"/>
      <c r="F105" s="68" t="s">
        <v>48</v>
      </c>
      <c r="G105" s="68" t="s">
        <v>94</v>
      </c>
      <c r="J105" s="157">
        <f t="shared" si="12"/>
        <v>0.45146695143884902</v>
      </c>
      <c r="K105" s="379"/>
      <c r="L105" s="275">
        <v>0.45146695143884902</v>
      </c>
      <c r="M105" s="275">
        <v>0.45146695143884902</v>
      </c>
      <c r="N105" s="275">
        <v>0.45146695143884902</v>
      </c>
      <c r="O105" s="275">
        <v>0.45146695143884902</v>
      </c>
      <c r="P105" s="275">
        <f t="shared" si="13"/>
        <v>0.45146695143884902</v>
      </c>
      <c r="Q105" s="275">
        <f t="shared" si="13"/>
        <v>0.45146695143884902</v>
      </c>
      <c r="R105" s="275">
        <f t="shared" si="13"/>
        <v>0.45146695143884902</v>
      </c>
      <c r="S105" s="275">
        <f t="shared" si="13"/>
        <v>0.45146695143884902</v>
      </c>
      <c r="U105" s="79"/>
    </row>
    <row r="106" spans="5:21" x14ac:dyDescent="0.25">
      <c r="E106" s="68"/>
      <c r="F106" s="68" t="s">
        <v>49</v>
      </c>
      <c r="G106" s="68" t="s">
        <v>94</v>
      </c>
      <c r="J106" s="35"/>
      <c r="K106" s="379"/>
      <c r="L106" s="35"/>
      <c r="M106" s="35"/>
      <c r="N106" s="35"/>
      <c r="O106" s="35"/>
      <c r="P106" s="35"/>
      <c r="Q106" s="35"/>
      <c r="R106" s="35"/>
      <c r="S106" s="35"/>
      <c r="U106" s="79"/>
    </row>
    <row r="107" spans="5:21" x14ac:dyDescent="0.25">
      <c r="E107" s="68"/>
      <c r="F107" s="13" t="s">
        <v>50</v>
      </c>
      <c r="G107" s="13" t="s">
        <v>94</v>
      </c>
      <c r="H107" s="17"/>
      <c r="I107" s="17"/>
      <c r="J107" s="36"/>
      <c r="K107" s="261"/>
      <c r="L107" s="36"/>
      <c r="M107" s="36"/>
      <c r="N107" s="36"/>
      <c r="O107" s="36"/>
      <c r="P107" s="36"/>
      <c r="Q107" s="36"/>
      <c r="R107" s="36"/>
      <c r="S107" s="36"/>
      <c r="U107" s="79"/>
    </row>
    <row r="108" spans="5:21" x14ac:dyDescent="0.25">
      <c r="E108" s="123" t="s">
        <v>83</v>
      </c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</row>
    <row r="109" spans="5:21" x14ac:dyDescent="0.25">
      <c r="E109" s="68"/>
      <c r="F109" s="14" t="s">
        <v>267</v>
      </c>
      <c r="G109" s="14" t="s">
        <v>94</v>
      </c>
      <c r="H109" s="80"/>
      <c r="I109" s="80"/>
      <c r="J109" s="142"/>
      <c r="K109" s="378"/>
      <c r="L109" s="142"/>
      <c r="M109" s="142"/>
      <c r="N109" s="142"/>
      <c r="O109" s="142"/>
      <c r="P109" s="142"/>
      <c r="Q109" s="142"/>
      <c r="R109" s="142"/>
      <c r="S109" s="142"/>
      <c r="U109" s="79"/>
    </row>
    <row r="110" spans="5:21" x14ac:dyDescent="0.25">
      <c r="E110" s="68"/>
      <c r="F110" s="68" t="s">
        <v>43</v>
      </c>
      <c r="G110" s="68" t="s">
        <v>94</v>
      </c>
      <c r="J110" s="135"/>
      <c r="K110" s="379"/>
      <c r="L110" s="135"/>
      <c r="M110" s="135"/>
      <c r="N110" s="135"/>
      <c r="O110" s="135"/>
      <c r="P110" s="135"/>
      <c r="Q110" s="135"/>
      <c r="R110" s="135"/>
      <c r="S110" s="135"/>
      <c r="U110" s="79"/>
    </row>
    <row r="111" spans="5:21" x14ac:dyDescent="0.25">
      <c r="E111" s="68"/>
      <c r="F111" s="68" t="s">
        <v>44</v>
      </c>
      <c r="G111" s="68" t="s">
        <v>94</v>
      </c>
      <c r="J111" s="157">
        <f t="shared" ref="J111:J114" si="14">CHOOSE(year_selection, L111,M111,N111,O111,P111,Q111,R111,S111)</f>
        <v>0</v>
      </c>
      <c r="K111" s="379"/>
      <c r="L111" s="275">
        <v>0</v>
      </c>
      <c r="M111" s="275">
        <v>0</v>
      </c>
      <c r="N111" s="275">
        <v>0</v>
      </c>
      <c r="O111" s="275">
        <v>0</v>
      </c>
      <c r="P111" s="275">
        <f t="shared" ref="P111:S114" si="15">$O111</f>
        <v>0</v>
      </c>
      <c r="Q111" s="275">
        <f t="shared" si="15"/>
        <v>0</v>
      </c>
      <c r="R111" s="275">
        <f t="shared" si="15"/>
        <v>0</v>
      </c>
      <c r="S111" s="275">
        <f t="shared" si="15"/>
        <v>0</v>
      </c>
      <c r="U111" s="79"/>
    </row>
    <row r="112" spans="5:21" x14ac:dyDescent="0.25">
      <c r="E112" s="68"/>
      <c r="F112" s="68" t="s">
        <v>45</v>
      </c>
      <c r="G112" s="68" t="s">
        <v>94</v>
      </c>
      <c r="J112" s="157">
        <f t="shared" si="14"/>
        <v>0</v>
      </c>
      <c r="K112" s="379"/>
      <c r="L112" s="275">
        <v>0</v>
      </c>
      <c r="M112" s="275">
        <v>0</v>
      </c>
      <c r="N112" s="275">
        <v>0</v>
      </c>
      <c r="O112" s="275">
        <v>0</v>
      </c>
      <c r="P112" s="275">
        <f t="shared" si="15"/>
        <v>0</v>
      </c>
      <c r="Q112" s="275">
        <f t="shared" si="15"/>
        <v>0</v>
      </c>
      <c r="R112" s="275">
        <f t="shared" si="15"/>
        <v>0</v>
      </c>
      <c r="S112" s="275">
        <f t="shared" si="15"/>
        <v>0</v>
      </c>
      <c r="U112" s="79"/>
    </row>
    <row r="113" spans="2:21" x14ac:dyDescent="0.25">
      <c r="E113" s="68"/>
      <c r="F113" s="68" t="s">
        <v>46</v>
      </c>
      <c r="G113" s="68" t="s">
        <v>94</v>
      </c>
      <c r="J113" s="157">
        <f t="shared" si="14"/>
        <v>3.11004784688995E-2</v>
      </c>
      <c r="K113" s="379"/>
      <c r="L113" s="275">
        <v>3.11004784688995E-2</v>
      </c>
      <c r="M113" s="275">
        <v>3.11004784688995E-2</v>
      </c>
      <c r="N113" s="275">
        <v>3.11004784688995E-2</v>
      </c>
      <c r="O113" s="275">
        <v>3.11004784688995E-2</v>
      </c>
      <c r="P113" s="275">
        <f t="shared" si="15"/>
        <v>3.11004784688995E-2</v>
      </c>
      <c r="Q113" s="275">
        <f t="shared" si="15"/>
        <v>3.11004784688995E-2</v>
      </c>
      <c r="R113" s="275">
        <f t="shared" si="15"/>
        <v>3.11004784688995E-2</v>
      </c>
      <c r="S113" s="275">
        <f t="shared" si="15"/>
        <v>3.11004784688995E-2</v>
      </c>
      <c r="U113" s="79"/>
    </row>
    <row r="114" spans="2:21" x14ac:dyDescent="0.25">
      <c r="E114" s="68"/>
      <c r="F114" s="68" t="s">
        <v>47</v>
      </c>
      <c r="G114" s="68" t="s">
        <v>94</v>
      </c>
      <c r="J114" s="157">
        <f t="shared" si="14"/>
        <v>0.14212259371833799</v>
      </c>
      <c r="K114" s="379"/>
      <c r="L114" s="275">
        <v>0.14212259371833799</v>
      </c>
      <c r="M114" s="275">
        <v>0.14212259371833799</v>
      </c>
      <c r="N114" s="275">
        <v>0.14212259371833799</v>
      </c>
      <c r="O114" s="275">
        <v>0.14212259371833799</v>
      </c>
      <c r="P114" s="275">
        <f t="shared" si="15"/>
        <v>0.14212259371833799</v>
      </c>
      <c r="Q114" s="275">
        <f t="shared" si="15"/>
        <v>0.14212259371833799</v>
      </c>
      <c r="R114" s="275">
        <f t="shared" si="15"/>
        <v>0.14212259371833799</v>
      </c>
      <c r="S114" s="275">
        <f t="shared" si="15"/>
        <v>0.14212259371833799</v>
      </c>
      <c r="U114" s="79"/>
    </row>
    <row r="115" spans="2:21" x14ac:dyDescent="0.25">
      <c r="E115" s="68"/>
      <c r="F115" s="68" t="s">
        <v>51</v>
      </c>
      <c r="G115" s="68" t="s">
        <v>94</v>
      </c>
      <c r="J115" s="35"/>
      <c r="K115" s="379"/>
      <c r="L115" s="35"/>
      <c r="M115" s="35"/>
      <c r="N115" s="35"/>
      <c r="O115" s="35"/>
      <c r="P115" s="35"/>
      <c r="Q115" s="35"/>
      <c r="R115" s="35"/>
      <c r="S115" s="35"/>
      <c r="U115" s="79"/>
    </row>
    <row r="116" spans="2:21" x14ac:dyDescent="0.25">
      <c r="E116" s="68"/>
      <c r="F116" s="68" t="s">
        <v>48</v>
      </c>
      <c r="G116" s="68" t="s">
        <v>94</v>
      </c>
      <c r="J116" s="35"/>
      <c r="K116" s="379"/>
      <c r="L116" s="35"/>
      <c r="M116" s="35"/>
      <c r="N116" s="35"/>
      <c r="O116" s="35"/>
      <c r="P116" s="35"/>
      <c r="Q116" s="35"/>
      <c r="R116" s="35"/>
      <c r="S116" s="35"/>
      <c r="U116" s="79"/>
    </row>
    <row r="117" spans="2:21" x14ac:dyDescent="0.25">
      <c r="E117" s="68"/>
      <c r="F117" s="68" t="s">
        <v>49</v>
      </c>
      <c r="G117" s="68" t="s">
        <v>94</v>
      </c>
      <c r="J117" s="35"/>
      <c r="K117" s="379"/>
      <c r="L117" s="35"/>
      <c r="M117" s="35"/>
      <c r="N117" s="35"/>
      <c r="O117" s="35"/>
      <c r="P117" s="35"/>
      <c r="Q117" s="35"/>
      <c r="R117" s="35"/>
      <c r="S117" s="35"/>
      <c r="U117" s="79"/>
    </row>
    <row r="118" spans="2:21" x14ac:dyDescent="0.25">
      <c r="E118" s="68"/>
      <c r="F118" s="13" t="s">
        <v>50</v>
      </c>
      <c r="G118" s="13" t="s">
        <v>94</v>
      </c>
      <c r="H118" s="17"/>
      <c r="I118" s="17"/>
      <c r="J118" s="36"/>
      <c r="K118" s="261"/>
      <c r="L118" s="36"/>
      <c r="M118" s="36"/>
      <c r="N118" s="36"/>
      <c r="O118" s="36"/>
      <c r="P118" s="36"/>
      <c r="Q118" s="36"/>
      <c r="R118" s="36"/>
      <c r="S118" s="36"/>
      <c r="U118" s="79"/>
    </row>
    <row r="119" spans="2:21" x14ac:dyDescent="0.25">
      <c r="J119" s="380"/>
      <c r="K119" s="380"/>
      <c r="L119" s="380"/>
      <c r="M119" s="380"/>
      <c r="N119" s="380"/>
      <c r="O119" s="380"/>
      <c r="P119" s="380"/>
      <c r="Q119" s="380"/>
      <c r="R119" s="380"/>
      <c r="S119" s="380"/>
    </row>
    <row r="120" spans="2:21" x14ac:dyDescent="0.25">
      <c r="C120" s="5" t="str">
        <f ca="1">INDEX('Version control'!$H$36:$H$62,MATCH($A$1,'Version control'!$F$36:$F$62,0),1)&amp;"-F: Gross asset cost by network level"</f>
        <v>Input 502-F: Gross asset cost by network level</v>
      </c>
      <c r="D120" s="5"/>
      <c r="E120" s="5"/>
      <c r="F120" s="5"/>
      <c r="G120" s="5"/>
      <c r="H120" s="5"/>
      <c r="I120" s="5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5"/>
      <c r="U120" s="5"/>
    </row>
    <row r="121" spans="2:21" x14ac:dyDescent="0.25">
      <c r="J121" s="78"/>
      <c r="K121" s="78"/>
      <c r="L121" s="78"/>
      <c r="M121" s="78"/>
      <c r="N121" s="78"/>
      <c r="O121" s="78"/>
      <c r="P121" s="78"/>
      <c r="Q121" s="78"/>
      <c r="R121" s="78"/>
      <c r="S121" s="78"/>
    </row>
    <row r="122" spans="2:21" ht="14.85" customHeight="1" x14ac:dyDescent="0.25">
      <c r="E122" s="52" t="s">
        <v>194</v>
      </c>
      <c r="J122" s="380"/>
      <c r="K122" s="380"/>
      <c r="L122" s="380"/>
      <c r="M122" s="380"/>
      <c r="N122" s="380"/>
      <c r="O122" s="380"/>
      <c r="P122" s="380"/>
      <c r="Q122" s="380"/>
      <c r="R122" s="380"/>
      <c r="S122" s="380"/>
    </row>
    <row r="123" spans="2:21" x14ac:dyDescent="0.25">
      <c r="B123" s="499" t="s">
        <v>1266</v>
      </c>
      <c r="F123" s="14" t="s">
        <v>267</v>
      </c>
      <c r="G123" s="14" t="s">
        <v>107</v>
      </c>
      <c r="H123" s="80"/>
      <c r="I123" s="80"/>
      <c r="J123" s="206"/>
      <c r="K123" s="196"/>
      <c r="L123" s="206"/>
      <c r="M123" s="206"/>
      <c r="N123" s="206"/>
      <c r="O123" s="206"/>
      <c r="P123" s="206"/>
      <c r="Q123" s="206"/>
      <c r="R123" s="206"/>
      <c r="S123" s="206"/>
      <c r="U123" s="79"/>
    </row>
    <row r="124" spans="2:21" x14ac:dyDescent="0.25">
      <c r="B124" s="499" t="s">
        <v>1266</v>
      </c>
      <c r="F124" s="68" t="s">
        <v>43</v>
      </c>
      <c r="G124" s="68" t="s">
        <v>107</v>
      </c>
      <c r="J124" s="207"/>
      <c r="K124" s="208"/>
      <c r="L124" s="207"/>
      <c r="M124" s="207"/>
      <c r="N124" s="207"/>
      <c r="O124" s="207"/>
      <c r="P124" s="207"/>
      <c r="Q124" s="207"/>
      <c r="R124" s="207"/>
      <c r="S124" s="207"/>
      <c r="U124" s="79"/>
    </row>
    <row r="125" spans="2:21" x14ac:dyDescent="0.25">
      <c r="B125" s="499" t="s">
        <v>1266</v>
      </c>
      <c r="F125" s="68" t="s">
        <v>44</v>
      </c>
      <c r="G125" s="68" t="s">
        <v>107</v>
      </c>
      <c r="J125" s="197">
        <f t="shared" ref="J125:J132" si="16">CHOOSE(year_selection, L125,M125,N125,O125,P125,Q125,R125,S125)</f>
        <v>0</v>
      </c>
      <c r="K125" s="208"/>
      <c r="L125" s="281">
        <v>0</v>
      </c>
      <c r="M125" s="281">
        <v>0</v>
      </c>
      <c r="N125" s="281">
        <v>0</v>
      </c>
      <c r="O125" s="281">
        <v>0</v>
      </c>
      <c r="P125" s="281">
        <f>O125*'ARP_General inputs'!P$46/'ARP_General inputs'!O$46</f>
        <v>0</v>
      </c>
      <c r="Q125" s="281">
        <f>P125*'ARP_General inputs'!Q$46/'ARP_General inputs'!P$46</f>
        <v>0</v>
      </c>
      <c r="R125" s="281">
        <f>Q125*'ARP_General inputs'!R$46/'ARP_General inputs'!Q$46</f>
        <v>0</v>
      </c>
      <c r="S125" s="281">
        <f>R125*'ARP_General inputs'!S$46/'ARP_General inputs'!R$46</f>
        <v>0</v>
      </c>
      <c r="U125" s="79"/>
    </row>
    <row r="126" spans="2:21" x14ac:dyDescent="0.25">
      <c r="B126" s="499" t="s">
        <v>1266</v>
      </c>
      <c r="F126" s="68" t="s">
        <v>45</v>
      </c>
      <c r="G126" s="68" t="s">
        <v>107</v>
      </c>
      <c r="J126" s="197">
        <f t="shared" si="16"/>
        <v>0</v>
      </c>
      <c r="K126" s="208"/>
      <c r="L126" s="281">
        <v>0</v>
      </c>
      <c r="M126" s="281">
        <v>0</v>
      </c>
      <c r="N126" s="281">
        <v>0</v>
      </c>
      <c r="O126" s="281">
        <v>0</v>
      </c>
      <c r="P126" s="281">
        <f>O126*'ARP_General inputs'!P$46/'ARP_General inputs'!O$46</f>
        <v>0</v>
      </c>
      <c r="Q126" s="281">
        <f>P126*'ARP_General inputs'!Q$46/'ARP_General inputs'!P$46</f>
        <v>0</v>
      </c>
      <c r="R126" s="281">
        <f>Q126*'ARP_General inputs'!R$46/'ARP_General inputs'!Q$46</f>
        <v>0</v>
      </c>
      <c r="S126" s="281">
        <f>R126*'ARP_General inputs'!S$46/'ARP_General inputs'!R$46</f>
        <v>0</v>
      </c>
      <c r="U126" s="79"/>
    </row>
    <row r="127" spans="2:21" x14ac:dyDescent="0.25">
      <c r="B127" s="499" t="s">
        <v>1266</v>
      </c>
      <c r="F127" s="68" t="s">
        <v>46</v>
      </c>
      <c r="G127" s="68" t="s">
        <v>107</v>
      </c>
      <c r="J127" s="197">
        <f t="shared" si="16"/>
        <v>136991665.09249207</v>
      </c>
      <c r="K127" s="208"/>
      <c r="L127" s="281">
        <v>115483848.7018043</v>
      </c>
      <c r="M127" s="281">
        <v>119147095.29028343</v>
      </c>
      <c r="N127" s="281">
        <v>119147095.29028343</v>
      </c>
      <c r="O127" s="281">
        <v>136991665.09249207</v>
      </c>
      <c r="P127" s="281">
        <f>O127*'ARP_General inputs'!P$46/'ARP_General inputs'!O$46</f>
        <v>136254397.18751031</v>
      </c>
      <c r="Q127" s="281">
        <f>P127*'ARP_General inputs'!Q$46/'ARP_General inputs'!P$46</f>
        <v>137015559.802654</v>
      </c>
      <c r="R127" s="281">
        <f>Q127*'ARP_General inputs'!R$46/'ARP_General inputs'!Q$46</f>
        <v>139463913.2925159</v>
      </c>
      <c r="S127" s="281">
        <f>R127*'ARP_General inputs'!S$46/'ARP_General inputs'!R$46</f>
        <v>142253191.55836621</v>
      </c>
      <c r="U127" s="79"/>
    </row>
    <row r="128" spans="2:21" x14ac:dyDescent="0.25">
      <c r="B128" s="499" t="s">
        <v>1266</v>
      </c>
      <c r="F128" s="68" t="s">
        <v>47</v>
      </c>
      <c r="G128" s="68" t="s">
        <v>107</v>
      </c>
      <c r="J128" s="197">
        <f t="shared" si="16"/>
        <v>35103417.342067286</v>
      </c>
      <c r="K128" s="208"/>
      <c r="L128" s="281">
        <v>29592148.796136998</v>
      </c>
      <c r="M128" s="281">
        <v>30530837.100534685</v>
      </c>
      <c r="N128" s="281">
        <v>30530837.100534685</v>
      </c>
      <c r="O128" s="281">
        <v>35103417.342067286</v>
      </c>
      <c r="P128" s="281">
        <f>O128*'ARP_General inputs'!P$46/'ARP_General inputs'!O$46</f>
        <v>34914496.191689178</v>
      </c>
      <c r="Q128" s="281">
        <f>P128*'ARP_General inputs'!Q$46/'ARP_General inputs'!P$46</f>
        <v>35109540.240000643</v>
      </c>
      <c r="R128" s="281">
        <f>Q128*'ARP_General inputs'!R$46/'ARP_General inputs'!Q$46</f>
        <v>35736918.36769551</v>
      </c>
      <c r="S128" s="281">
        <f>R128*'ARP_General inputs'!S$46/'ARP_General inputs'!R$46</f>
        <v>36451656.735049419</v>
      </c>
      <c r="U128" s="79"/>
    </row>
    <row r="129" spans="2:21" x14ac:dyDescent="0.25">
      <c r="B129" s="499" t="s">
        <v>1266</v>
      </c>
      <c r="F129" s="68" t="s">
        <v>51</v>
      </c>
      <c r="G129" s="68" t="s">
        <v>107</v>
      </c>
      <c r="J129" s="197">
        <f t="shared" si="16"/>
        <v>0</v>
      </c>
      <c r="K129" s="208"/>
      <c r="L129" s="281">
        <v>0</v>
      </c>
      <c r="M129" s="281">
        <v>0</v>
      </c>
      <c r="N129" s="281">
        <v>0</v>
      </c>
      <c r="O129" s="281">
        <v>0</v>
      </c>
      <c r="P129" s="281">
        <f>O129*'ARP_General inputs'!P$46/'ARP_General inputs'!O$46</f>
        <v>0</v>
      </c>
      <c r="Q129" s="281">
        <f>P129*'ARP_General inputs'!Q$46/'ARP_General inputs'!P$46</f>
        <v>0</v>
      </c>
      <c r="R129" s="281">
        <f>Q129*'ARP_General inputs'!R$46/'ARP_General inputs'!Q$46</f>
        <v>0</v>
      </c>
      <c r="S129" s="281">
        <f>R129*'ARP_General inputs'!S$46/'ARP_General inputs'!R$46</f>
        <v>0</v>
      </c>
      <c r="U129" s="79"/>
    </row>
    <row r="130" spans="2:21" x14ac:dyDescent="0.25">
      <c r="B130" s="499" t="s">
        <v>1266</v>
      </c>
      <c r="F130" s="68" t="s">
        <v>48</v>
      </c>
      <c r="G130" s="68" t="s">
        <v>107</v>
      </c>
      <c r="J130" s="197">
        <f t="shared" si="16"/>
        <v>151015884.81289625</v>
      </c>
      <c r="K130" s="208"/>
      <c r="L130" s="281">
        <v>127306253.13245735</v>
      </c>
      <c r="M130" s="281">
        <v>131344516.51493023</v>
      </c>
      <c r="N130" s="281">
        <v>131344516.51493023</v>
      </c>
      <c r="O130" s="281">
        <v>151015884.81289625</v>
      </c>
      <c r="P130" s="281">
        <f>O130*'ARP_General inputs'!P$46/'ARP_General inputs'!O$46</f>
        <v>150203140.73142385</v>
      </c>
      <c r="Q130" s="281">
        <f>P130*'ARP_General inputs'!Q$46/'ARP_General inputs'!P$46</f>
        <v>151042225.69133592</v>
      </c>
      <c r="R130" s="281">
        <f>Q130*'ARP_General inputs'!R$46/'ARP_General inputs'!Q$46</f>
        <v>153741223.97241095</v>
      </c>
      <c r="S130" s="281">
        <f>R130*'ARP_General inputs'!S$46/'ARP_General inputs'!R$46</f>
        <v>156816048.45185918</v>
      </c>
      <c r="U130" s="79"/>
    </row>
    <row r="131" spans="2:21" x14ac:dyDescent="0.25">
      <c r="B131" s="499" t="s">
        <v>1266</v>
      </c>
      <c r="F131" s="68" t="s">
        <v>49</v>
      </c>
      <c r="G131" s="68" t="s">
        <v>107</v>
      </c>
      <c r="J131" s="197">
        <f t="shared" si="16"/>
        <v>37954567.932507738</v>
      </c>
      <c r="K131" s="208"/>
      <c r="L131" s="281">
        <v>31995666.142905347</v>
      </c>
      <c r="M131" s="281">
        <v>33010596.076066505</v>
      </c>
      <c r="N131" s="281">
        <v>33010596.076066505</v>
      </c>
      <c r="O131" s="281">
        <v>37954567.932507738</v>
      </c>
      <c r="P131" s="281">
        <f>O131*'ARP_General inputs'!P$46/'ARP_General inputs'!O$46</f>
        <v>37750302.331639282</v>
      </c>
      <c r="Q131" s="281">
        <f>P131*'ARP_General inputs'!Q$46/'ARP_General inputs'!P$46</f>
        <v>37961188.141112804</v>
      </c>
      <c r="R131" s="281">
        <f>Q131*'ARP_General inputs'!R$46/'ARP_General inputs'!Q$46</f>
        <v>38639522.832431547</v>
      </c>
      <c r="S131" s="281">
        <f>R131*'ARP_General inputs'!S$46/'ARP_General inputs'!R$46</f>
        <v>39412313.28908018</v>
      </c>
      <c r="U131" s="79"/>
    </row>
    <row r="132" spans="2:21" x14ac:dyDescent="0.25">
      <c r="B132" s="499" t="s">
        <v>1266</v>
      </c>
      <c r="F132" s="13" t="s">
        <v>50</v>
      </c>
      <c r="G132" s="13" t="s">
        <v>107</v>
      </c>
      <c r="H132" s="17"/>
      <c r="I132" s="17"/>
      <c r="J132" s="199">
        <f t="shared" si="16"/>
        <v>63840783.232054584</v>
      </c>
      <c r="K132" s="209"/>
      <c r="L132" s="282">
        <v>53817722.025625169</v>
      </c>
      <c r="M132" s="282">
        <v>55524866.261172362</v>
      </c>
      <c r="N132" s="282">
        <v>55524866.261172362</v>
      </c>
      <c r="O132" s="282">
        <v>63840783.232054584</v>
      </c>
      <c r="P132" s="282">
        <f>O132*'ARP_General inputs'!P$46/'ARP_General inputs'!O$46</f>
        <v>63497202.033343598</v>
      </c>
      <c r="Q132" s="282">
        <f>P132*'ARP_General inputs'!Q$46/'ARP_General inputs'!P$46</f>
        <v>63851918.632232457</v>
      </c>
      <c r="R132" s="282">
        <f>Q132*'ARP_General inputs'!R$46/'ARP_General inputs'!Q$46</f>
        <v>64992899.029223673</v>
      </c>
      <c r="S132" s="282">
        <f>R132*'ARP_General inputs'!S$46/'ARP_General inputs'!R$46</f>
        <v>66292757.009808145</v>
      </c>
      <c r="U132" s="79"/>
    </row>
    <row r="133" spans="2:21" x14ac:dyDescent="0.25">
      <c r="J133" s="380"/>
      <c r="K133" s="380"/>
      <c r="L133" s="380"/>
      <c r="M133" s="380"/>
      <c r="N133" s="380"/>
      <c r="O133" s="380"/>
      <c r="P133" s="380"/>
      <c r="Q133" s="380"/>
      <c r="R133" s="380"/>
      <c r="S133" s="380"/>
    </row>
    <row r="134" spans="2:21" x14ac:dyDescent="0.25">
      <c r="C134" s="5" t="str">
        <f ca="1">INDEX('Version control'!$H$36:$H$62,MATCH($A$1,'Version control'!$F$36:$F$62,0),1)&amp;"-G: Peaking probabilities, by timeband &amp; network level"</f>
        <v>Input 502-G: Peaking probabilities, by timeband &amp; network level</v>
      </c>
      <c r="D134" s="5"/>
      <c r="E134" s="5"/>
      <c r="F134" s="5"/>
      <c r="G134" s="5"/>
      <c r="H134" s="5"/>
      <c r="I134" s="5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5"/>
      <c r="U134" s="5"/>
    </row>
    <row r="135" spans="2:21" x14ac:dyDescent="0.25">
      <c r="J135" s="78"/>
      <c r="K135" s="78"/>
      <c r="L135" s="78"/>
      <c r="M135" s="78"/>
      <c r="N135" s="78"/>
      <c r="O135" s="78"/>
      <c r="P135" s="78"/>
      <c r="Q135" s="78"/>
      <c r="R135" s="78"/>
      <c r="S135" s="78"/>
    </row>
    <row r="136" spans="2:21" x14ac:dyDescent="0.25">
      <c r="C136" s="73" t="s">
        <v>623</v>
      </c>
      <c r="J136" s="380"/>
      <c r="K136" s="380"/>
      <c r="L136" s="380"/>
      <c r="M136" s="380"/>
      <c r="N136" s="380"/>
      <c r="O136" s="380"/>
      <c r="P136" s="380"/>
      <c r="Q136" s="380"/>
      <c r="R136" s="380"/>
      <c r="S136" s="380"/>
    </row>
    <row r="137" spans="2:21" x14ac:dyDescent="0.25">
      <c r="D137" s="52"/>
      <c r="J137" s="380"/>
      <c r="K137" s="380"/>
      <c r="L137" s="380"/>
      <c r="M137" s="380"/>
      <c r="N137" s="380"/>
      <c r="O137" s="380"/>
      <c r="P137" s="380"/>
      <c r="Q137" s="380"/>
      <c r="R137" s="380"/>
      <c r="S137" s="380"/>
    </row>
    <row r="138" spans="2:21" x14ac:dyDescent="0.25">
      <c r="E138" s="52" t="s">
        <v>490</v>
      </c>
      <c r="I138" t="s">
        <v>359</v>
      </c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U138" t="s">
        <v>811</v>
      </c>
    </row>
    <row r="139" spans="2:21" x14ac:dyDescent="0.25">
      <c r="F139" s="14" t="s">
        <v>267</v>
      </c>
      <c r="G139" s="14" t="s">
        <v>94</v>
      </c>
      <c r="H139" s="80"/>
      <c r="I139" s="80"/>
      <c r="J139" s="142"/>
      <c r="K139" s="378"/>
      <c r="L139" s="142"/>
      <c r="M139" s="142"/>
      <c r="N139" s="142"/>
      <c r="O139" s="142"/>
      <c r="P139" s="142"/>
      <c r="Q139" s="142"/>
      <c r="R139" s="142"/>
      <c r="S139" s="142"/>
      <c r="U139" s="79"/>
    </row>
    <row r="140" spans="2:21" x14ac:dyDescent="0.25">
      <c r="F140" s="68" t="s">
        <v>43</v>
      </c>
      <c r="G140" s="68" t="s">
        <v>94</v>
      </c>
      <c r="J140" s="157">
        <f t="shared" ref="J140:J148" si="17">CHOOSE(year_selection, L140,M140,N140,O140,P140,Q140,R140,S140)</f>
        <v>0.73908767276423848</v>
      </c>
      <c r="K140" s="379"/>
      <c r="L140" s="275">
        <v>0.73685290844250551</v>
      </c>
      <c r="M140" s="275">
        <v>0.72330232208889844</v>
      </c>
      <c r="N140" s="275">
        <v>0.74688144336878981</v>
      </c>
      <c r="O140" s="275">
        <v>0.73908767276423848</v>
      </c>
      <c r="P140" s="275">
        <f>$O140</f>
        <v>0.73908767276423848</v>
      </c>
      <c r="Q140" s="275">
        <f t="shared" ref="Q140:S148" si="18">$O140</f>
        <v>0.73908767276423848</v>
      </c>
      <c r="R140" s="275">
        <f t="shared" si="18"/>
        <v>0.73908767276423848</v>
      </c>
      <c r="S140" s="275">
        <f t="shared" si="18"/>
        <v>0.73908767276423848</v>
      </c>
      <c r="U140" s="79"/>
    </row>
    <row r="141" spans="2:21" x14ac:dyDescent="0.25">
      <c r="F141" s="68" t="s">
        <v>44</v>
      </c>
      <c r="G141" s="68" t="s">
        <v>94</v>
      </c>
      <c r="J141" s="157">
        <f t="shared" si="17"/>
        <v>0</v>
      </c>
      <c r="K141" s="379"/>
      <c r="L141" s="275">
        <v>0</v>
      </c>
      <c r="M141" s="275">
        <v>0</v>
      </c>
      <c r="N141" s="275">
        <v>0</v>
      </c>
      <c r="O141" s="275">
        <v>0</v>
      </c>
      <c r="P141" s="275">
        <f t="shared" ref="P141:P148" si="19">$O141</f>
        <v>0</v>
      </c>
      <c r="Q141" s="275">
        <f t="shared" si="18"/>
        <v>0</v>
      </c>
      <c r="R141" s="275">
        <f t="shared" si="18"/>
        <v>0</v>
      </c>
      <c r="S141" s="275">
        <f t="shared" si="18"/>
        <v>0</v>
      </c>
      <c r="U141" s="79"/>
    </row>
    <row r="142" spans="2:21" x14ac:dyDescent="0.25">
      <c r="F142" s="68" t="s">
        <v>45</v>
      </c>
      <c r="G142" s="68" t="s">
        <v>94</v>
      </c>
      <c r="J142" s="157">
        <f t="shared" si="17"/>
        <v>0</v>
      </c>
      <c r="K142" s="379"/>
      <c r="L142" s="275">
        <v>0</v>
      </c>
      <c r="M142" s="275">
        <v>0</v>
      </c>
      <c r="N142" s="275">
        <v>0</v>
      </c>
      <c r="O142" s="275">
        <v>0</v>
      </c>
      <c r="P142" s="275">
        <f t="shared" si="19"/>
        <v>0</v>
      </c>
      <c r="Q142" s="275">
        <f t="shared" si="18"/>
        <v>0</v>
      </c>
      <c r="R142" s="275">
        <f t="shared" si="18"/>
        <v>0</v>
      </c>
      <c r="S142" s="275">
        <f t="shared" si="18"/>
        <v>0</v>
      </c>
      <c r="U142" s="79"/>
    </row>
    <row r="143" spans="2:21" x14ac:dyDescent="0.25">
      <c r="F143" s="68" t="s">
        <v>46</v>
      </c>
      <c r="G143" s="68" t="s">
        <v>94</v>
      </c>
      <c r="J143" s="157">
        <f t="shared" si="17"/>
        <v>0.73908767276423848</v>
      </c>
      <c r="K143" s="379"/>
      <c r="L143" s="275">
        <v>0.73685290844250551</v>
      </c>
      <c r="M143" s="275">
        <v>0.72330232208889844</v>
      </c>
      <c r="N143" s="275">
        <v>0.74688144336878981</v>
      </c>
      <c r="O143" s="275">
        <v>0.73908767276423848</v>
      </c>
      <c r="P143" s="275">
        <f t="shared" si="19"/>
        <v>0.73908767276423848</v>
      </c>
      <c r="Q143" s="275">
        <f t="shared" si="18"/>
        <v>0.73908767276423848</v>
      </c>
      <c r="R143" s="275">
        <f t="shared" si="18"/>
        <v>0.73908767276423848</v>
      </c>
      <c r="S143" s="275">
        <f t="shared" si="18"/>
        <v>0.73908767276423848</v>
      </c>
      <c r="U143" s="79"/>
    </row>
    <row r="144" spans="2:21" x14ac:dyDescent="0.25">
      <c r="F144" s="68" t="s">
        <v>47</v>
      </c>
      <c r="G144" s="68" t="s">
        <v>94</v>
      </c>
      <c r="J144" s="157">
        <f t="shared" si="17"/>
        <v>0.59550355516188336</v>
      </c>
      <c r="K144" s="379"/>
      <c r="L144" s="275">
        <v>0.64549570804091005</v>
      </c>
      <c r="M144" s="275">
        <v>0.6033108508700914</v>
      </c>
      <c r="N144" s="275">
        <v>0.60639521652325901</v>
      </c>
      <c r="O144" s="275">
        <v>0.59550355516188336</v>
      </c>
      <c r="P144" s="275">
        <f t="shared" si="19"/>
        <v>0.59550355516188336</v>
      </c>
      <c r="Q144" s="275">
        <f t="shared" si="18"/>
        <v>0.59550355516188336</v>
      </c>
      <c r="R144" s="275">
        <f t="shared" si="18"/>
        <v>0.59550355516188336</v>
      </c>
      <c r="S144" s="275">
        <f t="shared" si="18"/>
        <v>0.59550355516188336</v>
      </c>
      <c r="U144" s="79"/>
    </row>
    <row r="145" spans="5:21" x14ac:dyDescent="0.25">
      <c r="F145" s="68" t="s">
        <v>51</v>
      </c>
      <c r="G145" s="68" t="s">
        <v>94</v>
      </c>
      <c r="J145" s="157">
        <f t="shared" si="17"/>
        <v>0</v>
      </c>
      <c r="K145" s="379"/>
      <c r="L145" s="275">
        <v>0</v>
      </c>
      <c r="M145" s="275">
        <v>0</v>
      </c>
      <c r="N145" s="275">
        <v>0</v>
      </c>
      <c r="O145" s="275">
        <v>0</v>
      </c>
      <c r="P145" s="275">
        <f t="shared" si="19"/>
        <v>0</v>
      </c>
      <c r="Q145" s="275">
        <f t="shared" si="18"/>
        <v>0</v>
      </c>
      <c r="R145" s="275">
        <f t="shared" si="18"/>
        <v>0</v>
      </c>
      <c r="S145" s="275">
        <f t="shared" si="18"/>
        <v>0</v>
      </c>
      <c r="U145" s="79"/>
    </row>
    <row r="146" spans="5:21" x14ac:dyDescent="0.25">
      <c r="F146" s="68" t="s">
        <v>48</v>
      </c>
      <c r="G146" s="68" t="s">
        <v>94</v>
      </c>
      <c r="J146" s="157">
        <f t="shared" si="17"/>
        <v>0.59550355516188336</v>
      </c>
      <c r="K146" s="379"/>
      <c r="L146" s="275">
        <v>0.64549570804091005</v>
      </c>
      <c r="M146" s="275">
        <v>0.6033108508700914</v>
      </c>
      <c r="N146" s="275">
        <v>0.60639521652325901</v>
      </c>
      <c r="O146" s="275">
        <v>0.59550355516188336</v>
      </c>
      <c r="P146" s="275">
        <f t="shared" si="19"/>
        <v>0.59550355516188336</v>
      </c>
      <c r="Q146" s="275">
        <f t="shared" si="18"/>
        <v>0.59550355516188336</v>
      </c>
      <c r="R146" s="275">
        <f t="shared" si="18"/>
        <v>0.59550355516188336</v>
      </c>
      <c r="S146" s="275">
        <f t="shared" si="18"/>
        <v>0.59550355516188336</v>
      </c>
      <c r="U146" s="79"/>
    </row>
    <row r="147" spans="5:21" x14ac:dyDescent="0.25">
      <c r="F147" s="68" t="s">
        <v>49</v>
      </c>
      <c r="G147" s="68" t="s">
        <v>94</v>
      </c>
      <c r="J147" s="157">
        <f t="shared" si="17"/>
        <v>0.59550355516188336</v>
      </c>
      <c r="K147" s="379"/>
      <c r="L147" s="275">
        <v>0.64549570804091005</v>
      </c>
      <c r="M147" s="275">
        <v>0.6033108508700914</v>
      </c>
      <c r="N147" s="275">
        <v>0.60639521652325901</v>
      </c>
      <c r="O147" s="275">
        <v>0.59550355516188336</v>
      </c>
      <c r="P147" s="275">
        <f t="shared" si="19"/>
        <v>0.59550355516188336</v>
      </c>
      <c r="Q147" s="275">
        <f t="shared" si="18"/>
        <v>0.59550355516188336</v>
      </c>
      <c r="R147" s="275">
        <f t="shared" si="18"/>
        <v>0.59550355516188336</v>
      </c>
      <c r="S147" s="275">
        <f t="shared" si="18"/>
        <v>0.59550355516188336</v>
      </c>
      <c r="U147" s="79"/>
    </row>
    <row r="148" spans="5:21" x14ac:dyDescent="0.25">
      <c r="F148" s="13" t="s">
        <v>50</v>
      </c>
      <c r="G148" s="13" t="s">
        <v>94</v>
      </c>
      <c r="H148" s="17"/>
      <c r="I148" s="17"/>
      <c r="J148" s="158">
        <f t="shared" si="17"/>
        <v>0.59550355516188336</v>
      </c>
      <c r="K148" s="261"/>
      <c r="L148" s="276">
        <v>0.64549570804091005</v>
      </c>
      <c r="M148" s="276">
        <v>0.6033108508700914</v>
      </c>
      <c r="N148" s="276">
        <v>0.60639521652325901</v>
      </c>
      <c r="O148" s="276">
        <v>0.59550355516188336</v>
      </c>
      <c r="P148" s="276">
        <f t="shared" si="19"/>
        <v>0.59550355516188336</v>
      </c>
      <c r="Q148" s="276">
        <f t="shared" si="18"/>
        <v>0.59550355516188336</v>
      </c>
      <c r="R148" s="276">
        <f t="shared" si="18"/>
        <v>0.59550355516188336</v>
      </c>
      <c r="S148" s="276">
        <f t="shared" si="18"/>
        <v>0.59550355516188336</v>
      </c>
      <c r="U148" s="79"/>
    </row>
    <row r="149" spans="5:21" x14ac:dyDescent="0.25">
      <c r="E149" s="52"/>
      <c r="J149" s="380"/>
      <c r="K149" s="380"/>
      <c r="L149" s="380"/>
      <c r="M149" s="380"/>
      <c r="N149" s="380"/>
      <c r="O149" s="380"/>
      <c r="P149" s="380"/>
      <c r="Q149" s="380"/>
      <c r="R149" s="380"/>
      <c r="S149" s="380"/>
    </row>
    <row r="150" spans="5:21" x14ac:dyDescent="0.25">
      <c r="E150" s="52" t="s">
        <v>491</v>
      </c>
      <c r="I150" t="s">
        <v>359</v>
      </c>
      <c r="J150" s="380"/>
      <c r="K150" s="380"/>
      <c r="L150" s="380"/>
      <c r="M150" s="380"/>
      <c r="N150" s="380"/>
      <c r="O150" s="380"/>
      <c r="P150" s="380"/>
      <c r="Q150" s="380"/>
      <c r="R150" s="380"/>
      <c r="S150" s="380"/>
      <c r="U150" t="s">
        <v>811</v>
      </c>
    </row>
    <row r="151" spans="5:21" x14ac:dyDescent="0.25">
      <c r="F151" s="14" t="s">
        <v>267</v>
      </c>
      <c r="G151" s="14" t="s">
        <v>94</v>
      </c>
      <c r="H151" s="80"/>
      <c r="I151" s="80"/>
      <c r="J151" s="142"/>
      <c r="K151" s="378"/>
      <c r="L151" s="142"/>
      <c r="M151" s="142"/>
      <c r="N151" s="142"/>
      <c r="O151" s="142"/>
      <c r="P151" s="142"/>
      <c r="Q151" s="142"/>
      <c r="R151" s="142"/>
      <c r="S151" s="142"/>
      <c r="U151" s="79"/>
    </row>
    <row r="152" spans="5:21" x14ac:dyDescent="0.25">
      <c r="F152" s="68" t="s">
        <v>43</v>
      </c>
      <c r="G152" s="68" t="s">
        <v>94</v>
      </c>
      <c r="J152" s="157">
        <f t="shared" ref="J152:J160" si="20">CHOOSE(year_selection, L152,M152,N152,O152,P152,Q152,R152,S152)</f>
        <v>0.25617846550417606</v>
      </c>
      <c r="K152" s="379"/>
      <c r="L152" s="275">
        <v>0.25763649230764868</v>
      </c>
      <c r="M152" s="275">
        <v>0.27303590095619296</v>
      </c>
      <c r="N152" s="275">
        <v>0.24841131547519432</v>
      </c>
      <c r="O152" s="275">
        <v>0.25617846550417606</v>
      </c>
      <c r="P152" s="275">
        <f>$O152</f>
        <v>0.25617846550417606</v>
      </c>
      <c r="Q152" s="275">
        <f t="shared" ref="Q152:S160" si="21">$O152</f>
        <v>0.25617846550417606</v>
      </c>
      <c r="R152" s="275">
        <f t="shared" si="21"/>
        <v>0.25617846550417606</v>
      </c>
      <c r="S152" s="275">
        <f t="shared" si="21"/>
        <v>0.25617846550417606</v>
      </c>
      <c r="U152" s="79"/>
    </row>
    <row r="153" spans="5:21" x14ac:dyDescent="0.25">
      <c r="F153" s="68" t="s">
        <v>44</v>
      </c>
      <c r="G153" s="68" t="s">
        <v>94</v>
      </c>
      <c r="J153" s="157">
        <f t="shared" si="20"/>
        <v>0</v>
      </c>
      <c r="K153" s="379"/>
      <c r="L153" s="275">
        <v>0</v>
      </c>
      <c r="M153" s="275">
        <v>0</v>
      </c>
      <c r="N153" s="275">
        <v>0</v>
      </c>
      <c r="O153" s="275">
        <v>0</v>
      </c>
      <c r="P153" s="275">
        <f t="shared" ref="P153:P160" si="22">$O153</f>
        <v>0</v>
      </c>
      <c r="Q153" s="275">
        <f t="shared" si="21"/>
        <v>0</v>
      </c>
      <c r="R153" s="275">
        <f t="shared" si="21"/>
        <v>0</v>
      </c>
      <c r="S153" s="275">
        <f t="shared" si="21"/>
        <v>0</v>
      </c>
      <c r="U153" s="79"/>
    </row>
    <row r="154" spans="5:21" x14ac:dyDescent="0.25">
      <c r="F154" s="68" t="s">
        <v>45</v>
      </c>
      <c r="G154" s="68" t="s">
        <v>94</v>
      </c>
      <c r="J154" s="157">
        <f t="shared" si="20"/>
        <v>0</v>
      </c>
      <c r="K154" s="379"/>
      <c r="L154" s="275">
        <v>0</v>
      </c>
      <c r="M154" s="275">
        <v>0</v>
      </c>
      <c r="N154" s="275">
        <v>0</v>
      </c>
      <c r="O154" s="275">
        <v>0</v>
      </c>
      <c r="P154" s="275">
        <f t="shared" si="22"/>
        <v>0</v>
      </c>
      <c r="Q154" s="275">
        <f t="shared" si="21"/>
        <v>0</v>
      </c>
      <c r="R154" s="275">
        <f t="shared" si="21"/>
        <v>0</v>
      </c>
      <c r="S154" s="275">
        <f t="shared" si="21"/>
        <v>0</v>
      </c>
      <c r="U154" s="79"/>
    </row>
    <row r="155" spans="5:21" x14ac:dyDescent="0.25">
      <c r="F155" s="68" t="s">
        <v>46</v>
      </c>
      <c r="G155" s="68" t="s">
        <v>94</v>
      </c>
      <c r="J155" s="157">
        <f t="shared" si="20"/>
        <v>0.25617846550417606</v>
      </c>
      <c r="K155" s="379"/>
      <c r="L155" s="275">
        <v>0.25763649230764868</v>
      </c>
      <c r="M155" s="275">
        <v>0.27303590095619296</v>
      </c>
      <c r="N155" s="275">
        <v>0.24841131547519432</v>
      </c>
      <c r="O155" s="275">
        <v>0.25617846550417606</v>
      </c>
      <c r="P155" s="275">
        <f t="shared" si="22"/>
        <v>0.25617846550417606</v>
      </c>
      <c r="Q155" s="275">
        <f t="shared" si="21"/>
        <v>0.25617846550417606</v>
      </c>
      <c r="R155" s="275">
        <f t="shared" si="21"/>
        <v>0.25617846550417606</v>
      </c>
      <c r="S155" s="275">
        <f t="shared" si="21"/>
        <v>0.25617846550417606</v>
      </c>
      <c r="U155" s="79"/>
    </row>
    <row r="156" spans="5:21" x14ac:dyDescent="0.25">
      <c r="F156" s="68" t="s">
        <v>47</v>
      </c>
      <c r="G156" s="68" t="s">
        <v>94</v>
      </c>
      <c r="J156" s="157">
        <f t="shared" si="20"/>
        <v>0.39398042542826833</v>
      </c>
      <c r="K156" s="379"/>
      <c r="L156" s="275">
        <v>0.33912381234136874</v>
      </c>
      <c r="M156" s="275">
        <v>0.38264479070225232</v>
      </c>
      <c r="N156" s="275">
        <v>0.38240522555799866</v>
      </c>
      <c r="O156" s="275">
        <v>0.39398042542826833</v>
      </c>
      <c r="P156" s="275">
        <f t="shared" si="22"/>
        <v>0.39398042542826833</v>
      </c>
      <c r="Q156" s="275">
        <f t="shared" si="21"/>
        <v>0.39398042542826833</v>
      </c>
      <c r="R156" s="275">
        <f t="shared" si="21"/>
        <v>0.39398042542826833</v>
      </c>
      <c r="S156" s="275">
        <f t="shared" si="21"/>
        <v>0.39398042542826833</v>
      </c>
      <c r="U156" s="79"/>
    </row>
    <row r="157" spans="5:21" x14ac:dyDescent="0.25">
      <c r="F157" s="68" t="s">
        <v>51</v>
      </c>
      <c r="G157" s="68" t="s">
        <v>94</v>
      </c>
      <c r="J157" s="157">
        <f t="shared" si="20"/>
        <v>0</v>
      </c>
      <c r="K157" s="379"/>
      <c r="L157" s="275">
        <v>0</v>
      </c>
      <c r="M157" s="275">
        <v>0</v>
      </c>
      <c r="N157" s="275">
        <v>0</v>
      </c>
      <c r="O157" s="275">
        <v>0</v>
      </c>
      <c r="P157" s="275">
        <f t="shared" si="22"/>
        <v>0</v>
      </c>
      <c r="Q157" s="275">
        <f t="shared" si="21"/>
        <v>0</v>
      </c>
      <c r="R157" s="275">
        <f t="shared" si="21"/>
        <v>0</v>
      </c>
      <c r="S157" s="275">
        <f t="shared" si="21"/>
        <v>0</v>
      </c>
      <c r="U157" s="79"/>
    </row>
    <row r="158" spans="5:21" x14ac:dyDescent="0.25">
      <c r="F158" s="68" t="s">
        <v>48</v>
      </c>
      <c r="G158" s="68" t="s">
        <v>94</v>
      </c>
      <c r="J158" s="157">
        <f t="shared" si="20"/>
        <v>0.39398042542826833</v>
      </c>
      <c r="K158" s="379"/>
      <c r="L158" s="275">
        <v>0.33912381234136874</v>
      </c>
      <c r="M158" s="275">
        <v>0.38264479070225232</v>
      </c>
      <c r="N158" s="275">
        <v>0.38240522555799866</v>
      </c>
      <c r="O158" s="275">
        <v>0.39398042542826833</v>
      </c>
      <c r="P158" s="275">
        <f t="shared" si="22"/>
        <v>0.39398042542826833</v>
      </c>
      <c r="Q158" s="275">
        <f t="shared" si="21"/>
        <v>0.39398042542826833</v>
      </c>
      <c r="R158" s="275">
        <f t="shared" si="21"/>
        <v>0.39398042542826833</v>
      </c>
      <c r="S158" s="275">
        <f t="shared" si="21"/>
        <v>0.39398042542826833</v>
      </c>
      <c r="U158" s="79"/>
    </row>
    <row r="159" spans="5:21" x14ac:dyDescent="0.25">
      <c r="F159" s="68" t="s">
        <v>49</v>
      </c>
      <c r="G159" s="68" t="s">
        <v>94</v>
      </c>
      <c r="J159" s="157">
        <f t="shared" si="20"/>
        <v>0.39398042542826833</v>
      </c>
      <c r="K159" s="379"/>
      <c r="L159" s="275">
        <v>0.33912381234136874</v>
      </c>
      <c r="M159" s="275">
        <v>0.38264479070225232</v>
      </c>
      <c r="N159" s="275">
        <v>0.38240522555799866</v>
      </c>
      <c r="O159" s="275">
        <v>0.39398042542826833</v>
      </c>
      <c r="P159" s="275">
        <f t="shared" si="22"/>
        <v>0.39398042542826833</v>
      </c>
      <c r="Q159" s="275">
        <f t="shared" si="21"/>
        <v>0.39398042542826833</v>
      </c>
      <c r="R159" s="275">
        <f t="shared" si="21"/>
        <v>0.39398042542826833</v>
      </c>
      <c r="S159" s="275">
        <f t="shared" si="21"/>
        <v>0.39398042542826833</v>
      </c>
      <c r="U159" s="79"/>
    </row>
    <row r="160" spans="5:21" x14ac:dyDescent="0.25">
      <c r="F160" s="13" t="s">
        <v>50</v>
      </c>
      <c r="G160" s="13" t="s">
        <v>94</v>
      </c>
      <c r="H160" s="17"/>
      <c r="I160" s="17"/>
      <c r="J160" s="158">
        <f t="shared" si="20"/>
        <v>0.39398042542826833</v>
      </c>
      <c r="K160" s="261"/>
      <c r="L160" s="276">
        <v>0.33912381234136874</v>
      </c>
      <c r="M160" s="276">
        <v>0.38264479070225232</v>
      </c>
      <c r="N160" s="276">
        <v>0.38240522555799866</v>
      </c>
      <c r="O160" s="276">
        <v>0.39398042542826833</v>
      </c>
      <c r="P160" s="276">
        <f t="shared" si="22"/>
        <v>0.39398042542826833</v>
      </c>
      <c r="Q160" s="276">
        <f t="shared" si="21"/>
        <v>0.39398042542826833</v>
      </c>
      <c r="R160" s="276">
        <f t="shared" si="21"/>
        <v>0.39398042542826833</v>
      </c>
      <c r="S160" s="276">
        <f t="shared" si="21"/>
        <v>0.39398042542826833</v>
      </c>
      <c r="U160" s="79"/>
    </row>
    <row r="161" spans="5:21" x14ac:dyDescent="0.25">
      <c r="E161" s="52"/>
      <c r="J161" s="380"/>
      <c r="K161" s="380"/>
      <c r="L161" s="380"/>
      <c r="M161" s="380"/>
      <c r="N161" s="380"/>
      <c r="O161" s="380"/>
      <c r="P161" s="380"/>
      <c r="Q161" s="380"/>
      <c r="R161" s="380"/>
      <c r="S161" s="380"/>
    </row>
    <row r="162" spans="5:21" x14ac:dyDescent="0.25">
      <c r="E162" s="52" t="s">
        <v>492</v>
      </c>
      <c r="I162" t="s">
        <v>359</v>
      </c>
      <c r="J162" s="380"/>
      <c r="K162" s="380"/>
      <c r="L162" s="380"/>
      <c r="M162" s="380"/>
      <c r="N162" s="380"/>
      <c r="O162" s="380"/>
      <c r="P162" s="380"/>
      <c r="Q162" s="380"/>
      <c r="R162" s="380"/>
      <c r="S162" s="380"/>
      <c r="U162" t="s">
        <v>811</v>
      </c>
    </row>
    <row r="163" spans="5:21" x14ac:dyDescent="0.25">
      <c r="F163" s="14" t="s">
        <v>267</v>
      </c>
      <c r="G163" s="14" t="s">
        <v>94</v>
      </c>
      <c r="H163" s="80"/>
      <c r="I163" s="80"/>
      <c r="J163" s="142"/>
      <c r="K163" s="378"/>
      <c r="L163" s="142"/>
      <c r="M163" s="142"/>
      <c r="N163" s="142"/>
      <c r="O163" s="142"/>
      <c r="P163" s="142"/>
      <c r="Q163" s="142"/>
      <c r="R163" s="142"/>
      <c r="S163" s="142"/>
      <c r="U163" s="79"/>
    </row>
    <row r="164" spans="5:21" x14ac:dyDescent="0.25">
      <c r="F164" s="68" t="s">
        <v>43</v>
      </c>
      <c r="G164" s="68" t="s">
        <v>94</v>
      </c>
      <c r="J164" s="157">
        <f t="shared" ref="J164:J172" si="23">CHOOSE(year_selection, L164,M164,N164,O164,P164,Q164,R164,S164)</f>
        <v>4.7341428587617208E-3</v>
      </c>
      <c r="K164" s="379"/>
      <c r="L164" s="275">
        <v>5.5105992498457714E-3</v>
      </c>
      <c r="M164" s="275">
        <v>3.6617769549086403E-3</v>
      </c>
      <c r="N164" s="275">
        <v>4.707522283192116E-3</v>
      </c>
      <c r="O164" s="275">
        <v>4.7341428587617208E-3</v>
      </c>
      <c r="P164" s="275">
        <f>$O164</f>
        <v>4.7341428587617208E-3</v>
      </c>
      <c r="Q164" s="275">
        <f t="shared" ref="Q164:S172" si="24">$O164</f>
        <v>4.7341428587617208E-3</v>
      </c>
      <c r="R164" s="275">
        <f t="shared" si="24"/>
        <v>4.7341428587617208E-3</v>
      </c>
      <c r="S164" s="275">
        <f t="shared" si="24"/>
        <v>4.7341428587617208E-3</v>
      </c>
      <c r="U164" s="79"/>
    </row>
    <row r="165" spans="5:21" x14ac:dyDescent="0.25">
      <c r="F165" s="68" t="s">
        <v>44</v>
      </c>
      <c r="G165" s="68" t="s">
        <v>94</v>
      </c>
      <c r="J165" s="157">
        <f t="shared" si="23"/>
        <v>0</v>
      </c>
      <c r="K165" s="379"/>
      <c r="L165" s="275">
        <v>0</v>
      </c>
      <c r="M165" s="275">
        <v>0</v>
      </c>
      <c r="N165" s="275">
        <v>0</v>
      </c>
      <c r="O165" s="275">
        <v>0</v>
      </c>
      <c r="P165" s="275">
        <f t="shared" ref="P165:P172" si="25">$O165</f>
        <v>0</v>
      </c>
      <c r="Q165" s="275">
        <f t="shared" si="24"/>
        <v>0</v>
      </c>
      <c r="R165" s="275">
        <f t="shared" si="24"/>
        <v>0</v>
      </c>
      <c r="S165" s="275">
        <f t="shared" si="24"/>
        <v>0</v>
      </c>
      <c r="U165" s="79"/>
    </row>
    <row r="166" spans="5:21" x14ac:dyDescent="0.25">
      <c r="F166" s="68" t="s">
        <v>45</v>
      </c>
      <c r="G166" s="68" t="s">
        <v>94</v>
      </c>
      <c r="J166" s="157">
        <f t="shared" si="23"/>
        <v>0</v>
      </c>
      <c r="K166" s="379"/>
      <c r="L166" s="275">
        <v>0</v>
      </c>
      <c r="M166" s="275">
        <v>0</v>
      </c>
      <c r="N166" s="275">
        <v>0</v>
      </c>
      <c r="O166" s="275">
        <v>0</v>
      </c>
      <c r="P166" s="275">
        <f t="shared" si="25"/>
        <v>0</v>
      </c>
      <c r="Q166" s="275">
        <f t="shared" si="24"/>
        <v>0</v>
      </c>
      <c r="R166" s="275">
        <f t="shared" si="24"/>
        <v>0</v>
      </c>
      <c r="S166" s="275">
        <f t="shared" si="24"/>
        <v>0</v>
      </c>
      <c r="U166" s="79"/>
    </row>
    <row r="167" spans="5:21" x14ac:dyDescent="0.25">
      <c r="F167" s="68" t="s">
        <v>46</v>
      </c>
      <c r="G167" s="68" t="s">
        <v>94</v>
      </c>
      <c r="J167" s="157">
        <f t="shared" si="23"/>
        <v>4.7341428587617208E-3</v>
      </c>
      <c r="K167" s="379"/>
      <c r="L167" s="275">
        <v>5.5105992498457714E-3</v>
      </c>
      <c r="M167" s="275">
        <v>3.6617769549086403E-3</v>
      </c>
      <c r="N167" s="275">
        <v>4.707522283192116E-3</v>
      </c>
      <c r="O167" s="275">
        <v>4.7341428587617208E-3</v>
      </c>
      <c r="P167" s="275">
        <f t="shared" si="25"/>
        <v>4.7341428587617208E-3</v>
      </c>
      <c r="Q167" s="275">
        <f t="shared" si="24"/>
        <v>4.7341428587617208E-3</v>
      </c>
      <c r="R167" s="275">
        <f t="shared" si="24"/>
        <v>4.7341428587617208E-3</v>
      </c>
      <c r="S167" s="275">
        <f t="shared" si="24"/>
        <v>4.7341428587617208E-3</v>
      </c>
      <c r="U167" s="79"/>
    </row>
    <row r="168" spans="5:21" x14ac:dyDescent="0.25">
      <c r="F168" s="68" t="s">
        <v>47</v>
      </c>
      <c r="G168" s="68" t="s">
        <v>94</v>
      </c>
      <c r="J168" s="157">
        <f t="shared" si="23"/>
        <v>1.051601940984799E-2</v>
      </c>
      <c r="K168" s="379"/>
      <c r="L168" s="275">
        <v>1.5380479617721122E-2</v>
      </c>
      <c r="M168" s="275">
        <v>1.4044358427656306E-2</v>
      </c>
      <c r="N168" s="275">
        <v>1.1199557918742201E-2</v>
      </c>
      <c r="O168" s="275">
        <v>1.051601940984799E-2</v>
      </c>
      <c r="P168" s="275">
        <f t="shared" si="25"/>
        <v>1.051601940984799E-2</v>
      </c>
      <c r="Q168" s="275">
        <f t="shared" si="24"/>
        <v>1.051601940984799E-2</v>
      </c>
      <c r="R168" s="275">
        <f t="shared" si="24"/>
        <v>1.051601940984799E-2</v>
      </c>
      <c r="S168" s="275">
        <f t="shared" si="24"/>
        <v>1.051601940984799E-2</v>
      </c>
      <c r="U168" s="79"/>
    </row>
    <row r="169" spans="5:21" x14ac:dyDescent="0.25">
      <c r="F169" s="68" t="s">
        <v>51</v>
      </c>
      <c r="G169" s="68" t="s">
        <v>94</v>
      </c>
      <c r="J169" s="157">
        <f t="shared" si="23"/>
        <v>0</v>
      </c>
      <c r="K169" s="379"/>
      <c r="L169" s="275">
        <v>0</v>
      </c>
      <c r="M169" s="275">
        <v>0</v>
      </c>
      <c r="N169" s="275">
        <v>0</v>
      </c>
      <c r="O169" s="275">
        <v>0</v>
      </c>
      <c r="P169" s="275">
        <f t="shared" si="25"/>
        <v>0</v>
      </c>
      <c r="Q169" s="275">
        <f t="shared" si="24"/>
        <v>0</v>
      </c>
      <c r="R169" s="275">
        <f t="shared" si="24"/>
        <v>0</v>
      </c>
      <c r="S169" s="275">
        <f t="shared" si="24"/>
        <v>0</v>
      </c>
      <c r="U169" s="79"/>
    </row>
    <row r="170" spans="5:21" x14ac:dyDescent="0.25">
      <c r="F170" s="68" t="s">
        <v>48</v>
      </c>
      <c r="G170" s="68" t="s">
        <v>94</v>
      </c>
      <c r="J170" s="157">
        <f t="shared" si="23"/>
        <v>1.051601940984799E-2</v>
      </c>
      <c r="K170" s="379"/>
      <c r="L170" s="275">
        <v>1.5380479617721122E-2</v>
      </c>
      <c r="M170" s="275">
        <v>1.4044358427656306E-2</v>
      </c>
      <c r="N170" s="275">
        <v>1.1199557918742201E-2</v>
      </c>
      <c r="O170" s="275">
        <v>1.051601940984799E-2</v>
      </c>
      <c r="P170" s="275">
        <f t="shared" si="25"/>
        <v>1.051601940984799E-2</v>
      </c>
      <c r="Q170" s="275">
        <f t="shared" si="24"/>
        <v>1.051601940984799E-2</v>
      </c>
      <c r="R170" s="275">
        <f t="shared" si="24"/>
        <v>1.051601940984799E-2</v>
      </c>
      <c r="S170" s="275">
        <f t="shared" si="24"/>
        <v>1.051601940984799E-2</v>
      </c>
      <c r="U170" s="79"/>
    </row>
    <row r="171" spans="5:21" x14ac:dyDescent="0.25">
      <c r="F171" s="68" t="s">
        <v>49</v>
      </c>
      <c r="G171" s="68" t="s">
        <v>94</v>
      </c>
      <c r="J171" s="157">
        <f t="shared" si="23"/>
        <v>1.051601940984799E-2</v>
      </c>
      <c r="K171" s="379"/>
      <c r="L171" s="275">
        <v>1.5380479617721122E-2</v>
      </c>
      <c r="M171" s="275">
        <v>1.4044358427656306E-2</v>
      </c>
      <c r="N171" s="275">
        <v>1.1199557918742201E-2</v>
      </c>
      <c r="O171" s="275">
        <v>1.051601940984799E-2</v>
      </c>
      <c r="P171" s="275">
        <f t="shared" si="25"/>
        <v>1.051601940984799E-2</v>
      </c>
      <c r="Q171" s="275">
        <f t="shared" si="24"/>
        <v>1.051601940984799E-2</v>
      </c>
      <c r="R171" s="275">
        <f t="shared" si="24"/>
        <v>1.051601940984799E-2</v>
      </c>
      <c r="S171" s="275">
        <f t="shared" si="24"/>
        <v>1.051601940984799E-2</v>
      </c>
      <c r="U171" s="79"/>
    </row>
    <row r="172" spans="5:21" x14ac:dyDescent="0.25">
      <c r="F172" s="13" t="s">
        <v>50</v>
      </c>
      <c r="G172" s="13" t="s">
        <v>94</v>
      </c>
      <c r="H172" s="17"/>
      <c r="I172" s="17"/>
      <c r="J172" s="158">
        <f t="shared" si="23"/>
        <v>1.051601940984799E-2</v>
      </c>
      <c r="K172" s="261"/>
      <c r="L172" s="276">
        <v>1.5380479617721122E-2</v>
      </c>
      <c r="M172" s="276">
        <v>1.4044358427656306E-2</v>
      </c>
      <c r="N172" s="276">
        <v>1.1199557918742201E-2</v>
      </c>
      <c r="O172" s="276">
        <v>1.051601940984799E-2</v>
      </c>
      <c r="P172" s="276">
        <f t="shared" si="25"/>
        <v>1.051601940984799E-2</v>
      </c>
      <c r="Q172" s="276">
        <f t="shared" si="24"/>
        <v>1.051601940984799E-2</v>
      </c>
      <c r="R172" s="276">
        <f t="shared" si="24"/>
        <v>1.051601940984799E-2</v>
      </c>
      <c r="S172" s="276">
        <f t="shared" si="24"/>
        <v>1.051601940984799E-2</v>
      </c>
      <c r="U172" s="79"/>
    </row>
    <row r="173" spans="5:21" x14ac:dyDescent="0.25">
      <c r="J173" s="380"/>
      <c r="K173" s="380"/>
      <c r="L173" s="380"/>
      <c r="M173" s="380"/>
      <c r="N173" s="380"/>
      <c r="O173" s="380"/>
      <c r="P173" s="380"/>
      <c r="Q173" s="380"/>
      <c r="R173" s="380"/>
      <c r="S173" s="380"/>
    </row>
    <row r="174" spans="5:21" x14ac:dyDescent="0.25">
      <c r="E174" s="52" t="s">
        <v>493</v>
      </c>
      <c r="J174" s="380"/>
      <c r="K174" s="380"/>
      <c r="L174" s="380"/>
      <c r="M174" s="380"/>
      <c r="N174" s="380"/>
      <c r="O174" s="380"/>
      <c r="P174" s="380"/>
      <c r="Q174" s="380"/>
      <c r="R174" s="380"/>
      <c r="S174" s="380"/>
    </row>
    <row r="175" spans="5:21" x14ac:dyDescent="0.25">
      <c r="F175" s="14" t="s">
        <v>267</v>
      </c>
      <c r="G175" s="14" t="s">
        <v>94</v>
      </c>
      <c r="H175" s="80"/>
      <c r="I175" s="80"/>
      <c r="J175" s="142"/>
      <c r="K175" s="378"/>
      <c r="L175" s="142"/>
      <c r="M175" s="142"/>
      <c r="N175" s="142"/>
      <c r="O175" s="142"/>
      <c r="P175" s="142"/>
      <c r="Q175" s="142"/>
      <c r="R175" s="142"/>
      <c r="S175" s="142"/>
      <c r="U175" s="79"/>
    </row>
    <row r="176" spans="5:21" x14ac:dyDescent="0.25">
      <c r="F176" s="68" t="s">
        <v>43</v>
      </c>
      <c r="G176" s="68" t="s">
        <v>94</v>
      </c>
      <c r="J176" s="157">
        <f t="shared" ref="J176:J184" si="26">CHOOSE(year_selection, L176,M176,N176,O176,P176,Q176,R176,S176)</f>
        <v>0.66927169570754697</v>
      </c>
      <c r="K176" s="379"/>
      <c r="L176" s="275">
        <v>0.67055113994438198</v>
      </c>
      <c r="M176" s="275">
        <v>0.63567976421838512</v>
      </c>
      <c r="N176" s="275">
        <v>0.67272518671634174</v>
      </c>
      <c r="O176" s="275">
        <v>0.66927169570754697</v>
      </c>
      <c r="P176" s="275">
        <f>$O176</f>
        <v>0.66927169570754697</v>
      </c>
      <c r="Q176" s="275">
        <f t="shared" ref="Q176:S184" si="27">$O176</f>
        <v>0.66927169570754697</v>
      </c>
      <c r="R176" s="275">
        <f t="shared" si="27"/>
        <v>0.66927169570754697</v>
      </c>
      <c r="S176" s="275">
        <f t="shared" si="27"/>
        <v>0.66927169570754697</v>
      </c>
      <c r="U176" s="79"/>
    </row>
    <row r="177" spans="2:27" x14ac:dyDescent="0.25">
      <c r="F177" s="68" t="s">
        <v>44</v>
      </c>
      <c r="G177" s="68" t="s">
        <v>94</v>
      </c>
      <c r="J177" s="157">
        <f t="shared" si="26"/>
        <v>0</v>
      </c>
      <c r="K177" s="379"/>
      <c r="L177" s="275">
        <v>0</v>
      </c>
      <c r="M177" s="275">
        <v>0</v>
      </c>
      <c r="N177" s="275">
        <v>0</v>
      </c>
      <c r="O177" s="275">
        <v>0</v>
      </c>
      <c r="P177" s="275">
        <f t="shared" ref="P177:P184" si="28">$O177</f>
        <v>0</v>
      </c>
      <c r="Q177" s="275">
        <f t="shared" si="27"/>
        <v>0</v>
      </c>
      <c r="R177" s="275">
        <f t="shared" si="27"/>
        <v>0</v>
      </c>
      <c r="S177" s="275">
        <f t="shared" si="27"/>
        <v>0</v>
      </c>
      <c r="U177" s="79"/>
    </row>
    <row r="178" spans="2:27" x14ac:dyDescent="0.25">
      <c r="F178" s="68" t="s">
        <v>45</v>
      </c>
      <c r="G178" s="68" t="s">
        <v>94</v>
      </c>
      <c r="J178" s="157">
        <f t="shared" si="26"/>
        <v>0</v>
      </c>
      <c r="K178" s="379"/>
      <c r="L178" s="275">
        <v>0</v>
      </c>
      <c r="M178" s="275">
        <v>0</v>
      </c>
      <c r="N178" s="275">
        <v>0</v>
      </c>
      <c r="O178" s="275">
        <v>0</v>
      </c>
      <c r="P178" s="275">
        <f t="shared" si="28"/>
        <v>0</v>
      </c>
      <c r="Q178" s="275">
        <f t="shared" si="27"/>
        <v>0</v>
      </c>
      <c r="R178" s="275">
        <f t="shared" si="27"/>
        <v>0</v>
      </c>
      <c r="S178" s="275">
        <f t="shared" si="27"/>
        <v>0</v>
      </c>
      <c r="U178" s="79"/>
    </row>
    <row r="179" spans="2:27" x14ac:dyDescent="0.25">
      <c r="F179" s="68" t="s">
        <v>46</v>
      </c>
      <c r="G179" s="68" t="s">
        <v>94</v>
      </c>
      <c r="J179" s="157">
        <f t="shared" si="26"/>
        <v>0.66927169570754697</v>
      </c>
      <c r="K179" s="379"/>
      <c r="L179" s="275">
        <v>0.67055113994438198</v>
      </c>
      <c r="M179" s="275">
        <v>0.63567976421838512</v>
      </c>
      <c r="N179" s="275">
        <v>0.67272518671634174</v>
      </c>
      <c r="O179" s="275">
        <v>0.66927169570754697</v>
      </c>
      <c r="P179" s="275">
        <f t="shared" si="28"/>
        <v>0.66927169570754697</v>
      </c>
      <c r="Q179" s="275">
        <f t="shared" si="27"/>
        <v>0.66927169570754697</v>
      </c>
      <c r="R179" s="275">
        <f t="shared" si="27"/>
        <v>0.66927169570754697</v>
      </c>
      <c r="S179" s="275">
        <f>$O179</f>
        <v>0.66927169570754697</v>
      </c>
      <c r="U179" s="79"/>
    </row>
    <row r="180" spans="2:27" x14ac:dyDescent="0.25">
      <c r="F180" s="68" t="s">
        <v>47</v>
      </c>
      <c r="G180" s="68" t="s">
        <v>94</v>
      </c>
      <c r="J180" s="157">
        <f t="shared" si="26"/>
        <v>0.56487110652622663</v>
      </c>
      <c r="K180" s="379"/>
      <c r="L180" s="275">
        <v>0.60511449175300125</v>
      </c>
      <c r="M180" s="275">
        <v>0.55770249099026747</v>
      </c>
      <c r="N180" s="275">
        <v>0.56559926104694291</v>
      </c>
      <c r="O180" s="275">
        <v>0.56487110652622663</v>
      </c>
      <c r="P180" s="275">
        <f t="shared" si="28"/>
        <v>0.56487110652622663</v>
      </c>
      <c r="Q180" s="275">
        <f t="shared" si="27"/>
        <v>0.56487110652622663</v>
      </c>
      <c r="R180" s="275">
        <f t="shared" si="27"/>
        <v>0.56487110652622663</v>
      </c>
      <c r="S180" s="275">
        <f t="shared" si="27"/>
        <v>0.56487110652622663</v>
      </c>
      <c r="U180" s="79"/>
    </row>
    <row r="181" spans="2:27" x14ac:dyDescent="0.25">
      <c r="F181" s="68" t="s">
        <v>51</v>
      </c>
      <c r="G181" s="68" t="s">
        <v>94</v>
      </c>
      <c r="J181" s="157">
        <f t="shared" si="26"/>
        <v>0</v>
      </c>
      <c r="K181" s="379"/>
      <c r="L181" s="275">
        <v>0</v>
      </c>
      <c r="M181" s="275">
        <v>0</v>
      </c>
      <c r="N181" s="275">
        <v>0</v>
      </c>
      <c r="O181" s="275">
        <v>0</v>
      </c>
      <c r="P181" s="275">
        <f t="shared" si="28"/>
        <v>0</v>
      </c>
      <c r="Q181" s="275">
        <f t="shared" si="27"/>
        <v>0</v>
      </c>
      <c r="R181" s="275">
        <f t="shared" si="27"/>
        <v>0</v>
      </c>
      <c r="S181" s="275">
        <f t="shared" si="27"/>
        <v>0</v>
      </c>
      <c r="U181" s="79"/>
    </row>
    <row r="182" spans="2:27" x14ac:dyDescent="0.25">
      <c r="F182" s="68" t="s">
        <v>48</v>
      </c>
      <c r="G182" s="68" t="s">
        <v>94</v>
      </c>
      <c r="J182" s="157">
        <f t="shared" si="26"/>
        <v>0.56487110652622663</v>
      </c>
      <c r="K182" s="379"/>
      <c r="L182" s="275">
        <v>0.60511449175300125</v>
      </c>
      <c r="M182" s="275">
        <v>0.55770249099026747</v>
      </c>
      <c r="N182" s="275">
        <v>0.56559926104694291</v>
      </c>
      <c r="O182" s="275">
        <v>0.56487110652622663</v>
      </c>
      <c r="P182" s="275">
        <f t="shared" si="28"/>
        <v>0.56487110652622663</v>
      </c>
      <c r="Q182" s="275">
        <f t="shared" si="27"/>
        <v>0.56487110652622663</v>
      </c>
      <c r="R182" s="275">
        <f t="shared" si="27"/>
        <v>0.56487110652622663</v>
      </c>
      <c r="S182" s="275">
        <f t="shared" si="27"/>
        <v>0.56487110652622663</v>
      </c>
      <c r="U182" s="79"/>
    </row>
    <row r="183" spans="2:27" x14ac:dyDescent="0.25">
      <c r="F183" s="68" t="s">
        <v>49</v>
      </c>
      <c r="G183" s="68" t="s">
        <v>94</v>
      </c>
      <c r="J183" s="157">
        <f t="shared" si="26"/>
        <v>0.56487110652622663</v>
      </c>
      <c r="K183" s="379"/>
      <c r="L183" s="275">
        <v>0.60511449175300125</v>
      </c>
      <c r="M183" s="275">
        <v>0.55770249099026747</v>
      </c>
      <c r="N183" s="275">
        <v>0.56559926104694291</v>
      </c>
      <c r="O183" s="275">
        <v>0.56487110652622663</v>
      </c>
      <c r="P183" s="275">
        <f t="shared" si="28"/>
        <v>0.56487110652622663</v>
      </c>
      <c r="Q183" s="275">
        <f t="shared" si="27"/>
        <v>0.56487110652622663</v>
      </c>
      <c r="R183" s="275">
        <f t="shared" si="27"/>
        <v>0.56487110652622663</v>
      </c>
      <c r="S183" s="275">
        <f t="shared" si="27"/>
        <v>0.56487110652622663</v>
      </c>
      <c r="U183" s="79"/>
    </row>
    <row r="184" spans="2:27" x14ac:dyDescent="0.25">
      <c r="F184" s="13" t="s">
        <v>50</v>
      </c>
      <c r="G184" s="13" t="s">
        <v>94</v>
      </c>
      <c r="H184" s="17"/>
      <c r="I184" s="17"/>
      <c r="J184" s="158">
        <f t="shared" si="26"/>
        <v>0.56487110652622663</v>
      </c>
      <c r="K184" s="261"/>
      <c r="L184" s="276">
        <v>0.60511449175300125</v>
      </c>
      <c r="M184" s="276">
        <v>0.55770249099026747</v>
      </c>
      <c r="N184" s="276">
        <v>0.56559926104694291</v>
      </c>
      <c r="O184" s="276">
        <v>0.56487110652622663</v>
      </c>
      <c r="P184" s="276">
        <f t="shared" si="28"/>
        <v>0.56487110652622663</v>
      </c>
      <c r="Q184" s="276">
        <f t="shared" si="27"/>
        <v>0.56487110652622663</v>
      </c>
      <c r="R184" s="276">
        <f t="shared" si="27"/>
        <v>0.56487110652622663</v>
      </c>
      <c r="S184" s="276">
        <f t="shared" si="27"/>
        <v>0.56487110652622663</v>
      </c>
      <c r="U184" s="79"/>
    </row>
    <row r="185" spans="2:27" x14ac:dyDescent="0.25">
      <c r="J185" s="59"/>
      <c r="K185" s="59"/>
      <c r="L185" s="59"/>
      <c r="M185" s="59"/>
      <c r="N185" s="59"/>
      <c r="O185" s="59"/>
      <c r="P185" s="59"/>
      <c r="Q185" s="59"/>
      <c r="R185" s="59"/>
      <c r="S185" s="59"/>
    </row>
    <row r="186" spans="2:27" x14ac:dyDescent="0.25">
      <c r="B186" s="82" t="s">
        <v>109</v>
      </c>
      <c r="C186" s="82"/>
      <c r="D186" s="82"/>
      <c r="E186" s="82"/>
      <c r="F186" s="82"/>
      <c r="G186" s="82"/>
      <c r="H186" s="82"/>
      <c r="I186" s="82"/>
      <c r="J186" s="136"/>
      <c r="K186" s="136"/>
      <c r="L186" s="136"/>
      <c r="M186" s="136"/>
      <c r="N186" s="136"/>
      <c r="O186" s="136"/>
      <c r="P186" s="136"/>
      <c r="Q186" s="136"/>
      <c r="R186" s="136"/>
      <c r="S186" s="136"/>
      <c r="T186" s="82"/>
      <c r="U186" s="82"/>
      <c r="W186" s="82"/>
      <c r="X186" s="82"/>
      <c r="Y186" s="82"/>
      <c r="Z186" s="82"/>
      <c r="AA186" s="82"/>
    </row>
    <row r="187" spans="2:27" x14ac:dyDescent="0.25">
      <c r="J187" s="59"/>
      <c r="K187" s="59"/>
      <c r="L187" s="59"/>
      <c r="M187" s="59"/>
      <c r="N187" s="59"/>
      <c r="O187" s="59"/>
      <c r="P187" s="59"/>
      <c r="Q187" s="59"/>
      <c r="R187" s="59"/>
      <c r="S187" s="59"/>
    </row>
    <row r="188" spans="2:27" x14ac:dyDescent="0.25">
      <c r="C188" s="73" t="s">
        <v>755</v>
      </c>
      <c r="H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</row>
    <row r="189" spans="2:27" x14ac:dyDescent="0.25">
      <c r="H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</row>
    <row r="190" spans="2:27" x14ac:dyDescent="0.25">
      <c r="E190" t="s">
        <v>415</v>
      </c>
      <c r="G190" s="46" t="s">
        <v>588</v>
      </c>
      <c r="H190" s="150">
        <f t="array" ref="H190">SUM(IF(ISERROR(H18:T185), 1))</f>
        <v>0</v>
      </c>
      <c r="J190" s="59"/>
      <c r="K190" s="59"/>
      <c r="L190" s="59"/>
      <c r="M190" s="59"/>
      <c r="N190" s="59"/>
      <c r="O190" s="59"/>
      <c r="P190" s="59"/>
      <c r="Q190" s="59"/>
      <c r="R190" s="59"/>
      <c r="S190" s="59"/>
    </row>
    <row r="191" spans="2:27" x14ac:dyDescent="0.25">
      <c r="H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</row>
    <row r="192" spans="2:27" x14ac:dyDescent="0.25">
      <c r="E192" t="s">
        <v>643</v>
      </c>
      <c r="G192" s="46" t="s">
        <v>588</v>
      </c>
      <c r="H192" s="150">
        <f>SUM(L192:S192)</f>
        <v>0</v>
      </c>
      <c r="J192" s="59"/>
      <c r="K192" s="59"/>
      <c r="L192" s="85"/>
      <c r="M192" s="85"/>
      <c r="N192" s="85"/>
      <c r="O192" s="150">
        <f>IF(O48 = 1, 0, 1)</f>
        <v>0</v>
      </c>
      <c r="P192" s="150">
        <f>IF(P48 = 1, 0, 1)</f>
        <v>0</v>
      </c>
      <c r="Q192" s="150">
        <f>IF(Q48 = 1, 0, 1)</f>
        <v>0</v>
      </c>
      <c r="R192" s="150">
        <f>IF(R48 = 1, 0, 1)</f>
        <v>0</v>
      </c>
      <c r="S192" s="150">
        <f>IF(S48 = 1, 0, 1)</f>
        <v>0</v>
      </c>
    </row>
    <row r="193" spans="5:21" x14ac:dyDescent="0.25">
      <c r="H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</row>
    <row r="194" spans="5:21" x14ac:dyDescent="0.25">
      <c r="E194" s="52" t="s">
        <v>622</v>
      </c>
      <c r="H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</row>
    <row r="195" spans="5:21" x14ac:dyDescent="0.25">
      <c r="F195" s="14" t="s">
        <v>267</v>
      </c>
      <c r="G195" s="80" t="s">
        <v>588</v>
      </c>
      <c r="H195" s="137"/>
      <c r="I195" s="80"/>
      <c r="J195" s="94"/>
      <c r="K195" s="94"/>
      <c r="L195" s="187"/>
      <c r="M195" s="187"/>
      <c r="N195" s="187"/>
      <c r="O195" s="137"/>
      <c r="P195" s="137"/>
      <c r="Q195" s="137"/>
      <c r="R195" s="137"/>
      <c r="S195" s="137"/>
      <c r="U195" s="79"/>
    </row>
    <row r="196" spans="5:21" x14ac:dyDescent="0.25">
      <c r="F196" s="68" t="s">
        <v>43</v>
      </c>
      <c r="G196" t="s">
        <v>588</v>
      </c>
      <c r="H196" s="150">
        <f t="shared" ref="H196:H203" si="29">SUM(L196:S196)</f>
        <v>0</v>
      </c>
      <c r="J196" s="59"/>
      <c r="K196" s="59"/>
      <c r="L196" s="85"/>
      <c r="M196" s="85"/>
      <c r="N196" s="85"/>
      <c r="O196" s="150">
        <f>IF(ABS(SUM(O140,O152,O164) - 1) &lt; 10^-check_decimals,0,1)</f>
        <v>0</v>
      </c>
      <c r="P196" s="150">
        <f>IF(ABS(SUM(P140,P152,P164) - 1) &lt; 10^-check_decimals,0,1)</f>
        <v>0</v>
      </c>
      <c r="Q196" s="150">
        <f>IF(ABS(SUM(Q140,Q152,Q164) - 1) &lt; 10^-check_decimals,0,1)</f>
        <v>0</v>
      </c>
      <c r="R196" s="150">
        <f>IF(ABS(SUM(R140,R152,R164) - 1) &lt; 10^-check_decimals,0,1)</f>
        <v>0</v>
      </c>
      <c r="S196" s="150">
        <f>IF(ABS(SUM(S140,S152,S164) - 1) &lt; 10^-check_decimals,0,1)</f>
        <v>0</v>
      </c>
      <c r="U196" s="79"/>
    </row>
    <row r="197" spans="5:21" x14ac:dyDescent="0.25">
      <c r="F197" s="68" t="s">
        <v>44</v>
      </c>
      <c r="G197" t="s">
        <v>588</v>
      </c>
      <c r="H197" s="85"/>
      <c r="L197" s="71"/>
      <c r="M197" s="71"/>
      <c r="N197" s="71"/>
      <c r="O197" s="71"/>
      <c r="P197" s="71"/>
      <c r="Q197" s="71"/>
      <c r="R197" s="71"/>
      <c r="S197" s="71"/>
      <c r="U197" s="79"/>
    </row>
    <row r="198" spans="5:21" x14ac:dyDescent="0.25">
      <c r="F198" s="68" t="s">
        <v>45</v>
      </c>
      <c r="G198" t="s">
        <v>588</v>
      </c>
      <c r="H198" s="85"/>
      <c r="L198" s="71"/>
      <c r="M198" s="71"/>
      <c r="N198" s="71"/>
      <c r="O198" s="71"/>
      <c r="P198" s="71"/>
      <c r="Q198" s="71"/>
      <c r="R198" s="71"/>
      <c r="S198" s="71"/>
      <c r="U198" s="79"/>
    </row>
    <row r="199" spans="5:21" x14ac:dyDescent="0.25">
      <c r="F199" s="68" t="s">
        <v>46</v>
      </c>
      <c r="G199" t="s">
        <v>588</v>
      </c>
      <c r="H199" s="150">
        <f t="shared" si="29"/>
        <v>0</v>
      </c>
      <c r="J199" s="59"/>
      <c r="K199" s="59"/>
      <c r="L199" s="85"/>
      <c r="M199" s="85"/>
      <c r="N199" s="85"/>
      <c r="O199" s="150">
        <f t="shared" ref="O199:S200" si="30">IF(ABS(SUM(O143,O155,O167) - 1) &lt; 10^-check_decimals,0,1)</f>
        <v>0</v>
      </c>
      <c r="P199" s="150">
        <f t="shared" si="30"/>
        <v>0</v>
      </c>
      <c r="Q199" s="150">
        <f t="shared" si="30"/>
        <v>0</v>
      </c>
      <c r="R199" s="150">
        <f t="shared" si="30"/>
        <v>0</v>
      </c>
      <c r="S199" s="150">
        <f t="shared" si="30"/>
        <v>0</v>
      </c>
      <c r="U199" s="79"/>
    </row>
    <row r="200" spans="5:21" x14ac:dyDescent="0.25">
      <c r="F200" s="68" t="s">
        <v>47</v>
      </c>
      <c r="G200" t="s">
        <v>588</v>
      </c>
      <c r="H200" s="150">
        <f t="shared" si="29"/>
        <v>0</v>
      </c>
      <c r="J200" s="59"/>
      <c r="K200" s="59"/>
      <c r="L200" s="85"/>
      <c r="M200" s="85"/>
      <c r="N200" s="85"/>
      <c r="O200" s="150">
        <f t="shared" si="30"/>
        <v>0</v>
      </c>
      <c r="P200" s="150">
        <f t="shared" si="30"/>
        <v>0</v>
      </c>
      <c r="Q200" s="150">
        <f t="shared" si="30"/>
        <v>0</v>
      </c>
      <c r="R200" s="150">
        <f t="shared" si="30"/>
        <v>0</v>
      </c>
      <c r="S200" s="150">
        <f t="shared" si="30"/>
        <v>0</v>
      </c>
      <c r="U200" s="79"/>
    </row>
    <row r="201" spans="5:21" x14ac:dyDescent="0.25">
      <c r="F201" t="s">
        <v>51</v>
      </c>
      <c r="G201" t="s">
        <v>588</v>
      </c>
      <c r="H201" s="85"/>
      <c r="L201" s="71"/>
      <c r="M201" s="71"/>
      <c r="N201" s="71"/>
      <c r="O201" s="71"/>
      <c r="P201" s="71"/>
      <c r="Q201" s="71"/>
      <c r="R201" s="71"/>
      <c r="S201" s="71"/>
      <c r="U201" s="79"/>
    </row>
    <row r="202" spans="5:21" x14ac:dyDescent="0.25">
      <c r="F202" s="68" t="s">
        <v>48</v>
      </c>
      <c r="G202" t="s">
        <v>588</v>
      </c>
      <c r="H202" s="150">
        <f t="shared" si="29"/>
        <v>0</v>
      </c>
      <c r="J202" s="59"/>
      <c r="K202" s="59"/>
      <c r="L202" s="85"/>
      <c r="M202" s="85"/>
      <c r="N202" s="85"/>
      <c r="O202" s="150">
        <f t="shared" ref="O202:S204" si="31">IF(ABS(SUM(O146,O158,O170) - 1) &lt; 10^-check_decimals,0,1)</f>
        <v>0</v>
      </c>
      <c r="P202" s="150">
        <f t="shared" si="31"/>
        <v>0</v>
      </c>
      <c r="Q202" s="150">
        <f t="shared" si="31"/>
        <v>0</v>
      </c>
      <c r="R202" s="150">
        <f t="shared" si="31"/>
        <v>0</v>
      </c>
      <c r="S202" s="150">
        <f t="shared" si="31"/>
        <v>0</v>
      </c>
      <c r="U202" s="79"/>
    </row>
    <row r="203" spans="5:21" x14ac:dyDescent="0.25">
      <c r="F203" s="68" t="s">
        <v>49</v>
      </c>
      <c r="G203" t="s">
        <v>588</v>
      </c>
      <c r="H203" s="150">
        <f t="shared" si="29"/>
        <v>0</v>
      </c>
      <c r="J203" s="59"/>
      <c r="K203" s="59"/>
      <c r="L203" s="85"/>
      <c r="M203" s="85"/>
      <c r="N203" s="85"/>
      <c r="O203" s="150">
        <f t="shared" si="31"/>
        <v>0</v>
      </c>
      <c r="P203" s="150">
        <f t="shared" si="31"/>
        <v>0</v>
      </c>
      <c r="Q203" s="150">
        <f t="shared" si="31"/>
        <v>0</v>
      </c>
      <c r="R203" s="150">
        <f t="shared" si="31"/>
        <v>0</v>
      </c>
      <c r="S203" s="150">
        <f t="shared" si="31"/>
        <v>0</v>
      </c>
      <c r="U203" s="79"/>
    </row>
    <row r="204" spans="5:21" x14ac:dyDescent="0.25">
      <c r="F204" s="13" t="s">
        <v>50</v>
      </c>
      <c r="G204" s="17" t="s">
        <v>588</v>
      </c>
      <c r="H204" s="151">
        <f>SUM(L204:S204)</f>
        <v>0</v>
      </c>
      <c r="I204" s="17"/>
      <c r="J204" s="122"/>
      <c r="K204" s="122"/>
      <c r="L204" s="86"/>
      <c r="M204" s="86"/>
      <c r="N204" s="86"/>
      <c r="O204" s="151">
        <f t="shared" si="31"/>
        <v>0</v>
      </c>
      <c r="P204" s="151">
        <f t="shared" si="31"/>
        <v>0</v>
      </c>
      <c r="Q204" s="151">
        <f t="shared" si="31"/>
        <v>0</v>
      </c>
      <c r="R204" s="151">
        <f t="shared" si="31"/>
        <v>0</v>
      </c>
      <c r="S204" s="151">
        <f t="shared" si="31"/>
        <v>0</v>
      </c>
      <c r="U204" s="79"/>
    </row>
    <row r="206" spans="5:21" x14ac:dyDescent="0.25">
      <c r="E206" s="52" t="s">
        <v>621</v>
      </c>
      <c r="H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</row>
    <row r="207" spans="5:21" x14ac:dyDescent="0.25">
      <c r="F207" s="14" t="s">
        <v>267</v>
      </c>
      <c r="G207" s="80" t="s">
        <v>588</v>
      </c>
      <c r="H207" s="137"/>
      <c r="I207" s="80"/>
      <c r="J207" s="94"/>
      <c r="K207" s="94"/>
      <c r="L207" s="187"/>
      <c r="M207" s="187"/>
      <c r="N207" s="187"/>
      <c r="O207" s="137"/>
      <c r="P207" s="137"/>
      <c r="Q207" s="137"/>
      <c r="R207" s="137"/>
      <c r="S207" s="137"/>
      <c r="U207" s="79"/>
    </row>
    <row r="208" spans="5:21" x14ac:dyDescent="0.25">
      <c r="F208" s="68" t="s">
        <v>43</v>
      </c>
      <c r="G208" t="s">
        <v>588</v>
      </c>
      <c r="H208" s="85"/>
      <c r="L208" s="71"/>
      <c r="M208" s="71"/>
      <c r="N208" s="71"/>
      <c r="O208" s="71"/>
      <c r="P208" s="71"/>
      <c r="Q208" s="71"/>
      <c r="R208" s="71"/>
      <c r="S208" s="71"/>
      <c r="U208" s="79"/>
    </row>
    <row r="209" spans="2:27" x14ac:dyDescent="0.25">
      <c r="F209" s="68" t="s">
        <v>44</v>
      </c>
      <c r="G209" t="s">
        <v>588</v>
      </c>
      <c r="H209" s="150">
        <f>SUM(L209:S209)</f>
        <v>0</v>
      </c>
      <c r="J209" s="59"/>
      <c r="K209" s="59"/>
      <c r="L209" s="85"/>
      <c r="M209" s="85"/>
      <c r="N209" s="85"/>
      <c r="O209" s="150">
        <f t="shared" ref="O209:S210" si="32">IF(OR(ABS(SUM(O141,O153,O165) - 1) &lt; 10^-check_decimals, ABS(SUM(O141,O153,O165) - 0) &lt; 10^-check_decimals),0,1)</f>
        <v>0</v>
      </c>
      <c r="P209" s="150">
        <f t="shared" si="32"/>
        <v>0</v>
      </c>
      <c r="Q209" s="150">
        <f t="shared" si="32"/>
        <v>0</v>
      </c>
      <c r="R209" s="150">
        <f t="shared" si="32"/>
        <v>0</v>
      </c>
      <c r="S209" s="150">
        <f t="shared" si="32"/>
        <v>0</v>
      </c>
      <c r="U209" s="79"/>
    </row>
    <row r="210" spans="2:27" x14ac:dyDescent="0.25">
      <c r="F210" s="68" t="s">
        <v>45</v>
      </c>
      <c r="G210" t="s">
        <v>588</v>
      </c>
      <c r="H210" s="150">
        <f>SUM(L210:S210)</f>
        <v>0</v>
      </c>
      <c r="J210" s="59"/>
      <c r="K210" s="59"/>
      <c r="L210" s="85"/>
      <c r="M210" s="85"/>
      <c r="N210" s="85"/>
      <c r="O210" s="150">
        <f t="shared" si="32"/>
        <v>0</v>
      </c>
      <c r="P210" s="150">
        <f t="shared" si="32"/>
        <v>0</v>
      </c>
      <c r="Q210" s="150">
        <f t="shared" si="32"/>
        <v>0</v>
      </c>
      <c r="R210" s="150">
        <f t="shared" si="32"/>
        <v>0</v>
      </c>
      <c r="S210" s="150">
        <f t="shared" si="32"/>
        <v>0</v>
      </c>
      <c r="U210" s="79"/>
    </row>
    <row r="211" spans="2:27" x14ac:dyDescent="0.25">
      <c r="F211" s="68" t="s">
        <v>46</v>
      </c>
      <c r="G211" t="s">
        <v>588</v>
      </c>
      <c r="H211" s="85"/>
      <c r="L211" s="71"/>
      <c r="M211" s="71"/>
      <c r="N211" s="71"/>
      <c r="O211" s="71"/>
      <c r="P211" s="71"/>
      <c r="Q211" s="71"/>
      <c r="R211" s="71"/>
      <c r="S211" s="71"/>
      <c r="U211" s="79"/>
    </row>
    <row r="212" spans="2:27" x14ac:dyDescent="0.25">
      <c r="F212" s="68" t="s">
        <v>47</v>
      </c>
      <c r="G212" t="s">
        <v>588</v>
      </c>
      <c r="H212" s="85"/>
      <c r="L212" s="71"/>
      <c r="M212" s="71"/>
      <c r="N212" s="71"/>
      <c r="O212" s="71"/>
      <c r="P212" s="71"/>
      <c r="Q212" s="71"/>
      <c r="R212" s="71"/>
      <c r="S212" s="71"/>
      <c r="U212" s="79"/>
    </row>
    <row r="213" spans="2:27" x14ac:dyDescent="0.25">
      <c r="F213" s="68" t="s">
        <v>51</v>
      </c>
      <c r="G213" t="s">
        <v>588</v>
      </c>
      <c r="H213" s="150">
        <f>SUM(L213:S213)</f>
        <v>0</v>
      </c>
      <c r="J213" s="59"/>
      <c r="K213" s="59"/>
      <c r="L213" s="85"/>
      <c r="M213" s="85"/>
      <c r="N213" s="85"/>
      <c r="O213" s="150">
        <f>IF(OR(ABS(SUM(O145,O157,O169) - 1) &lt; 10^-check_decimals, ABS(SUM(O145,O157,O169) - 0) &lt; 10^-check_decimals),0,1)</f>
        <v>0</v>
      </c>
      <c r="P213" s="150">
        <f>IF(OR(ABS(SUM(P145,P157,P169) - 1) &lt; 10^-check_decimals, ABS(SUM(P145,P157,P169) - 0) &lt; 10^-check_decimals),0,1)</f>
        <v>0</v>
      </c>
      <c r="Q213" s="150">
        <f>IF(OR(ABS(SUM(Q145,Q157,Q169) - 1) &lt; 10^-check_decimals, ABS(SUM(Q145,Q157,Q169) - 0) &lt; 10^-check_decimals),0,1)</f>
        <v>0</v>
      </c>
      <c r="R213" s="150">
        <f>IF(OR(ABS(SUM(R145,R157,R169) - 1) &lt; 10^-check_decimals, ABS(SUM(R145,R157,R169) - 0) &lt; 10^-check_decimals),0,1)</f>
        <v>0</v>
      </c>
      <c r="S213" s="150">
        <f>IF(OR(ABS(SUM(S145,S157,S169) - 1) &lt; 10^-check_decimals, ABS(SUM(S145,S157,S169) - 0) &lt; 10^-check_decimals),0,1)</f>
        <v>0</v>
      </c>
      <c r="U213" s="79"/>
    </row>
    <row r="214" spans="2:27" x14ac:dyDescent="0.25">
      <c r="F214" s="68" t="s">
        <v>48</v>
      </c>
      <c r="G214" t="s">
        <v>588</v>
      </c>
      <c r="H214" s="85"/>
      <c r="L214" s="71"/>
      <c r="M214" s="71"/>
      <c r="N214" s="71"/>
      <c r="O214" s="71"/>
      <c r="P214" s="71"/>
      <c r="Q214" s="71"/>
      <c r="R214" s="71"/>
      <c r="S214" s="71"/>
      <c r="U214" s="79"/>
    </row>
    <row r="215" spans="2:27" x14ac:dyDescent="0.25">
      <c r="F215" s="68" t="s">
        <v>49</v>
      </c>
      <c r="G215" t="s">
        <v>588</v>
      </c>
      <c r="H215" s="85"/>
      <c r="L215" s="71"/>
      <c r="M215" s="71"/>
      <c r="N215" s="71"/>
      <c r="O215" s="71"/>
      <c r="P215" s="71"/>
      <c r="Q215" s="71"/>
      <c r="R215" s="71"/>
      <c r="S215" s="71"/>
      <c r="U215" s="79"/>
    </row>
    <row r="216" spans="2:27" x14ac:dyDescent="0.25">
      <c r="F216" s="13" t="s">
        <v>50</v>
      </c>
      <c r="G216" s="17" t="s">
        <v>588</v>
      </c>
      <c r="H216" s="86"/>
      <c r="I216" s="17"/>
      <c r="J216" s="17"/>
      <c r="K216" s="17"/>
      <c r="L216" s="86"/>
      <c r="M216" s="86"/>
      <c r="N216" s="86"/>
      <c r="O216" s="86"/>
      <c r="P216" s="86"/>
      <c r="Q216" s="86"/>
      <c r="R216" s="86"/>
      <c r="S216" s="86"/>
      <c r="U216" s="79"/>
    </row>
    <row r="218" spans="2:27" x14ac:dyDescent="0.25">
      <c r="E218" t="s">
        <v>374</v>
      </c>
      <c r="G218" s="46" t="s">
        <v>588</v>
      </c>
      <c r="H218" s="263">
        <f>SUM(H190,H192,H195:H204,H207:H216)</f>
        <v>0</v>
      </c>
      <c r="J218" s="59"/>
      <c r="K218" s="59"/>
      <c r="L218" s="59"/>
      <c r="M218" s="59"/>
      <c r="N218" s="59"/>
      <c r="O218" s="59"/>
      <c r="P218" s="59"/>
      <c r="Q218" s="59"/>
      <c r="R218" s="59"/>
      <c r="S218" s="59"/>
    </row>
    <row r="219" spans="2:27" x14ac:dyDescent="0.25">
      <c r="H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</row>
    <row r="220" spans="2:27" x14ac:dyDescent="0.25">
      <c r="B220" s="82" t="s">
        <v>110</v>
      </c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W220" s="82"/>
      <c r="X220" s="82"/>
      <c r="Y220" s="82"/>
      <c r="Z220" s="82"/>
      <c r="AA220" s="82"/>
    </row>
  </sheetData>
  <sheetProtection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P168:S169 P171:S172 P156:S157 P159:S160 L98:S99 L84:S85 P154:S154 L139:S139 L55:S56 P144:S145 P147:S148 L76:S77 L61:S61 L151:S151 L109:S110 L66:S67 L64:S64 L175:S175 L79:S79 L128:O129 L126:O126 L69:S70 L52:S53 L81:S82 L47:S47 L50:S50 L27:S28 L106:S107 L131:O132 L87:S88 L163:S163 L114:S114 L183:N184 L180:N181 P142:S142 P166:S166 L123:S124 L24:S25 L22:S22 L19:S19 L33:S42 L90:S90 L92:S93 O100 O89 L101:S101 P96:T96 L95:O96 P95:S95 L103:S104 L112:S112 O111 L147:N148 L144:N145 L142:N142 L159:N160 L156:N157 L154:N154 L171:N172 L168:N169 L166:N166 L178:N178 P180:S181 P183:S184 P178:S17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7"/>
  <sheetViews>
    <sheetView showGridLines="0" tabSelected="1" zoomScale="80" zoomScaleNormal="80" workbookViewId="0">
      <pane xSplit="9" ySplit="6" topLeftCell="J47" activePane="bottomRight" state="frozen"/>
      <selection pane="topRight"/>
      <selection pane="bottomLeft"/>
      <selection pane="bottomRight" activeCell="N53" sqref="N53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20.5703125" bestFit="1" customWidth="1"/>
    <col min="11" max="11" width="2.42578125" customWidth="1"/>
    <col min="12" max="15" width="14.85546875" bestFit="1" customWidth="1"/>
    <col min="16" max="16" width="22.42578125" bestFit="1" customWidth="1"/>
    <col min="17" max="19" width="14.85546875" bestFit="1" customWidth="1"/>
    <col min="20" max="20" width="2.42578125" customWidth="1"/>
    <col min="21" max="21" width="50.5703125" customWidth="1"/>
    <col min="22" max="22" width="2.42578125" customWidth="1"/>
    <col min="23" max="272" width="20.5703125" hidden="1" customWidth="1"/>
    <col min="273" max="16384" width="9.140625" hidden="1"/>
  </cols>
  <sheetData>
    <row r="1" spans="1:21" s="8" customFormat="1" x14ac:dyDescent="0.25">
      <c r="A1" s="8" t="str">
        <f ca="1">MID(CELL("filename",A1),FIND("]",CELL("filename",A1))+1,255)</f>
        <v>ARP_General inputs</v>
      </c>
    </row>
    <row r="2" spans="1:21" s="8" customFormat="1" x14ac:dyDescent="0.25">
      <c r="A2" s="8" t="str">
        <f>Cover!D21&amp;" - "&amp;Cover!D23</f>
        <v>SP Distribution - One</v>
      </c>
    </row>
    <row r="3" spans="1:21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1" x14ac:dyDescent="0.25">
      <c r="A4" s="194" t="str">
        <f>H125 &amp; IF(H125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1" ht="30" x14ac:dyDescent="0.25">
      <c r="B5" s="112"/>
      <c r="C5" s="7"/>
      <c r="D5" s="7"/>
      <c r="E5" s="7"/>
      <c r="F5" s="7"/>
      <c r="G5" s="106"/>
      <c r="H5" s="33"/>
      <c r="J5" s="124" t="str">
        <f>"Year selected ("&amp; charging_year_selected &amp;")"</f>
        <v>Year selected (2024/25)</v>
      </c>
      <c r="L5" s="33" t="str">
        <f t="array" ref="L5:S6">TRANSPOSE('ARP_User control'!G28:H35)</f>
        <v>2021/22</v>
      </c>
      <c r="M5" s="33" t="str">
        <v>2022/23</v>
      </c>
      <c r="N5" s="33" t="str">
        <v>2023/24</v>
      </c>
      <c r="O5" s="33" t="str">
        <v>2024/25</v>
      </c>
      <c r="P5" s="33" t="str">
        <v>2025/26</v>
      </c>
      <c r="Q5" s="33" t="str">
        <v>2026/27</v>
      </c>
      <c r="R5" s="33" t="str">
        <v>2027/28</v>
      </c>
      <c r="S5" s="33" t="str">
        <v>2028/29</v>
      </c>
      <c r="U5" s="33"/>
    </row>
    <row r="6" spans="1:21" x14ac:dyDescent="0.25">
      <c r="B6" s="112" t="s">
        <v>451</v>
      </c>
      <c r="C6" s="7"/>
      <c r="D6" s="7"/>
      <c r="E6" s="7"/>
      <c r="F6" s="7"/>
      <c r="G6" s="7" t="s">
        <v>91</v>
      </c>
      <c r="H6" s="9" t="s">
        <v>92</v>
      </c>
      <c r="J6" s="126" t="str">
        <f>'ARP_User control'!$H$36</f>
        <v>Current</v>
      </c>
      <c r="L6" s="33" t="str">
        <v>Historic</v>
      </c>
      <c r="M6" s="33" t="str">
        <v>Historic</v>
      </c>
      <c r="N6" s="33" t="str">
        <v>Historic</v>
      </c>
      <c r="O6" s="33" t="str">
        <v>Current</v>
      </c>
      <c r="P6" s="33" t="str">
        <v>Forecast</v>
      </c>
      <c r="Q6" s="33" t="str">
        <v>Forecast</v>
      </c>
      <c r="R6" s="33" t="str">
        <v>Forecast</v>
      </c>
      <c r="S6" s="33" t="str">
        <v>Forecast</v>
      </c>
      <c r="U6" s="106" t="s">
        <v>93</v>
      </c>
    </row>
    <row r="8" spans="1:21" x14ac:dyDescent="0.25">
      <c r="B8" s="82" t="s">
        <v>90</v>
      </c>
      <c r="C8" s="82"/>
      <c r="D8" s="82"/>
      <c r="E8" s="82"/>
      <c r="F8" s="82"/>
      <c r="G8" s="107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</row>
    <row r="9" spans="1:21" x14ac:dyDescent="0.25">
      <c r="G9" s="91"/>
    </row>
    <row r="10" spans="1:21" x14ac:dyDescent="0.25">
      <c r="C10" s="73" t="s">
        <v>690</v>
      </c>
      <c r="G10" s="91"/>
    </row>
    <row r="11" spans="1:21" x14ac:dyDescent="0.25">
      <c r="C11" s="73" t="s">
        <v>688</v>
      </c>
      <c r="G11" s="91"/>
    </row>
    <row r="12" spans="1:21" x14ac:dyDescent="0.25">
      <c r="C12" s="73" t="s">
        <v>780</v>
      </c>
      <c r="G12" s="91"/>
    </row>
    <row r="13" spans="1:21" x14ac:dyDescent="0.25">
      <c r="G13" s="91"/>
    </row>
    <row r="14" spans="1:21" x14ac:dyDescent="0.25">
      <c r="B14" s="82" t="s">
        <v>552</v>
      </c>
      <c r="C14" s="82"/>
      <c r="D14" s="82"/>
      <c r="E14" s="82"/>
      <c r="F14" s="82"/>
      <c r="G14" s="107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</row>
    <row r="15" spans="1:21" x14ac:dyDescent="0.25">
      <c r="G15" s="91"/>
    </row>
    <row r="16" spans="1:21" x14ac:dyDescent="0.25">
      <c r="C16" s="5" t="str">
        <f ca="1">INDEX('Version control'!$H$36:$H$62,MATCH($A$1,'Version control'!$F$36:$F$62,0),1)&amp;"-A: Split of hours by distribution timeband"</f>
        <v>Input 503-A: Split of hours by distribution timeband</v>
      </c>
      <c r="D16" s="5"/>
      <c r="E16" s="5"/>
      <c r="F16" s="5"/>
      <c r="G16" s="144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</row>
    <row r="17" spans="3:21" x14ac:dyDescent="0.25">
      <c r="G17" s="91"/>
    </row>
    <row r="18" spans="3:21" x14ac:dyDescent="0.25">
      <c r="D18" s="52"/>
      <c r="E18" s="52" t="s">
        <v>206</v>
      </c>
      <c r="F18" s="52"/>
      <c r="G18" s="91"/>
      <c r="H18" s="91"/>
      <c r="I18" t="s">
        <v>359</v>
      </c>
      <c r="U18" t="s">
        <v>812</v>
      </c>
    </row>
    <row r="19" spans="3:21" x14ac:dyDescent="0.25">
      <c r="F19" s="105" t="s">
        <v>87</v>
      </c>
      <c r="G19" s="108" t="s">
        <v>506</v>
      </c>
      <c r="H19" s="108"/>
      <c r="I19" s="108"/>
      <c r="J19" s="213">
        <f>CHOOSE(year_selection, L19,M19,N19,O19,P19,Q19,R19,S19)</f>
        <v>258</v>
      </c>
      <c r="K19" s="214"/>
      <c r="L19" s="283">
        <v>258</v>
      </c>
      <c r="M19" s="283">
        <v>258</v>
      </c>
      <c r="N19" s="283">
        <v>261</v>
      </c>
      <c r="O19" s="283">
        <v>258</v>
      </c>
      <c r="P19" s="283">
        <v>255</v>
      </c>
      <c r="Q19" s="283">
        <v>255</v>
      </c>
      <c r="R19" s="283">
        <v>261</v>
      </c>
      <c r="S19" s="283">
        <v>258</v>
      </c>
    </row>
    <row r="20" spans="3:21" x14ac:dyDescent="0.25">
      <c r="F20" s="103" t="s">
        <v>88</v>
      </c>
      <c r="G20" s="91" t="s">
        <v>506</v>
      </c>
      <c r="H20" s="91"/>
      <c r="I20" s="91"/>
      <c r="J20" s="215">
        <f>CHOOSE(year_selection, L20,M20,N20,O20,P20,Q20,R20,S20)</f>
        <v>3942.5</v>
      </c>
      <c r="K20" s="216"/>
      <c r="L20" s="284">
        <v>3942.5</v>
      </c>
      <c r="M20" s="284">
        <v>3942.5</v>
      </c>
      <c r="N20" s="284">
        <v>3933</v>
      </c>
      <c r="O20" s="284">
        <v>3942.5</v>
      </c>
      <c r="P20" s="284">
        <v>3945.5</v>
      </c>
      <c r="Q20" s="284">
        <v>3945.5</v>
      </c>
      <c r="R20" s="284">
        <v>3954</v>
      </c>
      <c r="S20" s="284">
        <v>3932</v>
      </c>
    </row>
    <row r="21" spans="3:21" x14ac:dyDescent="0.25">
      <c r="F21" s="104" t="s">
        <v>86</v>
      </c>
      <c r="G21" s="109" t="s">
        <v>506</v>
      </c>
      <c r="H21" s="109"/>
      <c r="I21" s="109"/>
      <c r="J21" s="217">
        <f>CHOOSE(year_selection, L21,M21,N21,O21,P21,Q21,R21,S21)</f>
        <v>4559.5</v>
      </c>
      <c r="K21" s="218"/>
      <c r="L21" s="285">
        <v>4559.5</v>
      </c>
      <c r="M21" s="285">
        <v>4559.5</v>
      </c>
      <c r="N21" s="285">
        <v>4590</v>
      </c>
      <c r="O21" s="285">
        <v>4559.5</v>
      </c>
      <c r="P21" s="285">
        <v>4559.5</v>
      </c>
      <c r="Q21" s="285">
        <v>4559.5</v>
      </c>
      <c r="R21" s="285">
        <v>4569</v>
      </c>
      <c r="S21" s="285">
        <v>4570</v>
      </c>
    </row>
    <row r="22" spans="3:21" x14ac:dyDescent="0.25">
      <c r="G22" s="91"/>
      <c r="H22" s="91"/>
      <c r="I22" s="91"/>
      <c r="J22" s="219"/>
      <c r="K22" s="216"/>
      <c r="L22" s="216"/>
      <c r="M22" s="216"/>
      <c r="N22" s="216"/>
      <c r="O22" s="216"/>
      <c r="P22" s="216"/>
      <c r="Q22" s="216"/>
      <c r="R22" s="216"/>
      <c r="S22" s="216"/>
    </row>
    <row r="23" spans="3:21" x14ac:dyDescent="0.25">
      <c r="D23" s="52"/>
      <c r="E23" s="52" t="s">
        <v>207</v>
      </c>
      <c r="F23" s="52"/>
      <c r="G23" s="91"/>
      <c r="H23" s="91"/>
      <c r="I23" t="s">
        <v>359</v>
      </c>
      <c r="J23" s="219"/>
      <c r="K23" s="216"/>
      <c r="L23" s="216"/>
      <c r="M23" s="216"/>
      <c r="N23" s="216"/>
      <c r="O23" s="216"/>
      <c r="P23" s="216"/>
      <c r="Q23" s="216"/>
      <c r="R23" s="216"/>
      <c r="S23" s="216"/>
      <c r="U23" t="s">
        <v>812</v>
      </c>
    </row>
    <row r="24" spans="3:21" x14ac:dyDescent="0.25">
      <c r="F24" s="80" t="s">
        <v>84</v>
      </c>
      <c r="G24" s="108" t="s">
        <v>506</v>
      </c>
      <c r="H24" s="108"/>
      <c r="I24" s="108"/>
      <c r="J24" s="213">
        <f>CHOOSE(year_selection, L24,M24,N24,O24,P24,Q24,R24,S24)</f>
        <v>783</v>
      </c>
      <c r="K24" s="214"/>
      <c r="L24" s="283">
        <v>783</v>
      </c>
      <c r="M24" s="283">
        <v>783</v>
      </c>
      <c r="N24" s="283">
        <v>780</v>
      </c>
      <c r="O24" s="283">
        <v>783</v>
      </c>
      <c r="P24" s="283">
        <v>783</v>
      </c>
      <c r="Q24" s="283">
        <v>783</v>
      </c>
      <c r="R24" s="283">
        <v>786</v>
      </c>
      <c r="S24" s="283">
        <v>780</v>
      </c>
    </row>
    <row r="25" spans="3:21" x14ac:dyDescent="0.25">
      <c r="F25" t="s">
        <v>85</v>
      </c>
      <c r="G25" s="91" t="s">
        <v>506</v>
      </c>
      <c r="H25" s="91"/>
      <c r="I25" s="91"/>
      <c r="J25" s="215">
        <f>CHOOSE(year_selection, L25,M25,N25,O25,P25,Q25,R25,S25)</f>
        <v>3417.5</v>
      </c>
      <c r="K25" s="216"/>
      <c r="L25" s="284">
        <v>3417.5</v>
      </c>
      <c r="M25" s="284">
        <v>3417.5</v>
      </c>
      <c r="N25" s="284">
        <v>3414</v>
      </c>
      <c r="O25" s="284">
        <v>3417.5</v>
      </c>
      <c r="P25" s="284">
        <v>3417.5</v>
      </c>
      <c r="Q25" s="284">
        <v>3417.5</v>
      </c>
      <c r="R25" s="284">
        <v>3429</v>
      </c>
      <c r="S25" s="284">
        <v>3410</v>
      </c>
    </row>
    <row r="26" spans="3:21" x14ac:dyDescent="0.25">
      <c r="F26" s="17" t="s">
        <v>86</v>
      </c>
      <c r="G26" s="109" t="s">
        <v>506</v>
      </c>
      <c r="H26" s="109"/>
      <c r="I26" s="109"/>
      <c r="J26" s="217">
        <f>CHOOSE(year_selection, L26,M26,N26,O26,P26,Q26,R26,S26)</f>
        <v>4559.5</v>
      </c>
      <c r="K26" s="218"/>
      <c r="L26" s="285">
        <v>4559.5</v>
      </c>
      <c r="M26" s="285">
        <v>4559.5</v>
      </c>
      <c r="N26" s="285">
        <v>4590</v>
      </c>
      <c r="O26" s="285">
        <v>4559.5</v>
      </c>
      <c r="P26" s="285">
        <v>4559.5</v>
      </c>
      <c r="Q26" s="285">
        <v>4559.5</v>
      </c>
      <c r="R26" s="285">
        <v>4569</v>
      </c>
      <c r="S26" s="285">
        <v>4570</v>
      </c>
    </row>
    <row r="27" spans="3:21" x14ac:dyDescent="0.25">
      <c r="G27" s="91"/>
      <c r="H27" s="91"/>
      <c r="I27" s="91"/>
      <c r="J27" s="127"/>
      <c r="K27" s="91"/>
      <c r="L27" s="91"/>
      <c r="M27" s="91"/>
      <c r="N27" s="91"/>
      <c r="O27" s="91"/>
      <c r="P27" s="91"/>
      <c r="Q27" s="91"/>
      <c r="R27" s="91"/>
      <c r="S27" s="91"/>
    </row>
    <row r="28" spans="3:21" x14ac:dyDescent="0.25">
      <c r="C28" s="5" t="str">
        <f ca="1">INDEX('Version control'!$H$36:$H$62,MATCH($A$1,'Version control'!$F$36:$F$62,0),1)&amp;"-B: Embedded network (LDNO) discount percentages"</f>
        <v>Input 503-B: Embedded network (LDNO) discount percentages</v>
      </c>
      <c r="D28" s="5"/>
      <c r="E28" s="5"/>
      <c r="F28" s="5"/>
      <c r="G28" s="144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</row>
    <row r="29" spans="3:21" x14ac:dyDescent="0.25">
      <c r="G29" s="91"/>
    </row>
    <row r="30" spans="3:21" x14ac:dyDescent="0.25">
      <c r="D30" s="73" t="s">
        <v>197</v>
      </c>
      <c r="G30" s="91"/>
    </row>
    <row r="31" spans="3:21" x14ac:dyDescent="0.25">
      <c r="G31" s="91"/>
    </row>
    <row r="32" spans="3:21" x14ac:dyDescent="0.25">
      <c r="D32" s="52"/>
      <c r="E32" s="52" t="s">
        <v>198</v>
      </c>
      <c r="F32" s="52"/>
      <c r="G32" s="91"/>
      <c r="H32" s="91"/>
      <c r="I32" t="s">
        <v>359</v>
      </c>
      <c r="J32" s="127"/>
      <c r="K32" s="91"/>
      <c r="L32" s="91"/>
      <c r="M32" s="91"/>
      <c r="N32" s="91"/>
      <c r="O32" s="91"/>
      <c r="P32" s="91"/>
      <c r="Q32" s="91"/>
      <c r="R32" s="91"/>
      <c r="S32" s="91"/>
      <c r="U32" t="s">
        <v>693</v>
      </c>
    </row>
    <row r="33" spans="3:38" x14ac:dyDescent="0.25">
      <c r="F33" s="105" t="s">
        <v>66</v>
      </c>
      <c r="G33" s="38" t="s">
        <v>94</v>
      </c>
      <c r="H33" s="38"/>
      <c r="I33" s="38"/>
      <c r="J33" s="147">
        <f>CHOOSE(year_selection, L33,M33,N33,O33,P33,Q33,R33,S33)</f>
        <v>0.40624392198207837</v>
      </c>
      <c r="K33" s="38"/>
      <c r="L33" s="274">
        <v>0.39065864808224315</v>
      </c>
      <c r="M33" s="274">
        <v>0.39141392068807923</v>
      </c>
      <c r="N33" s="274">
        <v>0.39352500447137617</v>
      </c>
      <c r="O33" s="274">
        <v>0.40624392198207837</v>
      </c>
      <c r="P33" s="274">
        <f>$O33</f>
        <v>0.40624392198207837</v>
      </c>
      <c r="Q33" s="274">
        <f t="shared" ref="Q33:S36" si="0">$O33</f>
        <v>0.40624392198207837</v>
      </c>
      <c r="R33" s="274">
        <f t="shared" si="0"/>
        <v>0.40624392198207837</v>
      </c>
      <c r="S33" s="274">
        <f t="shared" si="0"/>
        <v>0.40624392198207837</v>
      </c>
    </row>
    <row r="34" spans="3:38" x14ac:dyDescent="0.25">
      <c r="F34" s="103" t="s">
        <v>67</v>
      </c>
      <c r="G34" s="37" t="s">
        <v>94</v>
      </c>
      <c r="H34" s="37"/>
      <c r="I34" s="37"/>
      <c r="J34" s="15">
        <f>CHOOSE(year_selection, L34,M34,N34,O34,P34,Q34,R34,S34)</f>
        <v>0.60699642425647604</v>
      </c>
      <c r="K34" s="37"/>
      <c r="L34" s="275">
        <v>0.6035938312589374</v>
      </c>
      <c r="M34" s="275">
        <v>0.59610690486024109</v>
      </c>
      <c r="N34" s="275">
        <v>0.60168292383399613</v>
      </c>
      <c r="O34" s="275">
        <v>0.60699642425647604</v>
      </c>
      <c r="P34" s="275">
        <f t="shared" ref="P34:P36" si="1">$O34</f>
        <v>0.60699642425647604</v>
      </c>
      <c r="Q34" s="275">
        <f t="shared" si="0"/>
        <v>0.60699642425647604</v>
      </c>
      <c r="R34" s="275">
        <f t="shared" si="0"/>
        <v>0.60699642425647604</v>
      </c>
      <c r="S34" s="275">
        <f t="shared" si="0"/>
        <v>0.60699642425647604</v>
      </c>
      <c r="W34" t="s">
        <v>72</v>
      </c>
      <c r="X34" t="s">
        <v>73</v>
      </c>
      <c r="Y34" t="s">
        <v>52</v>
      </c>
      <c r="Z34" t="s">
        <v>53</v>
      </c>
      <c r="AA34" t="s">
        <v>54</v>
      </c>
      <c r="AB34" t="s">
        <v>55</v>
      </c>
      <c r="AC34" t="s">
        <v>56</v>
      </c>
      <c r="AD34" t="s">
        <v>57</v>
      </c>
      <c r="AE34" t="s">
        <v>58</v>
      </c>
      <c r="AF34" t="s">
        <v>59</v>
      </c>
      <c r="AG34" t="s">
        <v>60</v>
      </c>
      <c r="AH34" t="s">
        <v>61</v>
      </c>
      <c r="AI34" t="s">
        <v>62</v>
      </c>
      <c r="AJ34" t="s">
        <v>63</v>
      </c>
      <c r="AK34" t="s">
        <v>64</v>
      </c>
      <c r="AL34" t="s">
        <v>65</v>
      </c>
    </row>
    <row r="35" spans="3:38" x14ac:dyDescent="0.25">
      <c r="F35" s="103" t="s">
        <v>68</v>
      </c>
      <c r="G35" s="37" t="s">
        <v>94</v>
      </c>
      <c r="H35" s="37"/>
      <c r="I35" s="37"/>
      <c r="J35" s="15">
        <f>CHOOSE(year_selection, L35,M35,N35,O35,P35,Q35,R35,S35)</f>
        <v>0.33703941159411843</v>
      </c>
      <c r="K35" s="37"/>
      <c r="L35" s="275">
        <v>0.34816774411709611</v>
      </c>
      <c r="M35" s="275">
        <v>0.33516445485972424</v>
      </c>
      <c r="N35" s="275">
        <v>0.34206679621713276</v>
      </c>
      <c r="O35" s="275">
        <v>0.33703941159411843</v>
      </c>
      <c r="P35" s="275">
        <f t="shared" si="1"/>
        <v>0.33703941159411843</v>
      </c>
      <c r="Q35" s="275">
        <f t="shared" si="0"/>
        <v>0.33703941159411843</v>
      </c>
      <c r="R35" s="275">
        <f t="shared" si="0"/>
        <v>0.33703941159411843</v>
      </c>
      <c r="S35" s="275">
        <f t="shared" si="0"/>
        <v>0.33703941159411843</v>
      </c>
    </row>
    <row r="36" spans="3:38" x14ac:dyDescent="0.25">
      <c r="F36" s="104" t="s">
        <v>69</v>
      </c>
      <c r="G36" s="34" t="s">
        <v>94</v>
      </c>
      <c r="H36" s="34"/>
      <c r="I36" s="34"/>
      <c r="J36" s="16">
        <f>CHOOSE(year_selection, L36,M36,N36,O36,P36,Q36,R36,S36)</f>
        <v>0.23936190643348279</v>
      </c>
      <c r="K36" s="34"/>
      <c r="L36" s="276">
        <v>0.25171799777259751</v>
      </c>
      <c r="M36" s="276">
        <v>0.23649536407156155</v>
      </c>
      <c r="N36" s="276">
        <v>0.24344575399068569</v>
      </c>
      <c r="O36" s="276">
        <v>0.23936190643348279</v>
      </c>
      <c r="P36" s="276">
        <f t="shared" si="1"/>
        <v>0.23936190643348279</v>
      </c>
      <c r="Q36" s="276">
        <f t="shared" si="0"/>
        <v>0.23936190643348279</v>
      </c>
      <c r="R36" s="276">
        <f t="shared" si="0"/>
        <v>0.23936190643348279</v>
      </c>
      <c r="S36" s="276">
        <f t="shared" si="0"/>
        <v>0.23936190643348279</v>
      </c>
    </row>
    <row r="37" spans="3:38" x14ac:dyDescent="0.25">
      <c r="G37" s="91"/>
      <c r="H37" s="91"/>
      <c r="I37" s="91"/>
      <c r="J37" s="127"/>
      <c r="K37" s="91"/>
      <c r="L37" s="91"/>
      <c r="M37" s="91"/>
      <c r="N37" s="91"/>
      <c r="O37" s="91"/>
      <c r="P37" s="91"/>
      <c r="Q37" s="91"/>
      <c r="R37" s="91"/>
      <c r="S37" s="91"/>
    </row>
    <row r="38" spans="3:38" x14ac:dyDescent="0.25">
      <c r="C38" s="5" t="str">
        <f ca="1">INDEX('Version control'!$H$36:$H$62,MATCH($A$1,'Version control'!$F$36:$F$62,0),1)&amp;"-C: CDCM target revenue"</f>
        <v>Input 503-C: CDCM target revenue</v>
      </c>
      <c r="D38" s="5"/>
      <c r="E38" s="5"/>
      <c r="F38" s="5"/>
      <c r="G38" s="144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</row>
    <row r="39" spans="3:38" x14ac:dyDescent="0.25">
      <c r="G39" s="91"/>
    </row>
    <row r="40" spans="3:38" x14ac:dyDescent="0.25">
      <c r="D40" s="73" t="s">
        <v>781</v>
      </c>
      <c r="F40" s="73"/>
      <c r="G40" s="91"/>
      <c r="H40" s="91"/>
      <c r="I40" t="s">
        <v>359</v>
      </c>
      <c r="J40" s="128"/>
      <c r="U40" t="s">
        <v>1253</v>
      </c>
    </row>
    <row r="41" spans="3:38" x14ac:dyDescent="0.25">
      <c r="D41" s="73" t="s">
        <v>1249</v>
      </c>
      <c r="F41" s="73"/>
      <c r="G41" s="91"/>
      <c r="H41" s="91"/>
      <c r="I41" s="91"/>
      <c r="J41" s="127"/>
      <c r="K41" s="91"/>
      <c r="L41" s="91"/>
      <c r="M41" s="91"/>
      <c r="N41" s="91"/>
      <c r="O41" s="91"/>
      <c r="P41" s="91"/>
      <c r="Q41" s="91"/>
      <c r="R41" s="91"/>
      <c r="S41" s="91"/>
    </row>
    <row r="42" spans="3:38" x14ac:dyDescent="0.25">
      <c r="D42" s="73"/>
      <c r="E42" s="73"/>
      <c r="F42" s="73"/>
      <c r="G42" s="91"/>
      <c r="H42" s="91"/>
      <c r="I42" s="91"/>
      <c r="J42" s="127"/>
      <c r="K42" s="91"/>
      <c r="L42" s="91"/>
      <c r="M42" s="91"/>
      <c r="N42" s="91"/>
      <c r="O42" s="91"/>
      <c r="P42" s="91"/>
      <c r="Q42" s="91"/>
      <c r="R42" s="91"/>
      <c r="S42" s="91"/>
    </row>
    <row r="43" spans="3:38" x14ac:dyDescent="0.25">
      <c r="E43" t="s">
        <v>0</v>
      </c>
      <c r="G43" t="s">
        <v>107</v>
      </c>
      <c r="J43" s="215">
        <f t="shared" ref="J43:J48" si="2">CHOOSE(year_selection, L43,M43,N43,O43,P43,Q43,R43,S43)</f>
        <v>450557107.84395891</v>
      </c>
      <c r="K43" s="211"/>
      <c r="L43" s="284">
        <v>346000000</v>
      </c>
      <c r="M43" s="284">
        <v>346000000</v>
      </c>
      <c r="N43" s="284">
        <v>466119382.3788045</v>
      </c>
      <c r="O43" s="500">
        <v>450557107.84395891</v>
      </c>
      <c r="P43" s="284">
        <v>369841603.4142617</v>
      </c>
      <c r="Q43" s="284">
        <v>370033449.12747562</v>
      </c>
      <c r="R43" s="284">
        <v>365421140.22889882</v>
      </c>
      <c r="S43" s="284">
        <v>365421140.22889882</v>
      </c>
    </row>
    <row r="44" spans="3:38" x14ac:dyDescent="0.25">
      <c r="E44" t="s">
        <v>1</v>
      </c>
      <c r="G44" t="s">
        <v>107</v>
      </c>
      <c r="J44" s="215">
        <f t="shared" si="2"/>
        <v>525349.70002657233</v>
      </c>
      <c r="K44" s="211"/>
      <c r="L44" s="284">
        <v>-13483324.791387133</v>
      </c>
      <c r="M44" s="284">
        <v>-10300000</v>
      </c>
      <c r="N44" s="284">
        <v>3780167.5078812451</v>
      </c>
      <c r="O44" s="284">
        <v>525349.70002657233</v>
      </c>
      <c r="P44" s="284">
        <v>546140.74621599459</v>
      </c>
      <c r="Q44" s="284">
        <v>567725.98751656618</v>
      </c>
      <c r="R44" s="284">
        <v>589942.34736545954</v>
      </c>
      <c r="S44" s="284">
        <v>0</v>
      </c>
    </row>
    <row r="45" spans="3:38" x14ac:dyDescent="0.25">
      <c r="E45" t="s">
        <v>2</v>
      </c>
      <c r="G45" t="s">
        <v>107</v>
      </c>
      <c r="J45" s="215">
        <f t="shared" si="2"/>
        <v>28355781.064506602</v>
      </c>
      <c r="K45" s="211"/>
      <c r="L45" s="284">
        <v>-2617430.5441080644</v>
      </c>
      <c r="M45" s="284">
        <v>-2686316.5452691391</v>
      </c>
      <c r="N45" s="284">
        <v>5641713.5392299974</v>
      </c>
      <c r="O45" s="284">
        <v>28355781.064506602</v>
      </c>
      <c r="P45" s="284">
        <v>0</v>
      </c>
      <c r="Q45" s="284">
        <v>0</v>
      </c>
      <c r="R45" s="284">
        <v>0</v>
      </c>
      <c r="S45" s="284">
        <v>0</v>
      </c>
    </row>
    <row r="46" spans="3:38" x14ac:dyDescent="0.25">
      <c r="E46" s="17" t="s">
        <v>3</v>
      </c>
      <c r="F46" s="17"/>
      <c r="G46" s="17" t="s">
        <v>427</v>
      </c>
      <c r="H46" s="17"/>
      <c r="I46" s="17"/>
      <c r="J46" s="217">
        <f t="shared" si="2"/>
        <v>1.2487116883061693</v>
      </c>
      <c r="K46" s="220"/>
      <c r="L46" s="285">
        <v>1.2609999999999999</v>
      </c>
      <c r="M46" s="285">
        <v>1.2769999999999999</v>
      </c>
      <c r="N46" s="285">
        <v>1.1266442534942276</v>
      </c>
      <c r="O46" s="285">
        <v>1.2487116883061693</v>
      </c>
      <c r="P46" s="285">
        <v>1.2419913155758857</v>
      </c>
      <c r="Q46" s="285">
        <v>1.2489294942861735</v>
      </c>
      <c r="R46" s="285">
        <v>1.2712468200726117</v>
      </c>
      <c r="S46" s="285">
        <v>1.296671756474064</v>
      </c>
    </row>
    <row r="47" spans="3:38" x14ac:dyDescent="0.25">
      <c r="E47" t="s">
        <v>4</v>
      </c>
      <c r="G47" t="s">
        <v>107</v>
      </c>
      <c r="J47" s="215">
        <f t="shared" si="2"/>
        <v>479438238.60849208</v>
      </c>
      <c r="K47" s="211"/>
      <c r="L47" s="221">
        <f t="shared" ref="L47" si="3">SUM(L43:L45)</f>
        <v>329899244.66450477</v>
      </c>
      <c r="M47" s="221">
        <f t="shared" ref="M47:S47" si="4">SUM(M43:M45)</f>
        <v>333013683.45473087</v>
      </c>
      <c r="N47" s="221">
        <f t="shared" si="4"/>
        <v>475541263.42591572</v>
      </c>
      <c r="O47" s="221">
        <f t="shared" si="4"/>
        <v>479438238.60849208</v>
      </c>
      <c r="P47" s="221">
        <f t="shared" si="4"/>
        <v>370387744.1604777</v>
      </c>
      <c r="Q47" s="221">
        <f t="shared" si="4"/>
        <v>370601175.1149922</v>
      </c>
      <c r="R47" s="221">
        <f t="shared" si="4"/>
        <v>366011082.57626426</v>
      </c>
      <c r="S47" s="221">
        <f t="shared" si="4"/>
        <v>365421140.22889882</v>
      </c>
    </row>
    <row r="48" spans="3:38" x14ac:dyDescent="0.25">
      <c r="E48" t="s">
        <v>437</v>
      </c>
      <c r="G48" t="s">
        <v>107</v>
      </c>
      <c r="J48" s="215">
        <f t="shared" si="2"/>
        <v>119241893.7628541</v>
      </c>
      <c r="K48" s="211"/>
      <c r="L48" s="221">
        <f t="shared" ref="L48:S48" si="5">L47 * (L46 - 1)</f>
        <v>86103702.857435703</v>
      </c>
      <c r="M48" s="221">
        <f t="shared" si="5"/>
        <v>92244790.316960424</v>
      </c>
      <c r="N48" s="221">
        <f t="shared" si="5"/>
        <v>60224568.31227693</v>
      </c>
      <c r="O48" s="221">
        <f t="shared" si="5"/>
        <v>119241893.7628541</v>
      </c>
      <c r="P48" s="221">
        <f>P47 * (P46 - 1)</f>
        <v>89630617.482578576</v>
      </c>
      <c r="Q48" s="221">
        <f t="shared" si="5"/>
        <v>92253563.103236631</v>
      </c>
      <c r="R48" s="221">
        <f t="shared" si="5"/>
        <v>99279342.260145769</v>
      </c>
      <c r="S48" s="221">
        <f t="shared" si="5"/>
        <v>108410131.52446266</v>
      </c>
    </row>
    <row r="49" spans="1:19" x14ac:dyDescent="0.25">
      <c r="J49" s="222"/>
      <c r="K49" s="211"/>
      <c r="L49" s="211"/>
      <c r="M49" s="211"/>
      <c r="N49" s="211"/>
      <c r="O49" s="211"/>
      <c r="P49" s="211"/>
      <c r="Q49" s="211"/>
      <c r="R49" s="211"/>
      <c r="S49" s="211"/>
    </row>
    <row r="50" spans="1:19" x14ac:dyDescent="0.25">
      <c r="E50" t="s">
        <v>5</v>
      </c>
      <c r="G50" t="s">
        <v>107</v>
      </c>
      <c r="J50" s="215">
        <f t="shared" ref="J50:J60" si="6">CHOOSE(year_selection, L50,M50,N50,O50,P50,Q50,R50,S50)</f>
        <v>834652.05185373442</v>
      </c>
      <c r="K50" s="211"/>
      <c r="L50" s="284">
        <v>381935.68229276169</v>
      </c>
      <c r="M50" s="284">
        <v>363768.19733295537</v>
      </c>
      <c r="N50" s="284">
        <v>649400.28692133189</v>
      </c>
      <c r="O50" s="284">
        <v>834652.05185373442</v>
      </c>
      <c r="P50" s="284">
        <v>0</v>
      </c>
      <c r="Q50" s="284">
        <v>0</v>
      </c>
      <c r="R50" s="284">
        <v>0</v>
      </c>
      <c r="S50" s="284">
        <v>0</v>
      </c>
    </row>
    <row r="51" spans="1:19" x14ac:dyDescent="0.25">
      <c r="E51" t="s">
        <v>6</v>
      </c>
      <c r="G51" t="s">
        <v>107</v>
      </c>
      <c r="J51" s="215">
        <f t="shared" si="6"/>
        <v>-21154633.724595405</v>
      </c>
      <c r="K51" s="211"/>
      <c r="L51" s="284">
        <v>-11566275.226868516</v>
      </c>
      <c r="M51" s="284">
        <v>-12355850.222382126</v>
      </c>
      <c r="N51" s="284">
        <v>-14850211.337765895</v>
      </c>
      <c r="O51" s="284">
        <v>-21154633.724595405</v>
      </c>
      <c r="P51" s="284">
        <v>0</v>
      </c>
      <c r="Q51" s="284">
        <v>0</v>
      </c>
      <c r="R51" s="284">
        <v>0</v>
      </c>
      <c r="S51" s="284">
        <v>0</v>
      </c>
    </row>
    <row r="52" spans="1:19" x14ac:dyDescent="0.25">
      <c r="E52" t="s">
        <v>7</v>
      </c>
      <c r="G52" t="s">
        <v>107</v>
      </c>
      <c r="J52" s="215">
        <f t="shared" si="6"/>
        <v>-9685295.8031321373</v>
      </c>
      <c r="K52" s="211"/>
      <c r="L52" s="284">
        <v>8418434.0577780586</v>
      </c>
      <c r="M52" s="284">
        <v>2545202.3033394194</v>
      </c>
      <c r="N52" s="284">
        <v>-5517583.9179943586</v>
      </c>
      <c r="O52" s="284">
        <v>-9685295.8031321373</v>
      </c>
      <c r="P52" s="284">
        <v>0</v>
      </c>
      <c r="Q52" s="284">
        <v>0</v>
      </c>
      <c r="R52" s="284">
        <v>0</v>
      </c>
      <c r="S52" s="284">
        <v>0</v>
      </c>
    </row>
    <row r="53" spans="1:19" x14ac:dyDescent="0.25">
      <c r="E53" t="s">
        <v>8</v>
      </c>
      <c r="G53" t="s">
        <v>107</v>
      </c>
      <c r="J53" s="215">
        <f t="shared" si="6"/>
        <v>7193797.8841172177</v>
      </c>
      <c r="K53" s="211"/>
      <c r="L53" s="284">
        <v>1781216.1251461192</v>
      </c>
      <c r="M53" s="284">
        <v>2314614.4121898743</v>
      </c>
      <c r="N53" s="284">
        <v>2816043.7283540084</v>
      </c>
      <c r="O53" s="284">
        <v>7193797.8841172177</v>
      </c>
      <c r="P53" s="284">
        <v>0</v>
      </c>
      <c r="Q53" s="284">
        <v>0</v>
      </c>
      <c r="R53" s="284">
        <v>0</v>
      </c>
      <c r="S53" s="284">
        <v>0</v>
      </c>
    </row>
    <row r="54" spans="1:19" x14ac:dyDescent="0.25">
      <c r="E54" t="s">
        <v>9</v>
      </c>
      <c r="G54" t="s">
        <v>107</v>
      </c>
      <c r="J54" s="215">
        <f t="shared" si="6"/>
        <v>531282.04280333244</v>
      </c>
      <c r="K54" s="211"/>
      <c r="L54" s="284">
        <v>14896.347279979647</v>
      </c>
      <c r="M54" s="284">
        <v>0</v>
      </c>
      <c r="N54" s="284">
        <v>0</v>
      </c>
      <c r="O54" s="284">
        <v>531282.04280333244</v>
      </c>
      <c r="P54" s="284">
        <v>0</v>
      </c>
      <c r="Q54" s="284">
        <v>0</v>
      </c>
      <c r="R54" s="284">
        <v>0</v>
      </c>
      <c r="S54" s="284">
        <v>0</v>
      </c>
    </row>
    <row r="55" spans="1:19" x14ac:dyDescent="0.25">
      <c r="E55" t="s">
        <v>10</v>
      </c>
      <c r="G55" t="s">
        <v>107</v>
      </c>
      <c r="J55" s="215">
        <f t="shared" si="6"/>
        <v>0</v>
      </c>
      <c r="K55" s="211"/>
      <c r="L55" s="284">
        <v>0</v>
      </c>
      <c r="M55" s="284">
        <v>0</v>
      </c>
      <c r="N55" s="284">
        <v>0</v>
      </c>
      <c r="O55" s="284">
        <v>0</v>
      </c>
      <c r="P55" s="284">
        <v>0</v>
      </c>
      <c r="Q55" s="284">
        <v>0</v>
      </c>
      <c r="R55" s="284">
        <v>0</v>
      </c>
      <c r="S55" s="284">
        <v>0</v>
      </c>
    </row>
    <row r="56" spans="1:19" x14ac:dyDescent="0.25">
      <c r="E56" t="s">
        <v>957</v>
      </c>
      <c r="G56" t="s">
        <v>107</v>
      </c>
      <c r="J56" s="215">
        <f t="shared" si="6"/>
        <v>1211184.4474688924</v>
      </c>
      <c r="K56" s="211"/>
      <c r="L56" s="284">
        <v>47073.343842731156</v>
      </c>
      <c r="M56" s="284">
        <v>572133.23571579333</v>
      </c>
      <c r="N56" s="284">
        <v>1010600.2663248392</v>
      </c>
      <c r="O56" s="284">
        <v>1211184.4474688924</v>
      </c>
      <c r="P56" s="284">
        <v>0</v>
      </c>
      <c r="Q56" s="284">
        <v>0</v>
      </c>
      <c r="R56" s="284">
        <v>0</v>
      </c>
      <c r="S56" s="284">
        <v>0</v>
      </c>
    </row>
    <row r="57" spans="1:19" x14ac:dyDescent="0.25">
      <c r="E57" t="s">
        <v>958</v>
      </c>
      <c r="G57" t="s">
        <v>107</v>
      </c>
      <c r="J57" s="215">
        <f t="shared" si="6"/>
        <v>2435630.7059293278</v>
      </c>
      <c r="K57" s="211"/>
      <c r="L57" s="284">
        <v>1417380.0307358583</v>
      </c>
      <c r="M57" s="284">
        <v>265069.01304077008</v>
      </c>
      <c r="N57" s="284">
        <v>1210077.6487655502</v>
      </c>
      <c r="O57" s="284">
        <v>2435630.7059293278</v>
      </c>
      <c r="P57" s="284">
        <v>0</v>
      </c>
      <c r="Q57" s="284">
        <v>0</v>
      </c>
      <c r="R57" s="284">
        <v>0</v>
      </c>
      <c r="S57" s="284">
        <v>0</v>
      </c>
    </row>
    <row r="58" spans="1:19" s="476" customFormat="1" x14ac:dyDescent="0.25">
      <c r="A58"/>
      <c r="E58" t="s">
        <v>1247</v>
      </c>
      <c r="F58"/>
      <c r="G58" t="s">
        <v>107</v>
      </c>
      <c r="J58" s="477">
        <f t="shared" si="6"/>
        <v>0</v>
      </c>
      <c r="K58" s="478"/>
      <c r="L58" s="284">
        <v>0</v>
      </c>
      <c r="M58" s="284">
        <v>0</v>
      </c>
      <c r="N58" s="284">
        <v>0</v>
      </c>
      <c r="O58" s="284">
        <v>0</v>
      </c>
      <c r="P58" s="284">
        <v>0</v>
      </c>
      <c r="Q58" s="284">
        <v>0</v>
      </c>
      <c r="R58" s="284">
        <v>0</v>
      </c>
      <c r="S58" s="284">
        <v>0</v>
      </c>
    </row>
    <row r="59" spans="1:19" x14ac:dyDescent="0.25">
      <c r="E59" s="17" t="s">
        <v>11</v>
      </c>
      <c r="F59" s="17"/>
      <c r="G59" s="17" t="s">
        <v>107</v>
      </c>
      <c r="H59" s="17"/>
      <c r="I59" s="17"/>
      <c r="J59" s="217">
        <f t="shared" si="6"/>
        <v>0</v>
      </c>
      <c r="K59" s="220"/>
      <c r="L59" s="285"/>
      <c r="M59" s="285"/>
      <c r="N59" s="285">
        <v>0</v>
      </c>
      <c r="O59" s="285">
        <v>0</v>
      </c>
      <c r="P59" s="285">
        <v>0</v>
      </c>
      <c r="Q59" s="285">
        <v>0</v>
      </c>
      <c r="R59" s="285">
        <v>0</v>
      </c>
      <c r="S59" s="285">
        <v>0</v>
      </c>
    </row>
    <row r="60" spans="1:19" x14ac:dyDescent="0.25">
      <c r="E60" t="s">
        <v>12</v>
      </c>
      <c r="G60" t="s">
        <v>107</v>
      </c>
      <c r="J60" s="215">
        <f t="shared" si="6"/>
        <v>-18633382.395555038</v>
      </c>
      <c r="K60" s="211"/>
      <c r="L60" s="257">
        <f t="shared" ref="L60:N60" si="7">SUM(L50:L59)</f>
        <v>494660.36020699225</v>
      </c>
      <c r="M60" s="257">
        <f t="shared" si="7"/>
        <v>-6295063.0607633125</v>
      </c>
      <c r="N60" s="257">
        <f t="shared" si="7"/>
        <v>-14681673.325394526</v>
      </c>
      <c r="O60" s="257">
        <f t="shared" ref="O60:S60" si="8">SUM(O50:O59)</f>
        <v>-18633382.395555038</v>
      </c>
      <c r="P60" s="257">
        <f t="shared" si="8"/>
        <v>0</v>
      </c>
      <c r="Q60" s="257">
        <f t="shared" si="8"/>
        <v>0</v>
      </c>
      <c r="R60" s="257">
        <f t="shared" si="8"/>
        <v>0</v>
      </c>
      <c r="S60" s="257">
        <f t="shared" si="8"/>
        <v>0</v>
      </c>
    </row>
    <row r="61" spans="1:19" x14ac:dyDescent="0.25">
      <c r="J61" s="222"/>
      <c r="K61" s="211"/>
      <c r="L61" s="211"/>
      <c r="M61" s="211"/>
      <c r="N61" s="211"/>
      <c r="O61" s="211"/>
      <c r="P61" s="211"/>
      <c r="Q61" s="211"/>
      <c r="R61" s="211"/>
      <c r="S61" s="211"/>
    </row>
    <row r="62" spans="1:19" x14ac:dyDescent="0.25">
      <c r="E62" t="s">
        <v>13</v>
      </c>
      <c r="G62" t="s">
        <v>107</v>
      </c>
      <c r="J62" s="215">
        <f t="shared" ref="J62:J73" si="9">CHOOSE(year_selection, L62,M62,N62,O62,P62,Q62,R62,S62)</f>
        <v>4391971.4560801601</v>
      </c>
      <c r="K62" s="211"/>
      <c r="L62" s="284">
        <v>3925182.3924593851</v>
      </c>
      <c r="M62" s="284">
        <v>3744992.2652498204</v>
      </c>
      <c r="N62" s="284">
        <v>3887318.2793501578</v>
      </c>
      <c r="O62" s="284">
        <v>4391971.4560801601</v>
      </c>
      <c r="P62" s="284">
        <v>0</v>
      </c>
      <c r="Q62" s="284">
        <v>0</v>
      </c>
      <c r="R62" s="284">
        <v>0</v>
      </c>
      <c r="S62" s="284">
        <v>0</v>
      </c>
    </row>
    <row r="63" spans="1:19" x14ac:dyDescent="0.25">
      <c r="E63" t="s">
        <v>14</v>
      </c>
      <c r="G63" t="s">
        <v>107</v>
      </c>
      <c r="J63" s="215">
        <f t="shared" si="9"/>
        <v>14475034.535485072</v>
      </c>
      <c r="K63" s="211"/>
      <c r="L63" s="284">
        <v>8075106.4802583205</v>
      </c>
      <c r="M63" s="284">
        <v>7990981.667213737</v>
      </c>
      <c r="N63" s="284">
        <v>7666848.6436457997</v>
      </c>
      <c r="O63" s="284">
        <v>14475034.535485072</v>
      </c>
      <c r="P63" s="284">
        <v>0</v>
      </c>
      <c r="Q63" s="284">
        <v>0</v>
      </c>
      <c r="R63" s="284">
        <v>0</v>
      </c>
      <c r="S63" s="284">
        <v>0</v>
      </c>
    </row>
    <row r="64" spans="1:19" x14ac:dyDescent="0.25">
      <c r="E64" t="s">
        <v>15</v>
      </c>
      <c r="G64" t="s">
        <v>107</v>
      </c>
      <c r="J64" s="215">
        <f t="shared" si="9"/>
        <v>0</v>
      </c>
      <c r="K64" s="211"/>
      <c r="L64" s="284">
        <v>0</v>
      </c>
      <c r="M64" s="284">
        <v>0</v>
      </c>
      <c r="N64" s="284">
        <v>0</v>
      </c>
      <c r="O64" s="284">
        <v>0</v>
      </c>
      <c r="P64" s="284">
        <v>0</v>
      </c>
      <c r="Q64" s="284">
        <v>0</v>
      </c>
      <c r="R64" s="284">
        <v>0</v>
      </c>
      <c r="S64" s="284">
        <v>0</v>
      </c>
    </row>
    <row r="65" spans="5:19" x14ac:dyDescent="0.25">
      <c r="E65" t="s">
        <v>16</v>
      </c>
      <c r="G65" t="s">
        <v>107</v>
      </c>
      <c r="J65" s="215">
        <f t="shared" si="9"/>
        <v>850058.9914993858</v>
      </c>
      <c r="K65" s="211"/>
      <c r="L65" s="284">
        <v>713669.52590170642</v>
      </c>
      <c r="M65" s="284">
        <v>724837.21262899763</v>
      </c>
      <c r="N65" s="284">
        <v>877781.5469500355</v>
      </c>
      <c r="O65" s="284">
        <v>850058.9914993858</v>
      </c>
      <c r="P65" s="284">
        <v>0</v>
      </c>
      <c r="Q65" s="284">
        <v>0</v>
      </c>
      <c r="R65" s="284">
        <v>0</v>
      </c>
      <c r="S65" s="284">
        <v>0</v>
      </c>
    </row>
    <row r="66" spans="5:19" x14ac:dyDescent="0.25">
      <c r="E66" t="s">
        <v>17</v>
      </c>
      <c r="G66" t="s">
        <v>107</v>
      </c>
      <c r="J66" s="215">
        <f t="shared" si="9"/>
        <v>0</v>
      </c>
      <c r="K66" s="211"/>
      <c r="L66" s="284">
        <v>735162.99999999988</v>
      </c>
      <c r="M66" s="284">
        <v>0</v>
      </c>
      <c r="N66" s="284">
        <v>0</v>
      </c>
      <c r="O66" s="284">
        <v>0</v>
      </c>
      <c r="P66" s="284">
        <v>0</v>
      </c>
      <c r="Q66" s="284">
        <v>0</v>
      </c>
      <c r="R66" s="284">
        <v>0</v>
      </c>
      <c r="S66" s="284">
        <v>0</v>
      </c>
    </row>
    <row r="67" spans="5:19" x14ac:dyDescent="0.25">
      <c r="E67" t="s">
        <v>18</v>
      </c>
      <c r="G67" t="s">
        <v>107</v>
      </c>
      <c r="J67" s="215">
        <f t="shared" si="9"/>
        <v>0</v>
      </c>
      <c r="K67" s="211"/>
      <c r="L67" s="284">
        <v>1657301.5080000001</v>
      </c>
      <c r="M67" s="284">
        <v>1652400</v>
      </c>
      <c r="N67" s="284">
        <v>0</v>
      </c>
      <c r="O67" s="284">
        <v>0</v>
      </c>
      <c r="P67" s="284">
        <v>0</v>
      </c>
      <c r="Q67" s="284">
        <v>0</v>
      </c>
      <c r="R67" s="284">
        <v>0</v>
      </c>
      <c r="S67" s="284">
        <v>0</v>
      </c>
    </row>
    <row r="68" spans="5:19" x14ac:dyDescent="0.25">
      <c r="E68" t="s">
        <v>19</v>
      </c>
      <c r="G68" t="s">
        <v>107</v>
      </c>
      <c r="J68" s="215">
        <f t="shared" si="9"/>
        <v>0</v>
      </c>
      <c r="K68" s="211"/>
      <c r="L68" s="284">
        <v>0</v>
      </c>
      <c r="M68" s="284">
        <v>0</v>
      </c>
      <c r="N68" s="284">
        <v>0</v>
      </c>
      <c r="O68" s="284">
        <v>0</v>
      </c>
      <c r="P68" s="284">
        <v>0</v>
      </c>
      <c r="Q68" s="284">
        <v>0</v>
      </c>
      <c r="R68" s="284">
        <v>0</v>
      </c>
      <c r="S68" s="284">
        <v>0</v>
      </c>
    </row>
    <row r="69" spans="5:19" x14ac:dyDescent="0.25">
      <c r="E69" t="s">
        <v>20</v>
      </c>
      <c r="G69" t="s">
        <v>107</v>
      </c>
      <c r="J69" s="215">
        <f t="shared" si="9"/>
        <v>0</v>
      </c>
      <c r="K69" s="211"/>
      <c r="L69" s="284">
        <v>0</v>
      </c>
      <c r="M69" s="284">
        <v>0</v>
      </c>
      <c r="N69" s="284">
        <v>0</v>
      </c>
      <c r="O69" s="284">
        <v>0</v>
      </c>
      <c r="P69" s="284">
        <v>0</v>
      </c>
      <c r="Q69" s="284">
        <v>0</v>
      </c>
      <c r="R69" s="284">
        <v>0</v>
      </c>
      <c r="S69" s="284">
        <v>0</v>
      </c>
    </row>
    <row r="70" spans="5:19" x14ac:dyDescent="0.25">
      <c r="E70" t="s">
        <v>21</v>
      </c>
      <c r="G70" t="s">
        <v>107</v>
      </c>
      <c r="J70" s="215">
        <f t="shared" si="9"/>
        <v>0</v>
      </c>
      <c r="K70" s="211"/>
      <c r="L70" s="284">
        <v>0</v>
      </c>
      <c r="M70" s="284">
        <v>0</v>
      </c>
      <c r="N70" s="284">
        <v>0</v>
      </c>
      <c r="O70" s="284">
        <v>0</v>
      </c>
      <c r="P70" s="284">
        <v>0</v>
      </c>
      <c r="Q70" s="284">
        <v>0</v>
      </c>
      <c r="R70" s="284">
        <v>0</v>
      </c>
      <c r="S70" s="284">
        <v>0</v>
      </c>
    </row>
    <row r="71" spans="5:19" x14ac:dyDescent="0.25">
      <c r="E71" t="s">
        <v>22</v>
      </c>
      <c r="G71" t="s">
        <v>107</v>
      </c>
      <c r="J71" s="215">
        <f t="shared" si="9"/>
        <v>0</v>
      </c>
      <c r="K71" s="211"/>
      <c r="L71" s="284">
        <v>0</v>
      </c>
      <c r="M71" s="284">
        <v>0</v>
      </c>
      <c r="N71" s="284">
        <v>0</v>
      </c>
      <c r="O71" s="284">
        <v>0</v>
      </c>
      <c r="P71" s="284">
        <v>0</v>
      </c>
      <c r="Q71" s="284">
        <v>0</v>
      </c>
      <c r="R71" s="284">
        <v>0</v>
      </c>
      <c r="S71" s="284">
        <v>0</v>
      </c>
    </row>
    <row r="72" spans="5:19" x14ac:dyDescent="0.25">
      <c r="E72" s="17" t="s">
        <v>23</v>
      </c>
      <c r="F72" s="17"/>
      <c r="G72" s="17" t="s">
        <v>107</v>
      </c>
      <c r="H72" s="17"/>
      <c r="I72" s="17"/>
      <c r="J72" s="217">
        <f t="shared" si="9"/>
        <v>0</v>
      </c>
      <c r="K72" s="220"/>
      <c r="L72" s="285">
        <v>0</v>
      </c>
      <c r="M72" s="285">
        <v>0</v>
      </c>
      <c r="N72" s="285">
        <v>0</v>
      </c>
      <c r="O72" s="285">
        <v>0</v>
      </c>
      <c r="P72" s="285">
        <v>0</v>
      </c>
      <c r="Q72" s="285">
        <v>0</v>
      </c>
      <c r="R72" s="285">
        <v>0</v>
      </c>
      <c r="S72" s="285">
        <v>0</v>
      </c>
    </row>
    <row r="73" spans="5:19" x14ac:dyDescent="0.25">
      <c r="E73" t="s">
        <v>24</v>
      </c>
      <c r="G73" t="s">
        <v>107</v>
      </c>
      <c r="J73" s="215">
        <f t="shared" si="9"/>
        <v>19717064.983064618</v>
      </c>
      <c r="K73" s="211"/>
      <c r="L73" s="257">
        <f t="shared" ref="L73:N73" si="10">SUM(L62:L72)</f>
        <v>15106422.906619411</v>
      </c>
      <c r="M73" s="257">
        <f t="shared" si="10"/>
        <v>14113211.145092554</v>
      </c>
      <c r="N73" s="257">
        <f t="shared" si="10"/>
        <v>12431948.469945993</v>
      </c>
      <c r="O73" s="257">
        <f t="shared" ref="O73:S73" si="11">SUM(O62:O72)</f>
        <v>19717064.983064618</v>
      </c>
      <c r="P73" s="257">
        <f t="shared" si="11"/>
        <v>0</v>
      </c>
      <c r="Q73" s="257">
        <f t="shared" si="11"/>
        <v>0</v>
      </c>
      <c r="R73" s="257">
        <f t="shared" si="11"/>
        <v>0</v>
      </c>
      <c r="S73" s="257">
        <f t="shared" si="11"/>
        <v>0</v>
      </c>
    </row>
    <row r="74" spans="5:19" x14ac:dyDescent="0.25">
      <c r="J74" s="222"/>
      <c r="K74" s="211"/>
      <c r="L74" s="211"/>
      <c r="M74" s="211"/>
      <c r="N74" s="211"/>
      <c r="O74" s="211"/>
      <c r="P74" s="211"/>
      <c r="Q74" s="211"/>
      <c r="R74" s="211"/>
      <c r="S74" s="211"/>
    </row>
    <row r="75" spans="5:19" x14ac:dyDescent="0.25">
      <c r="E75" s="17" t="s">
        <v>25</v>
      </c>
      <c r="F75" s="17"/>
      <c r="G75" s="17" t="s">
        <v>107</v>
      </c>
      <c r="H75" s="17"/>
      <c r="I75" s="17"/>
      <c r="J75" s="217">
        <f>CHOOSE(year_selection, L75,M75,N75,O75,P75,Q75,R75,S75)</f>
        <v>0</v>
      </c>
      <c r="K75" s="220"/>
      <c r="L75" s="285">
        <v>-5553744.6795161283</v>
      </c>
      <c r="M75" s="285">
        <v>21367780.325415071</v>
      </c>
      <c r="N75" s="285">
        <v>-2124724.8309716936</v>
      </c>
      <c r="O75" s="285">
        <v>0</v>
      </c>
      <c r="P75" s="285">
        <v>0</v>
      </c>
      <c r="Q75" s="285">
        <v>0</v>
      </c>
      <c r="R75" s="285">
        <v>0</v>
      </c>
      <c r="S75" s="285">
        <v>0</v>
      </c>
    </row>
    <row r="76" spans="5:19" x14ac:dyDescent="0.25">
      <c r="E76" t="s">
        <v>26</v>
      </c>
      <c r="G76" t="s">
        <v>107</v>
      </c>
      <c r="J76" s="215">
        <f>CHOOSE(year_selection, L76,M76,N76,O76,P76,Q76,R76,S76)</f>
        <v>599763814.95885575</v>
      </c>
      <c r="K76" s="211"/>
      <c r="L76" s="221">
        <f t="shared" ref="L76:S76" si="12">L75 + L73 + L60 + L48 + L47</f>
        <v>426050286.10925072</v>
      </c>
      <c r="M76" s="221">
        <f t="shared" si="12"/>
        <v>454444402.18143559</v>
      </c>
      <c r="N76" s="221">
        <f t="shared" si="12"/>
        <v>531391382.05177242</v>
      </c>
      <c r="O76" s="221">
        <f t="shared" si="12"/>
        <v>599763814.95885575</v>
      </c>
      <c r="P76" s="221">
        <f t="shared" si="12"/>
        <v>460018361.64305627</v>
      </c>
      <c r="Q76" s="221">
        <f t="shared" si="12"/>
        <v>462854738.21822882</v>
      </c>
      <c r="R76" s="221">
        <f t="shared" si="12"/>
        <v>465290424.83641005</v>
      </c>
      <c r="S76" s="221">
        <f t="shared" si="12"/>
        <v>473831271.75336146</v>
      </c>
    </row>
    <row r="77" spans="5:19" x14ac:dyDescent="0.25">
      <c r="J77" s="222"/>
      <c r="K77" s="211"/>
      <c r="L77" s="211"/>
      <c r="M77" s="211"/>
      <c r="N77" s="211"/>
      <c r="O77" s="211"/>
      <c r="P77" s="211"/>
      <c r="Q77" s="211"/>
      <c r="R77" s="211"/>
      <c r="S77" s="211"/>
    </row>
    <row r="78" spans="5:19" x14ac:dyDescent="0.25">
      <c r="E78" t="s">
        <v>27</v>
      </c>
      <c r="G78" t="s">
        <v>107</v>
      </c>
      <c r="J78" s="215">
        <f t="shared" ref="J78:J84" si="13">CHOOSE(year_selection, L78,M78,N78,O78,P78,Q78,R78,S78)</f>
        <v>0</v>
      </c>
      <c r="K78" s="211"/>
      <c r="L78" s="284">
        <v>0</v>
      </c>
      <c r="M78" s="284">
        <v>0</v>
      </c>
      <c r="N78" s="284">
        <v>0</v>
      </c>
      <c r="O78" s="284">
        <v>0</v>
      </c>
      <c r="P78" s="284">
        <v>0</v>
      </c>
      <c r="Q78" s="284">
        <v>0</v>
      </c>
      <c r="R78" s="284">
        <v>0</v>
      </c>
      <c r="S78" s="284">
        <v>0</v>
      </c>
    </row>
    <row r="79" spans="5:19" x14ac:dyDescent="0.25">
      <c r="E79" t="s">
        <v>28</v>
      </c>
      <c r="G79" t="s">
        <v>107</v>
      </c>
      <c r="J79" s="215">
        <f t="shared" si="13"/>
        <v>889433.55570979044</v>
      </c>
      <c r="K79" s="211"/>
      <c r="L79" s="284">
        <v>687596.03530468408</v>
      </c>
      <c r="M79" s="284">
        <v>700276.17305066367</v>
      </c>
      <c r="N79" s="284">
        <v>775024.07755306037</v>
      </c>
      <c r="O79" s="284">
        <v>889433.55570979044</v>
      </c>
      <c r="P79" s="284">
        <v>884646.76219358691</v>
      </c>
      <c r="Q79" s="284">
        <v>889588.6947615539</v>
      </c>
      <c r="R79" s="284">
        <v>905484.90091871016</v>
      </c>
      <c r="S79" s="284">
        <v>923594.59893708443</v>
      </c>
    </row>
    <row r="80" spans="5:19" x14ac:dyDescent="0.25">
      <c r="E80" t="s">
        <v>29</v>
      </c>
      <c r="G80" t="s">
        <v>107</v>
      </c>
      <c r="J80" s="215">
        <f t="shared" si="13"/>
        <v>0</v>
      </c>
      <c r="K80" s="211"/>
      <c r="L80" s="284">
        <v>0</v>
      </c>
      <c r="M80" s="284">
        <v>0</v>
      </c>
      <c r="N80" s="284">
        <v>0</v>
      </c>
      <c r="O80" s="284">
        <v>0</v>
      </c>
      <c r="P80" s="284">
        <v>0</v>
      </c>
      <c r="Q80" s="284">
        <v>0</v>
      </c>
      <c r="R80" s="284">
        <v>0</v>
      </c>
      <c r="S80" s="284">
        <v>0</v>
      </c>
    </row>
    <row r="81" spans="5:19" x14ac:dyDescent="0.25">
      <c r="E81" t="s">
        <v>30</v>
      </c>
      <c r="G81" t="s">
        <v>107</v>
      </c>
      <c r="J81" s="215">
        <f t="shared" si="13"/>
        <v>0</v>
      </c>
      <c r="K81" s="211"/>
      <c r="L81" s="284">
        <v>0</v>
      </c>
      <c r="M81" s="284">
        <v>0</v>
      </c>
      <c r="N81" s="284">
        <v>0</v>
      </c>
      <c r="O81" s="284">
        <v>0</v>
      </c>
      <c r="P81" s="284">
        <v>0</v>
      </c>
      <c r="Q81" s="284">
        <v>0</v>
      </c>
      <c r="R81" s="284">
        <v>0</v>
      </c>
      <c r="S81" s="284">
        <v>0</v>
      </c>
    </row>
    <row r="82" spans="5:19" x14ac:dyDescent="0.25">
      <c r="E82" s="17" t="s">
        <v>31</v>
      </c>
      <c r="F82" s="17"/>
      <c r="G82" s="17" t="s">
        <v>107</v>
      </c>
      <c r="H82" s="17"/>
      <c r="I82" s="17"/>
      <c r="J82" s="217">
        <f t="shared" si="13"/>
        <v>0</v>
      </c>
      <c r="K82" s="220"/>
      <c r="L82" s="285">
        <v>0</v>
      </c>
      <c r="M82" s="285">
        <v>0</v>
      </c>
      <c r="N82" s="285">
        <v>0</v>
      </c>
      <c r="O82" s="285">
        <v>0</v>
      </c>
      <c r="P82" s="285">
        <v>0</v>
      </c>
      <c r="Q82" s="285">
        <v>0</v>
      </c>
      <c r="R82" s="285">
        <v>0</v>
      </c>
      <c r="S82" s="285">
        <v>0</v>
      </c>
    </row>
    <row r="83" spans="5:19" x14ac:dyDescent="0.25">
      <c r="E83" t="s">
        <v>32</v>
      </c>
      <c r="G83" t="s">
        <v>107</v>
      </c>
      <c r="J83" s="215">
        <f t="shared" si="13"/>
        <v>889433.55570979044</v>
      </c>
      <c r="K83" s="211"/>
      <c r="L83" s="257">
        <f t="shared" ref="L83:N83" si="14">SUM(L78:L82)</f>
        <v>687596.03530468408</v>
      </c>
      <c r="M83" s="257">
        <f t="shared" si="14"/>
        <v>700276.17305066367</v>
      </c>
      <c r="N83" s="257">
        <f t="shared" si="14"/>
        <v>775024.07755306037</v>
      </c>
      <c r="O83" s="257">
        <f t="shared" ref="O83:S83" si="15">SUM(O78:O82)</f>
        <v>889433.55570979044</v>
      </c>
      <c r="P83" s="257">
        <f t="shared" si="15"/>
        <v>884646.76219358691</v>
      </c>
      <c r="Q83" s="257">
        <f t="shared" si="15"/>
        <v>889588.6947615539</v>
      </c>
      <c r="R83" s="257">
        <f t="shared" si="15"/>
        <v>905484.90091871016</v>
      </c>
      <c r="S83" s="257">
        <f t="shared" si="15"/>
        <v>923594.59893708443</v>
      </c>
    </row>
    <row r="84" spans="5:19" x14ac:dyDescent="0.25">
      <c r="E84" s="80" t="s">
        <v>33</v>
      </c>
      <c r="F84" s="80"/>
      <c r="G84" s="80" t="s">
        <v>107</v>
      </c>
      <c r="H84" s="80"/>
      <c r="I84" s="80"/>
      <c r="J84" s="213">
        <f t="shared" si="13"/>
        <v>600653248.51456559</v>
      </c>
      <c r="K84" s="223"/>
      <c r="L84" s="256">
        <f t="shared" ref="L84:S84" si="16">L76+L83</f>
        <v>426737882.14455539</v>
      </c>
      <c r="M84" s="256">
        <f t="shared" si="16"/>
        <v>455144678.35448623</v>
      </c>
      <c r="N84" s="256">
        <f t="shared" si="16"/>
        <v>532166406.12932545</v>
      </c>
      <c r="O84" s="256">
        <f t="shared" si="16"/>
        <v>600653248.51456559</v>
      </c>
      <c r="P84" s="256">
        <f t="shared" si="16"/>
        <v>460903008.40524983</v>
      </c>
      <c r="Q84" s="256">
        <f t="shared" si="16"/>
        <v>463744326.91299039</v>
      </c>
      <c r="R84" s="256">
        <f t="shared" si="16"/>
        <v>466195909.73732877</v>
      </c>
      <c r="S84" s="256">
        <f t="shared" si="16"/>
        <v>474754866.35229856</v>
      </c>
    </row>
    <row r="85" spans="5:19" x14ac:dyDescent="0.25">
      <c r="J85" s="222"/>
      <c r="K85" s="211"/>
      <c r="L85" s="211"/>
      <c r="M85" s="211"/>
      <c r="N85" s="211"/>
      <c r="O85" s="211"/>
      <c r="P85" s="211"/>
      <c r="Q85" s="211"/>
      <c r="R85" s="211"/>
      <c r="S85" s="211"/>
    </row>
    <row r="86" spans="5:19" x14ac:dyDescent="0.25">
      <c r="E86" t="s">
        <v>34</v>
      </c>
      <c r="G86" t="s">
        <v>107</v>
      </c>
      <c r="J86" s="215">
        <f t="shared" ref="J86:J91" si="17">CHOOSE(year_selection, L86,M86,N86,O86,P86,Q86,R86,S86)</f>
        <v>10162887.099556599</v>
      </c>
      <c r="K86" s="211"/>
      <c r="L86" s="284">
        <v>9550220.3413702697</v>
      </c>
      <c r="M86" s="284">
        <v>9139187.7709435672</v>
      </c>
      <c r="N86" s="284">
        <v>9519777.7411651555</v>
      </c>
      <c r="O86" s="284">
        <v>10162887.099556599</v>
      </c>
      <c r="P86" s="284">
        <v>0</v>
      </c>
      <c r="Q86" s="284">
        <v>0</v>
      </c>
      <c r="R86" s="284">
        <v>0</v>
      </c>
      <c r="S86" s="284">
        <v>0</v>
      </c>
    </row>
    <row r="87" spans="5:19" x14ac:dyDescent="0.25">
      <c r="E87" t="s">
        <v>35</v>
      </c>
      <c r="G87" t="s">
        <v>107</v>
      </c>
      <c r="J87" s="215">
        <f t="shared" si="17"/>
        <v>0</v>
      </c>
      <c r="K87" s="211"/>
      <c r="L87" s="284">
        <v>0</v>
      </c>
      <c r="M87" s="284">
        <v>0</v>
      </c>
      <c r="N87" s="284">
        <v>0</v>
      </c>
      <c r="O87" s="284">
        <v>0</v>
      </c>
      <c r="P87" s="284">
        <v>0</v>
      </c>
      <c r="Q87" s="284">
        <v>0</v>
      </c>
      <c r="R87" s="284">
        <v>0</v>
      </c>
      <c r="S87" s="284">
        <v>0</v>
      </c>
    </row>
    <row r="88" spans="5:19" x14ac:dyDescent="0.25">
      <c r="E88" t="s">
        <v>36</v>
      </c>
      <c r="G88" t="s">
        <v>107</v>
      </c>
      <c r="J88" s="215">
        <f t="shared" si="17"/>
        <v>0</v>
      </c>
      <c r="K88" s="211"/>
      <c r="L88" s="284">
        <v>0</v>
      </c>
      <c r="M88" s="284">
        <v>0</v>
      </c>
      <c r="N88" s="284">
        <v>0</v>
      </c>
      <c r="O88" s="284">
        <v>0</v>
      </c>
      <c r="P88" s="284">
        <v>0</v>
      </c>
      <c r="Q88" s="284">
        <v>0</v>
      </c>
      <c r="R88" s="284">
        <v>0</v>
      </c>
      <c r="S88" s="284">
        <v>0</v>
      </c>
    </row>
    <row r="89" spans="5:19" x14ac:dyDescent="0.25">
      <c r="E89" s="17" t="s">
        <v>37</v>
      </c>
      <c r="F89" s="17"/>
      <c r="G89" s="17" t="s">
        <v>107</v>
      </c>
      <c r="H89" s="17"/>
      <c r="I89" s="17"/>
      <c r="J89" s="217">
        <f t="shared" si="17"/>
        <v>0</v>
      </c>
      <c r="K89" s="220"/>
      <c r="L89" s="285">
        <v>0</v>
      </c>
      <c r="M89" s="285">
        <v>0</v>
      </c>
      <c r="N89" s="285">
        <v>0</v>
      </c>
      <c r="O89" s="285">
        <v>0</v>
      </c>
      <c r="P89" s="285">
        <v>0</v>
      </c>
      <c r="Q89" s="285">
        <v>0</v>
      </c>
      <c r="R89" s="285">
        <v>0</v>
      </c>
      <c r="S89" s="285">
        <v>0</v>
      </c>
    </row>
    <row r="90" spans="5:19" x14ac:dyDescent="0.25">
      <c r="E90" s="17" t="s">
        <v>38</v>
      </c>
      <c r="F90" s="17"/>
      <c r="G90" s="17" t="s">
        <v>107</v>
      </c>
      <c r="H90" s="17"/>
      <c r="I90" s="17"/>
      <c r="J90" s="221">
        <f t="shared" si="17"/>
        <v>10162887.099556599</v>
      </c>
      <c r="K90" s="220"/>
      <c r="L90" s="225">
        <f t="shared" ref="L90:N90" si="18">SUM(L86:L89)</f>
        <v>9550220.3413702697</v>
      </c>
      <c r="M90" s="225">
        <f t="shared" si="18"/>
        <v>9139187.7709435672</v>
      </c>
      <c r="N90" s="225">
        <f t="shared" si="18"/>
        <v>9519777.7411651555</v>
      </c>
      <c r="O90" s="225">
        <f t="shared" ref="O90:S90" si="19">SUM(O86:O89)</f>
        <v>10162887.099556599</v>
      </c>
      <c r="P90" s="225">
        <f>SUM(P86:P89)</f>
        <v>0</v>
      </c>
      <c r="Q90" s="225">
        <f t="shared" si="19"/>
        <v>0</v>
      </c>
      <c r="R90" s="225">
        <f t="shared" si="19"/>
        <v>0</v>
      </c>
      <c r="S90" s="225">
        <f t="shared" si="19"/>
        <v>0</v>
      </c>
    </row>
    <row r="91" spans="5:19" x14ac:dyDescent="0.25">
      <c r="E91" t="s">
        <v>39</v>
      </c>
      <c r="G91" t="s">
        <v>107</v>
      </c>
      <c r="J91" s="224">
        <f t="shared" si="17"/>
        <v>590490361.41500902</v>
      </c>
      <c r="K91" s="211"/>
      <c r="L91" s="255">
        <f t="shared" ref="L91:S91" si="20">L84-L90</f>
        <v>417187661.80318511</v>
      </c>
      <c r="M91" s="255">
        <f t="shared" si="20"/>
        <v>446005490.58354264</v>
      </c>
      <c r="N91" s="255">
        <f t="shared" si="20"/>
        <v>522646628.38816029</v>
      </c>
      <c r="O91" s="255">
        <f t="shared" si="20"/>
        <v>590490361.41500902</v>
      </c>
      <c r="P91" s="255">
        <f t="shared" si="20"/>
        <v>460903008.40524983</v>
      </c>
      <c r="Q91" s="255">
        <f t="shared" si="20"/>
        <v>463744326.91299039</v>
      </c>
      <c r="R91" s="255">
        <f t="shared" si="20"/>
        <v>466195909.73732877</v>
      </c>
      <c r="S91" s="255">
        <f t="shared" si="20"/>
        <v>474754866.35229856</v>
      </c>
    </row>
    <row r="92" spans="5:19" x14ac:dyDescent="0.25">
      <c r="E92" s="80" t="s">
        <v>620</v>
      </c>
      <c r="F92" s="80"/>
      <c r="G92" s="80" t="s">
        <v>107</v>
      </c>
      <c r="H92" s="80"/>
      <c r="I92" s="80"/>
      <c r="J92" s="224">
        <f t="shared" ref="J92" si="21">CHOOSE(year_selection, L92,M92,N92,O92,P92,Q92,R92,S92)</f>
        <v>590490361.41500902</v>
      </c>
      <c r="K92" s="223"/>
      <c r="L92" s="256">
        <f t="shared" ref="L92:S92" si="22">L91</f>
        <v>417187661.80318511</v>
      </c>
      <c r="M92" s="256">
        <f t="shared" si="22"/>
        <v>446005490.58354264</v>
      </c>
      <c r="N92" s="256">
        <f t="shared" si="22"/>
        <v>522646628.38816029</v>
      </c>
      <c r="O92" s="256">
        <f t="shared" si="22"/>
        <v>590490361.41500902</v>
      </c>
      <c r="P92" s="256">
        <f t="shared" si="22"/>
        <v>460903008.40524983</v>
      </c>
      <c r="Q92" s="256">
        <f t="shared" si="22"/>
        <v>463744326.91299039</v>
      </c>
      <c r="R92" s="256">
        <f t="shared" si="22"/>
        <v>466195909.73732877</v>
      </c>
      <c r="S92" s="256">
        <f t="shared" si="22"/>
        <v>474754866.35229856</v>
      </c>
    </row>
    <row r="93" spans="5:19" x14ac:dyDescent="0.25">
      <c r="J93" s="221"/>
      <c r="K93" s="211"/>
      <c r="L93" s="211"/>
      <c r="M93" s="211"/>
      <c r="N93" s="211"/>
      <c r="O93" s="211"/>
      <c r="P93" s="211"/>
      <c r="Q93" s="211"/>
      <c r="R93" s="211"/>
      <c r="S93" s="211"/>
    </row>
    <row r="94" spans="5:19" x14ac:dyDescent="0.25">
      <c r="E94" t="s">
        <v>616</v>
      </c>
      <c r="G94" t="s">
        <v>107</v>
      </c>
      <c r="J94" s="221">
        <f>CHOOSE(year_selection, L94,M94,N94,O94,P94,Q94,R94,S94)</f>
        <v>600653248.51456559</v>
      </c>
      <c r="K94" s="211"/>
      <c r="L94" s="284">
        <f>L84</f>
        <v>426737882.14455539</v>
      </c>
      <c r="M94" s="284">
        <f t="shared" ref="M94:S94" si="23">M84</f>
        <v>455144678.35448623</v>
      </c>
      <c r="N94" s="284">
        <f t="shared" si="23"/>
        <v>532166406.12932545</v>
      </c>
      <c r="O94" s="284">
        <f t="shared" si="23"/>
        <v>600653248.51456559</v>
      </c>
      <c r="P94" s="284">
        <f>P84</f>
        <v>460903008.40524983</v>
      </c>
      <c r="Q94" s="284">
        <f t="shared" si="23"/>
        <v>463744326.91299039</v>
      </c>
      <c r="R94" s="284">
        <f t="shared" si="23"/>
        <v>466195909.73732877</v>
      </c>
      <c r="S94" s="284">
        <f t="shared" si="23"/>
        <v>474754866.35229856</v>
      </c>
    </row>
    <row r="95" spans="5:19" x14ac:dyDescent="0.25">
      <c r="E95" s="80" t="s">
        <v>619</v>
      </c>
      <c r="F95" s="80"/>
      <c r="G95" s="80" t="s">
        <v>107</v>
      </c>
      <c r="H95" s="80"/>
      <c r="I95" s="80"/>
      <c r="J95" s="224">
        <f>CHOOSE(year_selection, L95,M95,N95,O95,P95,Q95,R95,S95)</f>
        <v>0</v>
      </c>
      <c r="K95" s="223"/>
      <c r="L95" s="253">
        <f t="shared" ref="L95:S95" si="24">L94 - L83 - L76 + L87</f>
        <v>0</v>
      </c>
      <c r="M95" s="253">
        <f t="shared" si="24"/>
        <v>0</v>
      </c>
      <c r="N95" s="253">
        <f t="shared" si="24"/>
        <v>0</v>
      </c>
      <c r="O95" s="253">
        <f>O94 - O83 - O76 + O87</f>
        <v>0</v>
      </c>
      <c r="P95" s="253">
        <f t="shared" si="24"/>
        <v>0</v>
      </c>
      <c r="Q95" s="253">
        <f t="shared" si="24"/>
        <v>0</v>
      </c>
      <c r="R95" s="253">
        <f t="shared" si="24"/>
        <v>0</v>
      </c>
      <c r="S95" s="253">
        <f t="shared" si="24"/>
        <v>0</v>
      </c>
    </row>
    <row r="96" spans="5:19" x14ac:dyDescent="0.25">
      <c r="E96" s="80" t="s">
        <v>618</v>
      </c>
      <c r="F96" s="80"/>
      <c r="G96" s="80" t="s">
        <v>94</v>
      </c>
      <c r="H96" s="80"/>
      <c r="I96" s="80"/>
      <c r="J96" s="182">
        <f>CHOOSE(year_selection, L96,M96,N96,O96,P96,Q96,R96,S96)</f>
        <v>0.12866680796193641</v>
      </c>
      <c r="K96" s="80"/>
      <c r="L96" s="182">
        <f t="shared" ref="L96:S96" si="25">IF( K76 &lt;&gt; 0, L76 / K76 - 1, 0)</f>
        <v>0</v>
      </c>
      <c r="M96" s="182">
        <f t="shared" si="25"/>
        <v>6.6644987687917823E-2</v>
      </c>
      <c r="N96" s="182">
        <f t="shared" si="25"/>
        <v>0.16932099834649517</v>
      </c>
      <c r="O96" s="182">
        <f t="shared" si="25"/>
        <v>0.12866680796193641</v>
      </c>
      <c r="P96" s="182">
        <f>IF( O76 &lt;&gt; 0, P76 / O76 - 1, 0)</f>
        <v>-0.233000807701922</v>
      </c>
      <c r="Q96" s="182">
        <f t="shared" si="25"/>
        <v>6.1657899155194151E-3</v>
      </c>
      <c r="R96" s="182">
        <f t="shared" si="25"/>
        <v>5.2623132422873198E-3</v>
      </c>
      <c r="S96" s="182">
        <f t="shared" si="25"/>
        <v>1.8355948158516933E-2</v>
      </c>
    </row>
    <row r="97" spans="2:21" x14ac:dyDescent="0.25">
      <c r="E97" s="80" t="s">
        <v>617</v>
      </c>
      <c r="F97" s="80"/>
      <c r="G97" s="80" t="s">
        <v>94</v>
      </c>
      <c r="H97" s="80"/>
      <c r="I97" s="80"/>
      <c r="J97" s="182">
        <f>CHOOSE(year_selection, L97,M97,N97,O97,P97,Q97,R97,S97)</f>
        <v>0.12869441136537407</v>
      </c>
      <c r="K97" s="80"/>
      <c r="L97" s="182">
        <f t="shared" ref="L97:S97" si="26">IF( K94 &lt;&gt; 0, L94 / K94 - 1, 0)</f>
        <v>0</v>
      </c>
      <c r="M97" s="182">
        <f t="shared" si="26"/>
        <v>6.6567317781054625E-2</v>
      </c>
      <c r="N97" s="182">
        <f t="shared" si="26"/>
        <v>0.16922471345441381</v>
      </c>
      <c r="O97" s="182">
        <f t="shared" si="26"/>
        <v>0.12869441136537407</v>
      </c>
      <c r="P97" s="182">
        <f t="shared" si="26"/>
        <v>-0.23266375476187384</v>
      </c>
      <c r="Q97" s="182">
        <f t="shared" si="26"/>
        <v>6.164677721613554E-3</v>
      </c>
      <c r="R97" s="182">
        <f t="shared" si="26"/>
        <v>5.2864966363208588E-3</v>
      </c>
      <c r="S97" s="182">
        <f t="shared" si="26"/>
        <v>1.8359141374260979E-2</v>
      </c>
    </row>
    <row r="98" spans="2:21" x14ac:dyDescent="0.25">
      <c r="J98" s="128"/>
    </row>
    <row r="99" spans="2:21" x14ac:dyDescent="0.25">
      <c r="C99" s="5" t="str">
        <f ca="1">INDEX('Version control'!$H$36:$H$62,MATCH($A$1,'Version control'!$F$36:$F$62,0),1)&amp;"-D: Financial and general assumptions"</f>
        <v>Input 503-D: Financial and general assumptions</v>
      </c>
      <c r="D99" s="5"/>
      <c r="E99" s="5"/>
      <c r="F99" s="5"/>
      <c r="G99" s="144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</row>
    <row r="100" spans="2:21" x14ac:dyDescent="0.25">
      <c r="G100" s="91"/>
    </row>
    <row r="101" spans="2:21" x14ac:dyDescent="0.25">
      <c r="E101" s="68" t="s">
        <v>315</v>
      </c>
      <c r="G101" t="s">
        <v>94</v>
      </c>
      <c r="I101" t="s">
        <v>359</v>
      </c>
      <c r="J101" s="254">
        <f>CHOOSE(year_selection, L101,M101,N101,O101,P101,Q101,R101,S101)</f>
        <v>3.7400000000000003E-2</v>
      </c>
      <c r="L101" s="286">
        <v>3.6900000000000002E-2</v>
      </c>
      <c r="M101" s="286">
        <v>3.6499999999999998E-2</v>
      </c>
      <c r="N101" s="286">
        <v>3.7400000000000003E-2</v>
      </c>
      <c r="O101" s="286">
        <v>3.7400000000000003E-2</v>
      </c>
      <c r="P101" s="286">
        <f>$O101</f>
        <v>3.7400000000000003E-2</v>
      </c>
      <c r="Q101" s="286">
        <f t="shared" ref="Q101:S101" si="27">$O101</f>
        <v>3.7400000000000003E-2</v>
      </c>
      <c r="R101" s="286">
        <f t="shared" si="27"/>
        <v>3.7400000000000003E-2</v>
      </c>
      <c r="S101" s="286">
        <f t="shared" si="27"/>
        <v>3.7400000000000003E-2</v>
      </c>
      <c r="U101" t="s">
        <v>695</v>
      </c>
    </row>
    <row r="102" spans="2:21" x14ac:dyDescent="0.25">
      <c r="E102" s="68" t="s">
        <v>41</v>
      </c>
      <c r="G102" s="68" t="s">
        <v>504</v>
      </c>
      <c r="H102" s="68"/>
      <c r="I102" s="68"/>
      <c r="J102" s="129">
        <f>CHOOSE(year_selection, L102,M102,N102,O102,P102,Q102,R102,S102)</f>
        <v>365</v>
      </c>
      <c r="K102" s="68"/>
      <c r="L102" s="267">
        <v>365</v>
      </c>
      <c r="M102" s="267">
        <v>365</v>
      </c>
      <c r="N102" s="267">
        <v>366</v>
      </c>
      <c r="O102" s="267">
        <v>365</v>
      </c>
      <c r="P102" s="267">
        <v>365</v>
      </c>
      <c r="Q102" s="267">
        <v>365</v>
      </c>
      <c r="R102" s="267">
        <v>366</v>
      </c>
      <c r="S102" s="267">
        <v>365</v>
      </c>
    </row>
    <row r="103" spans="2:21" x14ac:dyDescent="0.25">
      <c r="J103" s="128"/>
    </row>
    <row r="104" spans="2:21" x14ac:dyDescent="0.25">
      <c r="C104" s="5" t="str">
        <f ca="1">INDEX('Version control'!$H$36:$H$62,MATCH($A$1,'Version control'!$F$36:$F$62,0),1)&amp;"-E: Transmission exit charges"</f>
        <v>Input 503-E: Transmission exit charges</v>
      </c>
      <c r="D104" s="5"/>
      <c r="E104" s="5"/>
      <c r="F104" s="5"/>
      <c r="G104" s="144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</row>
    <row r="105" spans="2:21" x14ac:dyDescent="0.25">
      <c r="G105" s="91"/>
    </row>
    <row r="106" spans="2:21" x14ac:dyDescent="0.25">
      <c r="B106" s="501" t="s">
        <v>1266</v>
      </c>
      <c r="E106" s="68" t="s">
        <v>117</v>
      </c>
      <c r="G106" t="s">
        <v>505</v>
      </c>
      <c r="I106" t="s">
        <v>359</v>
      </c>
      <c r="J106" s="215">
        <f>CHOOSE(year_selection, L106,M106,N106,O106,P106,Q106,R106,S106)</f>
        <v>14659010.308792224</v>
      </c>
      <c r="K106" s="211"/>
      <c r="L106" s="284">
        <v>35908234.05777806</v>
      </c>
      <c r="M106" s="284">
        <v>30000702.303339418</v>
      </c>
      <c r="N106" s="284">
        <v>18656662.341051273</v>
      </c>
      <c r="O106" s="284">
        <v>14659010.308792224</v>
      </c>
      <c r="P106" s="284">
        <f>O106*(P$46/O$46)</f>
        <v>14580117.78776058</v>
      </c>
      <c r="Q106" s="284">
        <f t="shared" ref="Q106:S106" si="28">P106*(Q$46/P$46)</f>
        <v>14661567.200135596</v>
      </c>
      <c r="R106" s="284">
        <f t="shared" si="28"/>
        <v>14923557.14691974</v>
      </c>
      <c r="S106" s="284">
        <f t="shared" si="28"/>
        <v>15222028.289858136</v>
      </c>
      <c r="U106" t="s">
        <v>696</v>
      </c>
    </row>
    <row r="107" spans="2:21" x14ac:dyDescent="0.25">
      <c r="J107" s="215"/>
      <c r="K107" s="211"/>
      <c r="L107" s="211"/>
      <c r="M107" s="211"/>
      <c r="N107" s="211"/>
      <c r="O107" s="211"/>
      <c r="P107" s="211"/>
      <c r="Q107" s="211"/>
      <c r="R107" s="211"/>
      <c r="S107" s="211"/>
    </row>
    <row r="108" spans="2:21" x14ac:dyDescent="0.25">
      <c r="C108" s="5" t="str">
        <f ca="1">INDEX('Version control'!$H$36:$H$62,MATCH($A$1,'Version control'!$F$36:$F$62,0),1)&amp;"-F: Other expenditure"</f>
        <v>Input 503-F: Other expenditure</v>
      </c>
      <c r="D108" s="5"/>
      <c r="E108" s="5"/>
      <c r="F108" s="5"/>
      <c r="G108" s="144"/>
      <c r="H108" s="5"/>
      <c r="I108" s="5"/>
      <c r="J108" s="205"/>
      <c r="K108" s="205"/>
      <c r="L108" s="205"/>
      <c r="M108" s="205"/>
      <c r="N108" s="205"/>
      <c r="O108" s="205"/>
      <c r="P108" s="205"/>
      <c r="Q108" s="205"/>
      <c r="R108" s="205"/>
      <c r="S108" s="205"/>
      <c r="T108" s="5"/>
      <c r="U108" s="5"/>
    </row>
    <row r="109" spans="2:21" x14ac:dyDescent="0.25">
      <c r="G109" s="91"/>
      <c r="J109" s="211"/>
      <c r="K109" s="211"/>
      <c r="L109" s="211"/>
      <c r="M109" s="211"/>
      <c r="N109" s="211"/>
      <c r="O109" s="211"/>
      <c r="P109" s="211"/>
      <c r="Q109" s="211"/>
      <c r="R109" s="211"/>
      <c r="S109" s="211"/>
    </row>
    <row r="110" spans="2:21" x14ac:dyDescent="0.25">
      <c r="D110" s="52"/>
      <c r="E110" s="52" t="s">
        <v>79</v>
      </c>
      <c r="F110" s="52"/>
      <c r="I110" t="s">
        <v>359</v>
      </c>
      <c r="J110" s="215"/>
      <c r="K110" s="211"/>
      <c r="L110" s="211"/>
      <c r="M110" s="211"/>
      <c r="N110" s="211"/>
      <c r="O110" s="211"/>
      <c r="P110" s="211"/>
      <c r="Q110" s="211"/>
      <c r="R110" s="211"/>
      <c r="S110" s="211"/>
      <c r="U110" t="s">
        <v>697</v>
      </c>
    </row>
    <row r="111" spans="2:21" x14ac:dyDescent="0.25">
      <c r="B111" s="501" t="s">
        <v>1266</v>
      </c>
      <c r="F111" s="14" t="s">
        <v>128</v>
      </c>
      <c r="G111" s="80" t="s">
        <v>505</v>
      </c>
      <c r="H111" s="80"/>
      <c r="I111" s="80"/>
      <c r="J111" s="213">
        <f>CHOOSE(year_selection, L111,M111,N111,O111,P111,Q111,R111,S111)</f>
        <v>24267804.289142318</v>
      </c>
      <c r="K111" s="223"/>
      <c r="L111" s="283">
        <v>28803040.425109994</v>
      </c>
      <c r="M111" s="283">
        <v>22230973.38564074</v>
      </c>
      <c r="N111" s="283">
        <v>19931723.894291885</v>
      </c>
      <c r="O111" s="283">
        <v>24267804.289142318</v>
      </c>
      <c r="P111" s="283">
        <f t="shared" ref="P111:S111" si="29">O111*(P$46/O$46)</f>
        <v>24137198.728470553</v>
      </c>
      <c r="Q111" s="283">
        <f t="shared" si="29"/>
        <v>24272037.190095551</v>
      </c>
      <c r="R111" s="283">
        <f t="shared" si="29"/>
        <v>24705758.199928463</v>
      </c>
      <c r="S111" s="283">
        <f t="shared" si="29"/>
        <v>25199873.363927033</v>
      </c>
    </row>
    <row r="112" spans="2:21" x14ac:dyDescent="0.25">
      <c r="B112" s="501" t="s">
        <v>1266</v>
      </c>
      <c r="F112" s="68" t="s">
        <v>129</v>
      </c>
      <c r="G112" t="s">
        <v>505</v>
      </c>
      <c r="J112" s="215">
        <f>CHOOSE(year_selection, L112,M112,N112,O112,P112,Q112,R112,S112)</f>
        <v>136953285.08491027</v>
      </c>
      <c r="K112" s="211"/>
      <c r="L112" s="284">
        <v>83130091.179891989</v>
      </c>
      <c r="M112" s="284">
        <v>113618443.60379775</v>
      </c>
      <c r="N112" s="284">
        <v>119273927.77182497</v>
      </c>
      <c r="O112" s="284">
        <v>136953285.08491027</v>
      </c>
      <c r="P112" s="284">
        <f t="shared" ref="P112:S112" si="30">O112*(P$46/O$46)</f>
        <v>136216223.73517963</v>
      </c>
      <c r="Q112" s="284">
        <f t="shared" si="30"/>
        <v>136977173.10065648</v>
      </c>
      <c r="R112" s="284">
        <f t="shared" si="30"/>
        <v>139424840.65225026</v>
      </c>
      <c r="S112" s="284">
        <f t="shared" si="30"/>
        <v>142213337.46529526</v>
      </c>
    </row>
    <row r="113" spans="2:22" x14ac:dyDescent="0.25">
      <c r="B113" s="501" t="s">
        <v>1266</v>
      </c>
      <c r="F113" s="13" t="s">
        <v>130</v>
      </c>
      <c r="G113" s="17" t="s">
        <v>505</v>
      </c>
      <c r="H113" s="17"/>
      <c r="I113" s="17"/>
      <c r="J113" s="217">
        <f>CHOOSE(year_selection, L113,M113,N113,O113,P113,Q113,R113,S113)</f>
        <v>21848366.6978046</v>
      </c>
      <c r="K113" s="220"/>
      <c r="L113" s="285">
        <v>37991024.773131475</v>
      </c>
      <c r="M113" s="285">
        <v>37830249.777617864</v>
      </c>
      <c r="N113" s="285">
        <v>31181696.316500012</v>
      </c>
      <c r="O113" s="285">
        <v>21848366.6978046</v>
      </c>
      <c r="P113" s="285">
        <f t="shared" ref="P113:S113" si="31">O113*(P$46/O$46)</f>
        <v>21730782.175186466</v>
      </c>
      <c r="Q113" s="285">
        <f t="shared" si="31"/>
        <v>21852177.589433685</v>
      </c>
      <c r="R113" s="285">
        <f t="shared" si="31"/>
        <v>22242657.731537487</v>
      </c>
      <c r="S113" s="285">
        <f t="shared" si="31"/>
        <v>22687510.886168238</v>
      </c>
    </row>
    <row r="114" spans="2:22" x14ac:dyDescent="0.25">
      <c r="H114" s="91"/>
      <c r="J114" s="129"/>
    </row>
    <row r="115" spans="2:22" x14ac:dyDescent="0.25">
      <c r="B115" s="82" t="s">
        <v>109</v>
      </c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</row>
    <row r="117" spans="2:22" x14ac:dyDescent="0.25">
      <c r="C117" s="73" t="s">
        <v>755</v>
      </c>
      <c r="D117" s="52"/>
    </row>
    <row r="118" spans="2:22" x14ac:dyDescent="0.25">
      <c r="D118" s="52"/>
      <c r="E118" s="52"/>
    </row>
    <row r="119" spans="2:22" x14ac:dyDescent="0.25">
      <c r="E119" t="s">
        <v>415</v>
      </c>
      <c r="G119" s="46" t="s">
        <v>588</v>
      </c>
      <c r="H119" s="150">
        <f t="array" ref="H119">SUM(IF(ISERROR(H15:S114), 1))</f>
        <v>0</v>
      </c>
    </row>
    <row r="121" spans="2:22" x14ac:dyDescent="0.25">
      <c r="E121" s="52" t="s">
        <v>782</v>
      </c>
    </row>
    <row r="122" spans="2:22" x14ac:dyDescent="0.25">
      <c r="F122" s="80" t="s">
        <v>440</v>
      </c>
      <c r="G122" s="53" t="s">
        <v>588</v>
      </c>
      <c r="H122" s="149">
        <f>SUM(L122:S122)</f>
        <v>0</v>
      </c>
      <c r="I122" s="80"/>
      <c r="J122" s="80"/>
      <c r="K122" s="80"/>
      <c r="L122" s="89"/>
      <c r="M122" s="149">
        <f t="shared" ref="M122:S122" si="32">IF(SUM(M19:M21) = M$102 * hours_in_day, 0, 1)</f>
        <v>0</v>
      </c>
      <c r="N122" s="149">
        <f t="shared" si="32"/>
        <v>0</v>
      </c>
      <c r="O122" s="149">
        <f t="shared" si="32"/>
        <v>0</v>
      </c>
      <c r="P122" s="149">
        <f t="shared" si="32"/>
        <v>0</v>
      </c>
      <c r="Q122" s="149">
        <f t="shared" si="32"/>
        <v>0</v>
      </c>
      <c r="R122" s="149">
        <f t="shared" si="32"/>
        <v>0</v>
      </c>
      <c r="S122" s="149">
        <f t="shared" si="32"/>
        <v>0</v>
      </c>
    </row>
    <row r="123" spans="2:22" x14ac:dyDescent="0.25">
      <c r="F123" s="17" t="s">
        <v>441</v>
      </c>
      <c r="G123" s="54" t="s">
        <v>588</v>
      </c>
      <c r="H123" s="151">
        <f>SUM(L123:S123)</f>
        <v>0</v>
      </c>
      <c r="I123" s="17"/>
      <c r="J123" s="17"/>
      <c r="K123" s="17"/>
      <c r="L123" s="86"/>
      <c r="M123" s="151">
        <f t="shared" ref="M123:S123" si="33">IF(SUM(M24:M26) = M$102 * hours_in_day, 0, 1)</f>
        <v>0</v>
      </c>
      <c r="N123" s="151">
        <f t="shared" si="33"/>
        <v>0</v>
      </c>
      <c r="O123" s="151">
        <f t="shared" si="33"/>
        <v>0</v>
      </c>
      <c r="P123" s="151">
        <f t="shared" si="33"/>
        <v>0</v>
      </c>
      <c r="Q123" s="151">
        <f t="shared" si="33"/>
        <v>0</v>
      </c>
      <c r="R123" s="151">
        <f t="shared" si="33"/>
        <v>0</v>
      </c>
      <c r="S123" s="151">
        <f t="shared" si="33"/>
        <v>0</v>
      </c>
    </row>
    <row r="125" spans="2:22" x14ac:dyDescent="0.25">
      <c r="E125" t="s">
        <v>374</v>
      </c>
      <c r="G125" s="46" t="s">
        <v>588</v>
      </c>
      <c r="H125" s="263">
        <f>SUM(H119, H122:H123)</f>
        <v>0</v>
      </c>
    </row>
    <row r="127" spans="2:22" x14ac:dyDescent="0.25">
      <c r="B127" s="82" t="s">
        <v>110</v>
      </c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263"/>
    </row>
  </sheetData>
  <sheetProtection formatCells="0" formatColumns="0" formatRows="0" sort="0" autoFilter="0"/>
  <conditionalFormatting sqref="H119">
    <cfRule type="cellIs" dxfId="232" priority="7" operator="greaterThan">
      <formula>0</formula>
    </cfRule>
  </conditionalFormatting>
  <conditionalFormatting sqref="H122:H123">
    <cfRule type="cellIs" dxfId="231" priority="6" operator="greaterThan">
      <formula>0</formula>
    </cfRule>
  </conditionalFormatting>
  <conditionalFormatting sqref="L122:S123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7">
    <cfRule type="cellIs" dxfId="228" priority="2" operator="greaterThan">
      <formula>0</formula>
    </cfRule>
  </conditionalFormatting>
  <conditionalFormatting sqref="H125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scale="28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63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16384" width="9.42578125" hidden="1"/>
  </cols>
  <sheetData>
    <row r="1" spans="1:43" s="8" customFormat="1" x14ac:dyDescent="0.25">
      <c r="A1" s="8" t="str">
        <f ca="1">MID(CELL("filename",A1),FIND("]",CELL("filename",A1))+1,255)</f>
        <v>Fixed inputs</v>
      </c>
    </row>
    <row r="2" spans="1:43" s="8" customFormat="1" x14ac:dyDescent="0.25">
      <c r="A2" s="8" t="str">
        <f>Cover!D21&amp;" - "&amp;Cover!D23</f>
        <v>SP Distribution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H197 &amp; IF(H197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211</v>
      </c>
    </row>
    <row r="11" spans="1:43" x14ac:dyDescent="0.25">
      <c r="B11" s="82" t="s">
        <v>428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</row>
    <row r="13" spans="1:43" x14ac:dyDescent="0.25">
      <c r="C13" s="5" t="str">
        <f ca="1">INDEX('Version control'!$H$36:$H$62,MATCH($A$1,'Version control'!$F$36:$F$62,0),1)&amp;"-A: Conversions and time"</f>
        <v>Input 504-A: Conversions and time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</row>
    <row r="15" spans="1:43" x14ac:dyDescent="0.25">
      <c r="E15" s="12" t="s">
        <v>133</v>
      </c>
      <c r="G15" t="s">
        <v>210</v>
      </c>
      <c r="H15" s="290">
        <v>24</v>
      </c>
    </row>
    <row r="16" spans="1:43" x14ac:dyDescent="0.25">
      <c r="E16" s="12" t="s">
        <v>281</v>
      </c>
      <c r="G16" t="s">
        <v>426</v>
      </c>
      <c r="H16" s="290">
        <v>10</v>
      </c>
    </row>
    <row r="17" spans="3:43" x14ac:dyDescent="0.25">
      <c r="E17" s="12" t="s">
        <v>137</v>
      </c>
      <c r="G17" t="s">
        <v>426</v>
      </c>
      <c r="H17" s="290">
        <v>100</v>
      </c>
    </row>
    <row r="18" spans="3:43" x14ac:dyDescent="0.25">
      <c r="E18" s="12" t="s">
        <v>138</v>
      </c>
      <c r="G18" t="s">
        <v>426</v>
      </c>
      <c r="H18" s="290">
        <v>1000</v>
      </c>
    </row>
    <row r="20" spans="3:43" x14ac:dyDescent="0.25">
      <c r="C20" s="5" t="str">
        <f ca="1">INDEX('Version control'!$H$36:$H$62,MATCH($A$1,'Version control'!$F$36:$F$62,0),1)&amp;"-B: Input 101-B: Rounding"</f>
        <v>Input 504-B: Input 101-B: Rounding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2" spans="3:43" x14ac:dyDescent="0.25">
      <c r="D22" s="73" t="s">
        <v>699</v>
      </c>
    </row>
    <row r="23" spans="3:43" x14ac:dyDescent="0.25">
      <c r="E23" s="52"/>
    </row>
    <row r="24" spans="3:43" x14ac:dyDescent="0.25">
      <c r="E24" s="52" t="s">
        <v>259</v>
      </c>
      <c r="F24" s="73"/>
      <c r="I24" t="s">
        <v>359</v>
      </c>
      <c r="AQ24" t="s">
        <v>698</v>
      </c>
    </row>
    <row r="25" spans="3:43" x14ac:dyDescent="0.25">
      <c r="F25" s="80" t="s">
        <v>134</v>
      </c>
      <c r="G25" s="80" t="s">
        <v>426</v>
      </c>
      <c r="H25" s="287">
        <v>3</v>
      </c>
    </row>
    <row r="26" spans="3:43" x14ac:dyDescent="0.25">
      <c r="F26" t="s">
        <v>135</v>
      </c>
      <c r="G26" t="s">
        <v>426</v>
      </c>
      <c r="H26" s="290">
        <v>3</v>
      </c>
    </row>
    <row r="27" spans="3:43" x14ac:dyDescent="0.25">
      <c r="F27" t="s">
        <v>136</v>
      </c>
      <c r="G27" t="s">
        <v>426</v>
      </c>
      <c r="H27" s="290">
        <v>3</v>
      </c>
    </row>
    <row r="28" spans="3:43" x14ac:dyDescent="0.25">
      <c r="F28" t="s">
        <v>254</v>
      </c>
      <c r="G28" t="s">
        <v>426</v>
      </c>
      <c r="H28" s="290">
        <v>2</v>
      </c>
    </row>
    <row r="29" spans="3:43" x14ac:dyDescent="0.25">
      <c r="F29" t="s">
        <v>255</v>
      </c>
      <c r="G29" t="s">
        <v>426</v>
      </c>
      <c r="H29" s="290">
        <v>2</v>
      </c>
    </row>
    <row r="30" spans="3:43" x14ac:dyDescent="0.25">
      <c r="F30" t="s">
        <v>256</v>
      </c>
      <c r="G30" t="s">
        <v>426</v>
      </c>
      <c r="H30" s="290">
        <v>2</v>
      </c>
    </row>
    <row r="31" spans="3:43" x14ac:dyDescent="0.25">
      <c r="F31" s="17" t="s">
        <v>257</v>
      </c>
      <c r="G31" s="17" t="s">
        <v>426</v>
      </c>
      <c r="H31" s="288">
        <v>3</v>
      </c>
    </row>
    <row r="33" spans="3:43" x14ac:dyDescent="0.25">
      <c r="C33" s="5" t="str">
        <f ca="1">INDEX('Version control'!$H$36:$H$62,MATCH($A$1,'Version control'!$F$36:$F$62,0),1)&amp;"-C: Financial and general assumptions"</f>
        <v>Input 504-C: Financial and general assumptions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</row>
    <row r="35" spans="3:43" x14ac:dyDescent="0.25">
      <c r="E35" s="12" t="s">
        <v>95</v>
      </c>
      <c r="G35" t="s">
        <v>96</v>
      </c>
      <c r="H35" s="290">
        <v>40</v>
      </c>
      <c r="I35" t="s">
        <v>359</v>
      </c>
      <c r="AQ35" s="19" t="s">
        <v>695</v>
      </c>
    </row>
    <row r="37" spans="3:43" x14ac:dyDescent="0.25">
      <c r="E37" s="12" t="s">
        <v>40</v>
      </c>
      <c r="G37" t="s">
        <v>94</v>
      </c>
      <c r="H37" s="290">
        <v>0.95</v>
      </c>
      <c r="I37" t="s">
        <v>359</v>
      </c>
      <c r="AQ37" t="s">
        <v>813</v>
      </c>
    </row>
    <row r="39" spans="3:43" x14ac:dyDescent="0.25">
      <c r="E39" s="12" t="s">
        <v>78</v>
      </c>
      <c r="G39" t="s">
        <v>94</v>
      </c>
      <c r="H39" s="316">
        <v>0.6</v>
      </c>
      <c r="I39" t="s">
        <v>359</v>
      </c>
      <c r="AQ39" s="19" t="s">
        <v>697</v>
      </c>
    </row>
    <row r="41" spans="3:43" x14ac:dyDescent="0.25">
      <c r="E41" s="12" t="s">
        <v>101</v>
      </c>
      <c r="G41" s="12" t="s">
        <v>102</v>
      </c>
      <c r="H41" s="290">
        <v>500</v>
      </c>
      <c r="I41" t="s">
        <v>359</v>
      </c>
      <c r="AQ41" s="79" t="s">
        <v>700</v>
      </c>
    </row>
    <row r="43" spans="3:43" x14ac:dyDescent="0.25">
      <c r="C43" s="5" t="str">
        <f ca="1">INDEX('Version control'!$H$36:$H$62,MATCH($A$1,'Version control'!$F$36:$F$62,0),1)&amp;"-D: Mappings"</f>
        <v>Input 504-D: Mappings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</row>
    <row r="45" spans="3:43" x14ac:dyDescent="0.25">
      <c r="E45" s="52" t="s">
        <v>442</v>
      </c>
    </row>
    <row r="46" spans="3:43" x14ac:dyDescent="0.25">
      <c r="F46" s="14" t="s">
        <v>66</v>
      </c>
      <c r="G46" s="80" t="s">
        <v>132</v>
      </c>
      <c r="H46" s="80"/>
      <c r="I46" s="80"/>
      <c r="J46" s="287">
        <v>1</v>
      </c>
      <c r="K46" s="287">
        <v>1</v>
      </c>
      <c r="L46" s="287">
        <v>1</v>
      </c>
      <c r="M46" s="287">
        <v>1</v>
      </c>
      <c r="N46" s="287">
        <v>1</v>
      </c>
      <c r="O46" s="287">
        <v>0</v>
      </c>
      <c r="P46" s="287">
        <v>0</v>
      </c>
      <c r="Q46" s="287">
        <v>1</v>
      </c>
      <c r="R46" s="89"/>
      <c r="S46" s="89"/>
      <c r="T46" s="89"/>
      <c r="U46" s="89"/>
      <c r="V46" s="89"/>
      <c r="W46" s="89"/>
      <c r="X46" s="89"/>
      <c r="Y46" s="89"/>
    </row>
    <row r="47" spans="3:43" x14ac:dyDescent="0.25">
      <c r="F47" s="12" t="s">
        <v>67</v>
      </c>
      <c r="G47" t="s">
        <v>132</v>
      </c>
      <c r="J47" s="290">
        <v>1</v>
      </c>
      <c r="K47" s="290">
        <v>1</v>
      </c>
      <c r="L47" s="290">
        <v>1</v>
      </c>
      <c r="M47" s="290">
        <v>1</v>
      </c>
      <c r="N47" s="290">
        <v>1</v>
      </c>
      <c r="O47" s="290">
        <v>0</v>
      </c>
      <c r="P47" s="290">
        <v>0</v>
      </c>
      <c r="Q47" s="290">
        <v>1</v>
      </c>
      <c r="R47" s="71"/>
      <c r="S47" s="71"/>
      <c r="T47" s="71"/>
      <c r="U47" s="71"/>
      <c r="V47" s="71"/>
      <c r="W47" s="71"/>
      <c r="X47" s="71"/>
      <c r="Y47" s="71"/>
    </row>
    <row r="48" spans="3:43" x14ac:dyDescent="0.25">
      <c r="F48" s="12" t="s">
        <v>68</v>
      </c>
      <c r="G48" t="s">
        <v>132</v>
      </c>
      <c r="J48" s="290">
        <v>0</v>
      </c>
      <c r="K48" s="290">
        <v>0</v>
      </c>
      <c r="L48" s="290">
        <v>0</v>
      </c>
      <c r="M48" s="290">
        <v>0</v>
      </c>
      <c r="N48" s="290">
        <v>0</v>
      </c>
      <c r="O48" s="290">
        <v>1</v>
      </c>
      <c r="P48" s="290">
        <v>0</v>
      </c>
      <c r="Q48" s="290">
        <v>0</v>
      </c>
      <c r="R48" s="71"/>
      <c r="S48" s="71"/>
      <c r="T48" s="71"/>
      <c r="U48" s="71"/>
      <c r="V48" s="71"/>
      <c r="W48" s="71"/>
      <c r="X48" s="71"/>
      <c r="Y48" s="71"/>
    </row>
    <row r="49" spans="5:43" x14ac:dyDescent="0.25">
      <c r="F49" s="13" t="s">
        <v>69</v>
      </c>
      <c r="G49" s="17" t="s">
        <v>132</v>
      </c>
      <c r="H49" s="17"/>
      <c r="I49" s="17"/>
      <c r="J49" s="288">
        <v>0</v>
      </c>
      <c r="K49" s="288">
        <v>0</v>
      </c>
      <c r="L49" s="288">
        <v>0</v>
      </c>
      <c r="M49" s="288">
        <v>0</v>
      </c>
      <c r="N49" s="288">
        <v>0</v>
      </c>
      <c r="O49" s="288">
        <v>0</v>
      </c>
      <c r="P49" s="288">
        <v>1</v>
      </c>
      <c r="Q49" s="288">
        <v>0</v>
      </c>
      <c r="R49" s="86"/>
      <c r="S49" s="86"/>
      <c r="T49" s="86"/>
      <c r="U49" s="86"/>
      <c r="V49" s="86"/>
      <c r="W49" s="86"/>
      <c r="X49" s="86"/>
      <c r="Y49" s="86"/>
    </row>
    <row r="51" spans="5:43" x14ac:dyDescent="0.25">
      <c r="E51" s="52" t="s">
        <v>153</v>
      </c>
      <c r="I51" t="s">
        <v>359</v>
      </c>
      <c r="AQ51" s="19" t="s">
        <v>701</v>
      </c>
    </row>
    <row r="52" spans="5:43" x14ac:dyDescent="0.25">
      <c r="E52" s="73" t="s">
        <v>191</v>
      </c>
    </row>
    <row r="53" spans="5:43" x14ac:dyDescent="0.25">
      <c r="F53" s="14" t="s">
        <v>83</v>
      </c>
      <c r="G53" s="80" t="s">
        <v>132</v>
      </c>
      <c r="H53" s="81"/>
      <c r="I53" s="81"/>
      <c r="J53" s="287">
        <v>0</v>
      </c>
      <c r="K53" s="287">
        <v>0</v>
      </c>
      <c r="L53" s="287">
        <v>0</v>
      </c>
      <c r="M53" s="287">
        <v>0</v>
      </c>
      <c r="N53" s="287">
        <v>0</v>
      </c>
      <c r="O53" s="287">
        <v>0</v>
      </c>
      <c r="P53" s="287">
        <v>0</v>
      </c>
      <c r="Q53" s="287">
        <v>0</v>
      </c>
      <c r="R53" s="287">
        <v>0</v>
      </c>
      <c r="S53" s="287">
        <v>0</v>
      </c>
      <c r="T53" s="287">
        <v>0</v>
      </c>
      <c r="U53" s="287">
        <v>0</v>
      </c>
      <c r="V53" s="287">
        <v>0</v>
      </c>
      <c r="W53" s="287">
        <v>0</v>
      </c>
      <c r="X53" s="287">
        <v>0</v>
      </c>
      <c r="Y53" s="287">
        <v>0</v>
      </c>
    </row>
    <row r="54" spans="5:43" x14ac:dyDescent="0.25">
      <c r="F54" s="12" t="s">
        <v>82</v>
      </c>
      <c r="G54" t="s">
        <v>132</v>
      </c>
      <c r="J54" s="290">
        <v>0</v>
      </c>
      <c r="K54" s="290">
        <v>0</v>
      </c>
      <c r="L54" s="290">
        <v>0</v>
      </c>
      <c r="M54" s="290">
        <v>0</v>
      </c>
      <c r="N54" s="290">
        <v>0</v>
      </c>
      <c r="O54" s="290">
        <v>0</v>
      </c>
      <c r="P54" s="290">
        <v>1</v>
      </c>
      <c r="Q54" s="290">
        <v>0</v>
      </c>
      <c r="R54" s="290">
        <v>0</v>
      </c>
      <c r="S54" s="290">
        <v>0</v>
      </c>
      <c r="T54" s="290">
        <v>0</v>
      </c>
      <c r="U54" s="290">
        <v>0</v>
      </c>
      <c r="V54" s="290">
        <v>0</v>
      </c>
      <c r="W54" s="290">
        <v>0</v>
      </c>
      <c r="X54" s="290">
        <v>1</v>
      </c>
      <c r="Y54" s="290">
        <v>1</v>
      </c>
    </row>
    <row r="55" spans="5:43" x14ac:dyDescent="0.25">
      <c r="F55" s="12" t="s">
        <v>81</v>
      </c>
      <c r="G55" t="s">
        <v>132</v>
      </c>
      <c r="J55" s="290">
        <v>0</v>
      </c>
      <c r="K55" s="290">
        <v>0</v>
      </c>
      <c r="L55" s="290">
        <v>0</v>
      </c>
      <c r="M55" s="290">
        <v>0</v>
      </c>
      <c r="N55" s="290">
        <v>0</v>
      </c>
      <c r="O55" s="290">
        <v>1</v>
      </c>
      <c r="P55" s="290">
        <v>0</v>
      </c>
      <c r="Q55" s="290">
        <v>0</v>
      </c>
      <c r="R55" s="290">
        <v>0</v>
      </c>
      <c r="S55" s="290">
        <v>1</v>
      </c>
      <c r="T55" s="290">
        <v>0</v>
      </c>
      <c r="U55" s="290">
        <v>0</v>
      </c>
      <c r="V55" s="290">
        <v>1</v>
      </c>
      <c r="W55" s="290">
        <v>1</v>
      </c>
      <c r="X55" s="290">
        <v>0</v>
      </c>
      <c r="Y55" s="290">
        <v>0</v>
      </c>
    </row>
    <row r="56" spans="5:43" x14ac:dyDescent="0.25">
      <c r="F56" s="13" t="s">
        <v>80</v>
      </c>
      <c r="G56" s="17" t="s">
        <v>132</v>
      </c>
      <c r="H56" s="17"/>
      <c r="I56" s="17"/>
      <c r="J56" s="288">
        <v>1</v>
      </c>
      <c r="K56" s="288">
        <v>1</v>
      </c>
      <c r="L56" s="288">
        <v>1</v>
      </c>
      <c r="M56" s="288">
        <v>1</v>
      </c>
      <c r="N56" s="288">
        <v>1</v>
      </c>
      <c r="O56" s="288">
        <v>0</v>
      </c>
      <c r="P56" s="288">
        <v>0</v>
      </c>
      <c r="Q56" s="288">
        <v>1</v>
      </c>
      <c r="R56" s="288">
        <v>1</v>
      </c>
      <c r="S56" s="288">
        <v>0</v>
      </c>
      <c r="T56" s="288">
        <v>1</v>
      </c>
      <c r="U56" s="288">
        <v>1</v>
      </c>
      <c r="V56" s="288">
        <v>0</v>
      </c>
      <c r="W56" s="288">
        <v>0</v>
      </c>
      <c r="X56" s="288">
        <v>0</v>
      </c>
      <c r="Y56" s="288">
        <v>0</v>
      </c>
    </row>
    <row r="57" spans="5:43" x14ac:dyDescent="0.25">
      <c r="H57" s="19"/>
      <c r="I57" s="19"/>
    </row>
    <row r="58" spans="5:43" x14ac:dyDescent="0.25">
      <c r="E58" s="52" t="s">
        <v>331</v>
      </c>
    </row>
    <row r="59" spans="5:43" x14ac:dyDescent="0.25">
      <c r="E59" s="73" t="s">
        <v>332</v>
      </c>
    </row>
    <row r="60" spans="5:43" x14ac:dyDescent="0.25">
      <c r="F60" s="80" t="s">
        <v>267</v>
      </c>
      <c r="G60" s="80" t="s">
        <v>141</v>
      </c>
      <c r="H60" s="80"/>
      <c r="I60" s="80"/>
      <c r="J60" s="287">
        <v>1</v>
      </c>
      <c r="K60" s="287">
        <v>1</v>
      </c>
      <c r="L60" s="287">
        <v>1</v>
      </c>
      <c r="M60" s="287">
        <v>1</v>
      </c>
      <c r="N60" s="287">
        <v>1</v>
      </c>
      <c r="O60" s="287">
        <v>1</v>
      </c>
      <c r="P60" s="287">
        <v>1</v>
      </c>
      <c r="Q60" s="287">
        <v>1</v>
      </c>
      <c r="R60" s="287">
        <v>-1</v>
      </c>
      <c r="S60" s="287">
        <v>-1</v>
      </c>
      <c r="T60" s="287">
        <v>-1</v>
      </c>
      <c r="U60" s="287">
        <v>-1</v>
      </c>
      <c r="V60" s="287">
        <v>-1</v>
      </c>
      <c r="W60" s="287">
        <v>-1</v>
      </c>
      <c r="X60" s="287">
        <v>-1</v>
      </c>
      <c r="Y60" s="287">
        <v>-1</v>
      </c>
    </row>
    <row r="61" spans="5:43" x14ac:dyDescent="0.25">
      <c r="F61" t="s">
        <v>43</v>
      </c>
      <c r="G61" t="s">
        <v>141</v>
      </c>
      <c r="J61" s="290">
        <v>1</v>
      </c>
      <c r="K61" s="290">
        <v>1</v>
      </c>
      <c r="L61" s="290">
        <v>1</v>
      </c>
      <c r="M61" s="290">
        <v>1</v>
      </c>
      <c r="N61" s="290">
        <v>1</v>
      </c>
      <c r="O61" s="290">
        <v>1</v>
      </c>
      <c r="P61" s="290">
        <v>1</v>
      </c>
      <c r="Q61" s="290">
        <v>1</v>
      </c>
      <c r="R61" s="290">
        <v>-1</v>
      </c>
      <c r="S61" s="290">
        <v>-1</v>
      </c>
      <c r="T61" s="290">
        <v>-1</v>
      </c>
      <c r="U61" s="290">
        <v>-1</v>
      </c>
      <c r="V61" s="290">
        <v>-1</v>
      </c>
      <c r="W61" s="290">
        <v>-1</v>
      </c>
      <c r="X61" s="290">
        <v>-1</v>
      </c>
      <c r="Y61" s="290">
        <v>-1</v>
      </c>
    </row>
    <row r="62" spans="5:43" x14ac:dyDescent="0.25">
      <c r="F62" t="s">
        <v>44</v>
      </c>
      <c r="G62" t="s">
        <v>141</v>
      </c>
      <c r="J62" s="290">
        <v>1</v>
      </c>
      <c r="K62" s="290">
        <v>1</v>
      </c>
      <c r="L62" s="290">
        <v>1</v>
      </c>
      <c r="M62" s="290">
        <v>1</v>
      </c>
      <c r="N62" s="290">
        <v>1</v>
      </c>
      <c r="O62" s="290">
        <v>1</v>
      </c>
      <c r="P62" s="290">
        <v>1</v>
      </c>
      <c r="Q62" s="290">
        <v>1</v>
      </c>
      <c r="R62" s="290">
        <v>-1</v>
      </c>
      <c r="S62" s="290">
        <v>-1</v>
      </c>
      <c r="T62" s="290">
        <v>-1</v>
      </c>
      <c r="U62" s="290">
        <v>-1</v>
      </c>
      <c r="V62" s="290">
        <v>-1</v>
      </c>
      <c r="W62" s="290">
        <v>-1</v>
      </c>
      <c r="X62" s="290">
        <v>-1</v>
      </c>
      <c r="Y62" s="290">
        <v>-1</v>
      </c>
    </row>
    <row r="63" spans="5:43" x14ac:dyDescent="0.25">
      <c r="F63" t="s">
        <v>45</v>
      </c>
      <c r="G63" t="s">
        <v>141</v>
      </c>
      <c r="J63" s="290">
        <v>1</v>
      </c>
      <c r="K63" s="290">
        <v>1</v>
      </c>
      <c r="L63" s="290">
        <v>1</v>
      </c>
      <c r="M63" s="290">
        <v>1</v>
      </c>
      <c r="N63" s="290">
        <v>1</v>
      </c>
      <c r="O63" s="290">
        <v>1</v>
      </c>
      <c r="P63" s="290">
        <v>1</v>
      </c>
      <c r="Q63" s="290">
        <v>1</v>
      </c>
      <c r="R63" s="290">
        <v>-1</v>
      </c>
      <c r="S63" s="290">
        <v>-1</v>
      </c>
      <c r="T63" s="290">
        <v>-1</v>
      </c>
      <c r="U63" s="290">
        <v>-1</v>
      </c>
      <c r="V63" s="290">
        <v>-1</v>
      </c>
      <c r="W63" s="290">
        <v>-1</v>
      </c>
      <c r="X63" s="290">
        <v>-1</v>
      </c>
      <c r="Y63" s="290">
        <v>-1</v>
      </c>
    </row>
    <row r="64" spans="5:43" x14ac:dyDescent="0.25">
      <c r="F64" t="s">
        <v>46</v>
      </c>
      <c r="G64" t="s">
        <v>141</v>
      </c>
      <c r="J64" s="290">
        <v>1</v>
      </c>
      <c r="K64" s="290">
        <v>1</v>
      </c>
      <c r="L64" s="290">
        <v>1</v>
      </c>
      <c r="M64" s="290">
        <v>1</v>
      </c>
      <c r="N64" s="290">
        <v>1</v>
      </c>
      <c r="O64" s="290">
        <v>1</v>
      </c>
      <c r="P64" s="290">
        <v>1</v>
      </c>
      <c r="Q64" s="290">
        <v>1</v>
      </c>
      <c r="R64" s="290">
        <v>-1</v>
      </c>
      <c r="S64" s="290">
        <v>-1</v>
      </c>
      <c r="T64" s="290">
        <v>-1</v>
      </c>
      <c r="U64" s="290">
        <v>-1</v>
      </c>
      <c r="V64" s="290">
        <v>-1</v>
      </c>
      <c r="W64" s="290">
        <v>-1</v>
      </c>
      <c r="X64" s="290">
        <v>-1</v>
      </c>
      <c r="Y64" s="290">
        <v>-1</v>
      </c>
    </row>
    <row r="65" spans="5:43" x14ac:dyDescent="0.25">
      <c r="F65" t="s">
        <v>47</v>
      </c>
      <c r="G65" t="s">
        <v>141</v>
      </c>
      <c r="J65" s="290">
        <v>1</v>
      </c>
      <c r="K65" s="290">
        <v>1</v>
      </c>
      <c r="L65" s="290">
        <v>1</v>
      </c>
      <c r="M65" s="290">
        <v>1</v>
      </c>
      <c r="N65" s="290">
        <v>1</v>
      </c>
      <c r="O65" s="290">
        <v>1</v>
      </c>
      <c r="P65" s="290">
        <v>1</v>
      </c>
      <c r="Q65" s="290">
        <v>1</v>
      </c>
      <c r="R65" s="290">
        <v>-1</v>
      </c>
      <c r="S65" s="290">
        <v>-1</v>
      </c>
      <c r="T65" s="290">
        <v>-1</v>
      </c>
      <c r="U65" s="290">
        <v>-1</v>
      </c>
      <c r="V65" s="290">
        <v>-1</v>
      </c>
      <c r="W65" s="290">
        <v>-1</v>
      </c>
      <c r="X65" s="290">
        <v>-1</v>
      </c>
      <c r="Y65" s="290">
        <v>-1</v>
      </c>
    </row>
    <row r="66" spans="5:43" x14ac:dyDescent="0.25">
      <c r="F66" t="s">
        <v>51</v>
      </c>
      <c r="G66" t="s">
        <v>141</v>
      </c>
      <c r="J66" s="290">
        <v>1</v>
      </c>
      <c r="K66" s="290">
        <v>1</v>
      </c>
      <c r="L66" s="290">
        <v>1</v>
      </c>
      <c r="M66" s="290">
        <v>1</v>
      </c>
      <c r="N66" s="290">
        <v>1</v>
      </c>
      <c r="O66" s="290">
        <v>1</v>
      </c>
      <c r="P66" s="290">
        <v>1</v>
      </c>
      <c r="Q66" s="290">
        <v>1</v>
      </c>
      <c r="R66" s="290">
        <v>-1</v>
      </c>
      <c r="S66" s="290">
        <v>-1</v>
      </c>
      <c r="T66" s="290">
        <v>-1</v>
      </c>
      <c r="U66" s="290">
        <v>-1</v>
      </c>
      <c r="V66" s="290">
        <v>-1</v>
      </c>
      <c r="W66" s="290">
        <v>-1</v>
      </c>
      <c r="X66" s="290">
        <v>-1</v>
      </c>
      <c r="Y66" s="290">
        <v>-1</v>
      </c>
    </row>
    <row r="67" spans="5:43" x14ac:dyDescent="0.25">
      <c r="F67" t="s">
        <v>48</v>
      </c>
      <c r="G67" t="s">
        <v>141</v>
      </c>
      <c r="J67" s="290">
        <v>1</v>
      </c>
      <c r="K67" s="290">
        <v>1</v>
      </c>
      <c r="L67" s="290">
        <v>1</v>
      </c>
      <c r="M67" s="290">
        <v>1</v>
      </c>
      <c r="N67" s="290">
        <v>1</v>
      </c>
      <c r="O67" s="290">
        <v>1</v>
      </c>
      <c r="P67" s="290">
        <v>1</v>
      </c>
      <c r="Q67" s="290">
        <v>1</v>
      </c>
      <c r="R67" s="290">
        <v>-1</v>
      </c>
      <c r="S67" s="290">
        <v>-1</v>
      </c>
      <c r="T67" s="290">
        <v>-1</v>
      </c>
      <c r="U67" s="290">
        <v>-1</v>
      </c>
      <c r="V67" s="290">
        <v>-1</v>
      </c>
      <c r="W67" s="290">
        <v>-1</v>
      </c>
      <c r="X67" s="290">
        <v>-1</v>
      </c>
      <c r="Y67" s="290">
        <v>-1</v>
      </c>
    </row>
    <row r="68" spans="5:43" x14ac:dyDescent="0.25">
      <c r="F68" t="s">
        <v>49</v>
      </c>
      <c r="G68" t="s">
        <v>141</v>
      </c>
      <c r="J68" s="290">
        <v>1</v>
      </c>
      <c r="K68" s="290">
        <v>1</v>
      </c>
      <c r="L68" s="290">
        <v>1</v>
      </c>
      <c r="M68" s="290">
        <v>1</v>
      </c>
      <c r="N68" s="290">
        <v>1</v>
      </c>
      <c r="O68" s="290">
        <v>1</v>
      </c>
      <c r="P68" s="290">
        <v>0</v>
      </c>
      <c r="Q68" s="290">
        <v>1</v>
      </c>
      <c r="R68" s="290">
        <v>-1</v>
      </c>
      <c r="S68" s="290">
        <v>-1</v>
      </c>
      <c r="T68" s="290">
        <v>-1</v>
      </c>
      <c r="U68" s="290">
        <v>-1</v>
      </c>
      <c r="V68" s="290">
        <v>-1</v>
      </c>
      <c r="W68" s="290">
        <v>-1</v>
      </c>
      <c r="X68" s="290">
        <v>0</v>
      </c>
      <c r="Y68" s="290">
        <v>0</v>
      </c>
    </row>
    <row r="69" spans="5:43" x14ac:dyDescent="0.25">
      <c r="F69" s="17" t="s">
        <v>50</v>
      </c>
      <c r="G69" s="17" t="s">
        <v>141</v>
      </c>
      <c r="H69" s="17"/>
      <c r="I69" s="17"/>
      <c r="J69" s="288">
        <v>1</v>
      </c>
      <c r="K69" s="288">
        <v>1</v>
      </c>
      <c r="L69" s="288">
        <v>1</v>
      </c>
      <c r="M69" s="288">
        <v>1</v>
      </c>
      <c r="N69" s="288">
        <v>1</v>
      </c>
      <c r="O69" s="288">
        <v>0</v>
      </c>
      <c r="P69" s="288">
        <v>0</v>
      </c>
      <c r="Q69" s="288">
        <v>1</v>
      </c>
      <c r="R69" s="288">
        <v>-1</v>
      </c>
      <c r="S69" s="288">
        <v>0</v>
      </c>
      <c r="T69" s="288">
        <v>-1</v>
      </c>
      <c r="U69" s="288">
        <v>-1</v>
      </c>
      <c r="V69" s="288">
        <v>0</v>
      </c>
      <c r="W69" s="288">
        <v>0</v>
      </c>
      <c r="X69" s="288">
        <v>0</v>
      </c>
      <c r="Y69" s="288">
        <v>0</v>
      </c>
    </row>
    <row r="71" spans="5:43" x14ac:dyDescent="0.25">
      <c r="E71" s="52" t="s">
        <v>330</v>
      </c>
      <c r="I71" t="s">
        <v>359</v>
      </c>
      <c r="AQ71" s="19" t="s">
        <v>814</v>
      </c>
    </row>
    <row r="72" spans="5:43" x14ac:dyDescent="0.25">
      <c r="E72" s="73" t="s">
        <v>262</v>
      </c>
    </row>
    <row r="73" spans="5:43" x14ac:dyDescent="0.25">
      <c r="E73" s="73"/>
      <c r="F73" s="80" t="s">
        <v>267</v>
      </c>
      <c r="G73" s="80" t="s">
        <v>141</v>
      </c>
      <c r="H73" s="80"/>
      <c r="I73" s="80"/>
      <c r="J73" s="287">
        <v>1</v>
      </c>
      <c r="K73" s="287">
        <v>1</v>
      </c>
      <c r="L73" s="287">
        <v>1</v>
      </c>
      <c r="M73" s="287">
        <v>1</v>
      </c>
      <c r="N73" s="287">
        <v>1</v>
      </c>
      <c r="O73" s="287">
        <v>1</v>
      </c>
      <c r="P73" s="287">
        <v>1</v>
      </c>
      <c r="Q73" s="287">
        <v>1</v>
      </c>
      <c r="R73" s="287">
        <v>-1</v>
      </c>
      <c r="S73" s="287">
        <v>-1</v>
      </c>
      <c r="T73" s="287">
        <v>-1</v>
      </c>
      <c r="U73" s="287">
        <v>-1</v>
      </c>
      <c r="V73" s="287">
        <v>-1</v>
      </c>
      <c r="W73" s="287">
        <v>-1</v>
      </c>
      <c r="X73" s="287">
        <v>-1</v>
      </c>
      <c r="Y73" s="287">
        <v>-1</v>
      </c>
    </row>
    <row r="74" spans="5:43" x14ac:dyDescent="0.25">
      <c r="E74" s="73"/>
      <c r="F74" t="s">
        <v>43</v>
      </c>
      <c r="G74" t="s">
        <v>141</v>
      </c>
      <c r="J74" s="290">
        <v>1</v>
      </c>
      <c r="K74" s="290">
        <v>1</v>
      </c>
      <c r="L74" s="290">
        <v>1</v>
      </c>
      <c r="M74" s="290">
        <v>1</v>
      </c>
      <c r="N74" s="290">
        <v>1</v>
      </c>
      <c r="O74" s="290">
        <v>1</v>
      </c>
      <c r="P74" s="290">
        <v>1</v>
      </c>
      <c r="Q74" s="290">
        <v>1</v>
      </c>
      <c r="R74" s="290">
        <v>-1</v>
      </c>
      <c r="S74" s="290">
        <v>-1</v>
      </c>
      <c r="T74" s="290">
        <v>-1</v>
      </c>
      <c r="U74" s="290">
        <v>-1</v>
      </c>
      <c r="V74" s="290">
        <v>-1</v>
      </c>
      <c r="W74" s="290">
        <v>-1</v>
      </c>
      <c r="X74" s="290">
        <v>-1</v>
      </c>
      <c r="Y74" s="290">
        <v>-1</v>
      </c>
    </row>
    <row r="75" spans="5:43" x14ac:dyDescent="0.25">
      <c r="E75" s="73"/>
      <c r="F75" t="s">
        <v>44</v>
      </c>
      <c r="G75" t="s">
        <v>141</v>
      </c>
      <c r="J75" s="290">
        <v>1</v>
      </c>
      <c r="K75" s="290">
        <v>1</v>
      </c>
      <c r="L75" s="290">
        <v>1</v>
      </c>
      <c r="M75" s="290">
        <v>1</v>
      </c>
      <c r="N75" s="290">
        <v>1</v>
      </c>
      <c r="O75" s="290">
        <v>1</v>
      </c>
      <c r="P75" s="290">
        <v>1</v>
      </c>
      <c r="Q75" s="290">
        <v>1</v>
      </c>
      <c r="R75" s="290">
        <v>-1</v>
      </c>
      <c r="S75" s="290">
        <v>-1</v>
      </c>
      <c r="T75" s="290">
        <v>-1</v>
      </c>
      <c r="U75" s="290">
        <v>-1</v>
      </c>
      <c r="V75" s="290">
        <v>-1</v>
      </c>
      <c r="W75" s="290">
        <v>-1</v>
      </c>
      <c r="X75" s="290">
        <v>-1</v>
      </c>
      <c r="Y75" s="290">
        <v>-1</v>
      </c>
    </row>
    <row r="76" spans="5:43" x14ac:dyDescent="0.25">
      <c r="E76" s="73"/>
      <c r="F76" t="s">
        <v>45</v>
      </c>
      <c r="G76" t="s">
        <v>141</v>
      </c>
      <c r="J76" s="290">
        <v>1</v>
      </c>
      <c r="K76" s="290">
        <v>1</v>
      </c>
      <c r="L76" s="290">
        <v>1</v>
      </c>
      <c r="M76" s="290">
        <v>1</v>
      </c>
      <c r="N76" s="290">
        <v>1</v>
      </c>
      <c r="O76" s="290">
        <v>1</v>
      </c>
      <c r="P76" s="290">
        <v>1</v>
      </c>
      <c r="Q76" s="290">
        <v>1</v>
      </c>
      <c r="R76" s="290">
        <v>-1</v>
      </c>
      <c r="S76" s="290">
        <v>-1</v>
      </c>
      <c r="T76" s="290">
        <v>-1</v>
      </c>
      <c r="U76" s="290">
        <v>-1</v>
      </c>
      <c r="V76" s="290">
        <v>-1</v>
      </c>
      <c r="W76" s="290">
        <v>-1</v>
      </c>
      <c r="X76" s="290">
        <v>-1</v>
      </c>
      <c r="Y76" s="290">
        <v>-1</v>
      </c>
    </row>
    <row r="77" spans="5:43" x14ac:dyDescent="0.25">
      <c r="E77" s="73"/>
      <c r="F77" t="s">
        <v>46</v>
      </c>
      <c r="G77" t="s">
        <v>141</v>
      </c>
      <c r="J77" s="290">
        <v>1</v>
      </c>
      <c r="K77" s="290">
        <v>1</v>
      </c>
      <c r="L77" s="290">
        <v>1</v>
      </c>
      <c r="M77" s="290">
        <v>1</v>
      </c>
      <c r="N77" s="290">
        <v>1</v>
      </c>
      <c r="O77" s="290">
        <v>1</v>
      </c>
      <c r="P77" s="290">
        <v>1</v>
      </c>
      <c r="Q77" s="290">
        <v>1</v>
      </c>
      <c r="R77" s="290">
        <v>-1</v>
      </c>
      <c r="S77" s="290">
        <v>-1</v>
      </c>
      <c r="T77" s="290">
        <v>-1</v>
      </c>
      <c r="U77" s="290">
        <v>-1</v>
      </c>
      <c r="V77" s="290">
        <v>-1</v>
      </c>
      <c r="W77" s="290">
        <v>-1</v>
      </c>
      <c r="X77" s="290">
        <v>-1</v>
      </c>
      <c r="Y77" s="290">
        <v>-1</v>
      </c>
    </row>
    <row r="78" spans="5:43" x14ac:dyDescent="0.25">
      <c r="E78" s="73"/>
      <c r="F78" t="s">
        <v>47</v>
      </c>
      <c r="G78" t="s">
        <v>141</v>
      </c>
      <c r="J78" s="290">
        <v>1</v>
      </c>
      <c r="K78" s="290">
        <v>1</v>
      </c>
      <c r="L78" s="290">
        <v>1</v>
      </c>
      <c r="M78" s="290">
        <v>1</v>
      </c>
      <c r="N78" s="290">
        <v>1</v>
      </c>
      <c r="O78" s="290">
        <v>1</v>
      </c>
      <c r="P78" s="290">
        <v>1</v>
      </c>
      <c r="Q78" s="290">
        <v>1</v>
      </c>
      <c r="R78" s="290">
        <v>-1</v>
      </c>
      <c r="S78" s="290">
        <v>-1</v>
      </c>
      <c r="T78" s="290">
        <v>-1</v>
      </c>
      <c r="U78" s="290">
        <v>-1</v>
      </c>
      <c r="V78" s="290">
        <v>-1</v>
      </c>
      <c r="W78" s="290">
        <v>-1</v>
      </c>
      <c r="X78" s="290">
        <v>-1</v>
      </c>
      <c r="Y78" s="290">
        <v>-1</v>
      </c>
    </row>
    <row r="79" spans="5:43" x14ac:dyDescent="0.25">
      <c r="E79" s="73"/>
      <c r="F79" t="s">
        <v>51</v>
      </c>
      <c r="G79" t="s">
        <v>141</v>
      </c>
      <c r="J79" s="290">
        <v>1</v>
      </c>
      <c r="K79" s="290">
        <v>1</v>
      </c>
      <c r="L79" s="290">
        <v>1</v>
      </c>
      <c r="M79" s="290">
        <v>1</v>
      </c>
      <c r="N79" s="290">
        <v>1</v>
      </c>
      <c r="O79" s="290">
        <v>1</v>
      </c>
      <c r="P79" s="290">
        <v>1</v>
      </c>
      <c r="Q79" s="290">
        <v>1</v>
      </c>
      <c r="R79" s="290">
        <v>-1</v>
      </c>
      <c r="S79" s="290">
        <v>-1</v>
      </c>
      <c r="T79" s="290">
        <v>-1</v>
      </c>
      <c r="U79" s="290">
        <v>-1</v>
      </c>
      <c r="V79" s="290">
        <v>-1</v>
      </c>
      <c r="W79" s="290">
        <v>-1</v>
      </c>
      <c r="X79" s="290">
        <v>-1</v>
      </c>
      <c r="Y79" s="290">
        <v>-1</v>
      </c>
    </row>
    <row r="80" spans="5:43" x14ac:dyDescent="0.25">
      <c r="E80" s="73"/>
      <c r="F80" t="s">
        <v>48</v>
      </c>
      <c r="G80" t="s">
        <v>141</v>
      </c>
      <c r="J80" s="290">
        <v>1</v>
      </c>
      <c r="K80" s="290">
        <v>1</v>
      </c>
      <c r="L80" s="290">
        <v>1</v>
      </c>
      <c r="M80" s="290">
        <v>1</v>
      </c>
      <c r="N80" s="290">
        <v>1</v>
      </c>
      <c r="O80" s="290">
        <v>1</v>
      </c>
      <c r="P80" s="290">
        <v>1</v>
      </c>
      <c r="Q80" s="290">
        <v>1</v>
      </c>
      <c r="R80" s="290">
        <v>-1</v>
      </c>
      <c r="S80" s="290">
        <v>-1</v>
      </c>
      <c r="T80" s="290">
        <v>-1</v>
      </c>
      <c r="U80" s="290">
        <v>-1</v>
      </c>
      <c r="V80" s="290">
        <v>-1</v>
      </c>
      <c r="W80" s="290">
        <v>-1</v>
      </c>
      <c r="X80" s="290">
        <v>0</v>
      </c>
      <c r="Y80" s="290">
        <v>0</v>
      </c>
    </row>
    <row r="81" spans="3:43" x14ac:dyDescent="0.25">
      <c r="E81" s="73"/>
      <c r="F81" t="s">
        <v>49</v>
      </c>
      <c r="G81" t="s">
        <v>141</v>
      </c>
      <c r="J81" s="290">
        <v>1</v>
      </c>
      <c r="K81" s="290">
        <v>1</v>
      </c>
      <c r="L81" s="290">
        <v>1</v>
      </c>
      <c r="M81" s="290">
        <v>1</v>
      </c>
      <c r="N81" s="290">
        <v>1</v>
      </c>
      <c r="O81" s="290">
        <v>1</v>
      </c>
      <c r="P81" s="290">
        <v>0</v>
      </c>
      <c r="Q81" s="290">
        <v>1</v>
      </c>
      <c r="R81" s="290">
        <v>-1</v>
      </c>
      <c r="S81" s="290">
        <v>0</v>
      </c>
      <c r="T81" s="290">
        <v>-1</v>
      </c>
      <c r="U81" s="290">
        <v>-1</v>
      </c>
      <c r="V81" s="290">
        <v>0</v>
      </c>
      <c r="W81" s="290">
        <v>0</v>
      </c>
      <c r="X81" s="290">
        <v>0</v>
      </c>
      <c r="Y81" s="290">
        <v>0</v>
      </c>
    </row>
    <row r="82" spans="3:43" x14ac:dyDescent="0.25">
      <c r="E82" s="73"/>
      <c r="F82" s="17" t="s">
        <v>50</v>
      </c>
      <c r="G82" s="17" t="s">
        <v>141</v>
      </c>
      <c r="H82" s="17"/>
      <c r="I82" s="17"/>
      <c r="J82" s="288">
        <v>1</v>
      </c>
      <c r="K82" s="288">
        <v>1</v>
      </c>
      <c r="L82" s="288">
        <v>1</v>
      </c>
      <c r="M82" s="288">
        <v>1</v>
      </c>
      <c r="N82" s="288">
        <v>1</v>
      </c>
      <c r="O82" s="288">
        <v>0</v>
      </c>
      <c r="P82" s="288">
        <v>0</v>
      </c>
      <c r="Q82" s="288">
        <v>1</v>
      </c>
      <c r="R82" s="288">
        <v>0</v>
      </c>
      <c r="S82" s="288">
        <v>0</v>
      </c>
      <c r="T82" s="288">
        <v>0</v>
      </c>
      <c r="U82" s="288">
        <v>0</v>
      </c>
      <c r="V82" s="288">
        <v>0</v>
      </c>
      <c r="W82" s="288">
        <v>0</v>
      </c>
      <c r="X82" s="288">
        <v>0</v>
      </c>
      <c r="Y82" s="288">
        <v>0</v>
      </c>
    </row>
    <row r="84" spans="3:43" x14ac:dyDescent="0.25">
      <c r="C84" s="5" t="str">
        <f ca="1">INDEX('Version control'!$H$36:$H$62,MATCH($A$1,'Version control'!$F$36:$F$62,0),1)&amp;"-E: Standing charge factors"</f>
        <v>Input 504-E: Standing charge factors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</row>
    <row r="86" spans="3:43" x14ac:dyDescent="0.25">
      <c r="E86" s="52" t="s">
        <v>263</v>
      </c>
      <c r="F86" s="52"/>
      <c r="I86" t="s">
        <v>359</v>
      </c>
      <c r="AQ86" t="s">
        <v>702</v>
      </c>
    </row>
    <row r="87" spans="3:43" x14ac:dyDescent="0.25">
      <c r="E87" s="73" t="s">
        <v>922</v>
      </c>
      <c r="F87" s="73"/>
    </row>
    <row r="88" spans="3:43" x14ac:dyDescent="0.25">
      <c r="E88" s="73"/>
      <c r="F88" s="80" t="s">
        <v>267</v>
      </c>
      <c r="G88" s="80" t="s">
        <v>94</v>
      </c>
      <c r="H88" s="80"/>
      <c r="I88" s="80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</row>
    <row r="89" spans="3:43" x14ac:dyDescent="0.25">
      <c r="E89" s="73"/>
      <c r="F89" t="s">
        <v>43</v>
      </c>
      <c r="G89" t="s">
        <v>94</v>
      </c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</row>
    <row r="90" spans="3:43" x14ac:dyDescent="0.25">
      <c r="E90" s="73"/>
      <c r="F90" t="s">
        <v>44</v>
      </c>
      <c r="G90" t="s">
        <v>94</v>
      </c>
      <c r="J90" s="317"/>
      <c r="K90" s="317"/>
      <c r="L90" s="317"/>
      <c r="M90" s="317"/>
      <c r="N90" s="317"/>
      <c r="O90" s="317"/>
      <c r="P90" s="317"/>
      <c r="Q90" s="317"/>
      <c r="R90" s="71"/>
      <c r="S90" s="71"/>
      <c r="T90" s="71"/>
      <c r="U90" s="71"/>
      <c r="V90" s="71"/>
      <c r="W90" s="71"/>
      <c r="X90" s="71"/>
      <c r="Y90" s="71"/>
    </row>
    <row r="91" spans="3:43" x14ac:dyDescent="0.25">
      <c r="E91" s="73"/>
      <c r="F91" t="s">
        <v>45</v>
      </c>
      <c r="G91" t="s">
        <v>94</v>
      </c>
      <c r="J91" s="317"/>
      <c r="K91" s="317"/>
      <c r="L91" s="317"/>
      <c r="M91" s="317"/>
      <c r="N91" s="317"/>
      <c r="O91" s="317"/>
      <c r="P91" s="317"/>
      <c r="Q91" s="317"/>
      <c r="R91" s="71"/>
      <c r="S91" s="71"/>
      <c r="T91" s="71"/>
      <c r="U91" s="71"/>
      <c r="V91" s="71"/>
      <c r="W91" s="71"/>
      <c r="X91" s="71"/>
      <c r="Y91" s="71"/>
    </row>
    <row r="92" spans="3:43" x14ac:dyDescent="0.25">
      <c r="E92" s="73"/>
      <c r="F92" t="s">
        <v>46</v>
      </c>
      <c r="G92" t="s">
        <v>94</v>
      </c>
      <c r="J92" s="317"/>
      <c r="K92" s="317"/>
      <c r="L92" s="317"/>
      <c r="M92" s="317"/>
      <c r="N92" s="317"/>
      <c r="O92" s="317"/>
      <c r="P92" s="316">
        <v>0.2</v>
      </c>
      <c r="Q92" s="317"/>
      <c r="R92" s="71"/>
      <c r="S92" s="71"/>
      <c r="T92" s="71"/>
      <c r="U92" s="71"/>
      <c r="V92" s="71"/>
      <c r="W92" s="71"/>
      <c r="X92" s="71"/>
      <c r="Y92" s="71"/>
    </row>
    <row r="93" spans="3:43" x14ac:dyDescent="0.25">
      <c r="E93" s="73"/>
      <c r="F93" t="s">
        <v>47</v>
      </c>
      <c r="G93" t="s">
        <v>94</v>
      </c>
      <c r="J93" s="317"/>
      <c r="K93" s="317"/>
      <c r="L93" s="317"/>
      <c r="M93" s="317"/>
      <c r="N93" s="317"/>
      <c r="O93" s="317"/>
      <c r="P93" s="316">
        <v>1</v>
      </c>
      <c r="Q93" s="317"/>
      <c r="R93" s="71"/>
      <c r="S93" s="71"/>
      <c r="T93" s="71"/>
      <c r="U93" s="71"/>
      <c r="V93" s="71"/>
      <c r="W93" s="71"/>
      <c r="X93" s="71"/>
      <c r="Y93" s="71"/>
    </row>
    <row r="94" spans="3:43" x14ac:dyDescent="0.25">
      <c r="E94" s="73"/>
      <c r="F94" t="s">
        <v>51</v>
      </c>
      <c r="G94" t="s">
        <v>94</v>
      </c>
      <c r="J94" s="317"/>
      <c r="K94" s="317"/>
      <c r="L94" s="317"/>
      <c r="M94" s="317"/>
      <c r="N94" s="317"/>
      <c r="O94" s="317"/>
      <c r="P94" s="317"/>
      <c r="Q94" s="317"/>
      <c r="R94" s="71"/>
      <c r="S94" s="71"/>
      <c r="T94" s="71"/>
      <c r="U94" s="71"/>
      <c r="V94" s="71"/>
      <c r="W94" s="71"/>
      <c r="X94" s="71"/>
      <c r="Y94" s="71"/>
    </row>
    <row r="95" spans="3:43" x14ac:dyDescent="0.25">
      <c r="E95" s="73"/>
      <c r="F95" t="s">
        <v>48</v>
      </c>
      <c r="G95" t="s">
        <v>94</v>
      </c>
      <c r="J95" s="317"/>
      <c r="K95" s="317"/>
      <c r="L95" s="317"/>
      <c r="M95" s="317"/>
      <c r="N95" s="316">
        <v>0.2</v>
      </c>
      <c r="O95" s="316">
        <v>1</v>
      </c>
      <c r="P95" s="316">
        <v>1</v>
      </c>
      <c r="Q95" s="317"/>
      <c r="R95" s="71"/>
      <c r="S95" s="71"/>
      <c r="T95" s="71"/>
      <c r="U95" s="71"/>
      <c r="V95" s="71"/>
      <c r="W95" s="71"/>
      <c r="X95" s="71"/>
      <c r="Y95" s="71"/>
    </row>
    <row r="96" spans="3:43" x14ac:dyDescent="0.25">
      <c r="E96" s="73"/>
      <c r="F96" t="s">
        <v>49</v>
      </c>
      <c r="G96" t="s">
        <v>94</v>
      </c>
      <c r="J96" s="317"/>
      <c r="K96" s="317"/>
      <c r="L96" s="317"/>
      <c r="M96" s="317"/>
      <c r="N96" s="316">
        <v>1</v>
      </c>
      <c r="O96" s="316">
        <v>1</v>
      </c>
      <c r="P96" s="317"/>
      <c r="Q96" s="317"/>
      <c r="R96" s="71"/>
      <c r="S96" s="71"/>
      <c r="T96" s="71"/>
      <c r="U96" s="71"/>
      <c r="V96" s="71"/>
      <c r="W96" s="71"/>
      <c r="X96" s="71"/>
      <c r="Y96" s="71"/>
    </row>
    <row r="97" spans="3:43" x14ac:dyDescent="0.25">
      <c r="E97" s="73"/>
      <c r="F97" s="17" t="s">
        <v>50</v>
      </c>
      <c r="G97" s="17" t="s">
        <v>94</v>
      </c>
      <c r="H97" s="17"/>
      <c r="I97" s="17"/>
      <c r="J97" s="289">
        <v>1</v>
      </c>
      <c r="K97" s="289">
        <v>1</v>
      </c>
      <c r="L97" s="289">
        <v>1</v>
      </c>
      <c r="M97" s="289">
        <v>1</v>
      </c>
      <c r="N97" s="289">
        <v>1</v>
      </c>
      <c r="O97" s="36"/>
      <c r="P97" s="36"/>
      <c r="Q97" s="289">
        <v>0</v>
      </c>
      <c r="R97" s="86"/>
      <c r="S97" s="86"/>
      <c r="T97" s="86"/>
      <c r="U97" s="86"/>
      <c r="V97" s="86"/>
      <c r="W97" s="86"/>
      <c r="X97" s="86"/>
      <c r="Y97" s="86"/>
    </row>
    <row r="99" spans="3:43" x14ac:dyDescent="0.25">
      <c r="C99" s="5" t="str">
        <f ca="1">INDEX('Version control'!$H$36:$H$62,MATCH($A$1,'Version control'!$F$36:$F$62,0),1)&amp;"-F: Flags"</f>
        <v>Input 504-F: Flags</v>
      </c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</row>
    <row r="101" spans="3:43" x14ac:dyDescent="0.25">
      <c r="D101" s="52" t="s">
        <v>173</v>
      </c>
      <c r="E101" s="52"/>
    </row>
    <row r="102" spans="3:43" x14ac:dyDescent="0.25">
      <c r="D102" s="73" t="s">
        <v>528</v>
      </c>
      <c r="E102" s="73"/>
    </row>
    <row r="103" spans="3:43" x14ac:dyDescent="0.25">
      <c r="D103" s="73" t="s">
        <v>529</v>
      </c>
      <c r="E103" s="73"/>
    </row>
    <row r="104" spans="3:43" x14ac:dyDescent="0.25">
      <c r="D104" s="73"/>
      <c r="E104" s="52" t="s">
        <v>120</v>
      </c>
    </row>
    <row r="105" spans="3:43" x14ac:dyDescent="0.25">
      <c r="D105" s="73"/>
      <c r="F105" s="12" t="s">
        <v>313</v>
      </c>
      <c r="G105" t="s">
        <v>174</v>
      </c>
      <c r="I105" t="s">
        <v>359</v>
      </c>
      <c r="J105" s="318" t="b">
        <v>0</v>
      </c>
      <c r="K105" s="318" t="b">
        <v>0</v>
      </c>
      <c r="L105" s="318" t="b">
        <v>0</v>
      </c>
      <c r="M105" s="318" t="b">
        <v>0</v>
      </c>
      <c r="N105" s="318" t="b">
        <v>0</v>
      </c>
      <c r="O105" s="318" t="b">
        <v>0</v>
      </c>
      <c r="P105" s="318" t="b">
        <v>0</v>
      </c>
      <c r="Q105" s="318" t="b">
        <v>0</v>
      </c>
      <c r="R105" s="318" t="b">
        <v>1</v>
      </c>
      <c r="S105" s="318" t="b">
        <v>1</v>
      </c>
      <c r="T105" s="318" t="b">
        <v>1</v>
      </c>
      <c r="U105" s="318" t="b">
        <v>1</v>
      </c>
      <c r="V105" s="318" t="b">
        <v>1</v>
      </c>
      <c r="W105" s="318" t="b">
        <v>1</v>
      </c>
      <c r="X105" s="318" t="b">
        <v>1</v>
      </c>
      <c r="Y105" s="318" t="b">
        <v>1</v>
      </c>
      <c r="AQ105" t="s">
        <v>703</v>
      </c>
    </row>
    <row r="106" spans="3:43" x14ac:dyDescent="0.25">
      <c r="D106" s="73"/>
      <c r="E106" s="12"/>
      <c r="F106" s="12" t="s">
        <v>314</v>
      </c>
      <c r="G106" t="s">
        <v>94</v>
      </c>
      <c r="J106" s="317"/>
      <c r="K106" s="317"/>
      <c r="L106" s="317"/>
      <c r="M106" s="317"/>
      <c r="N106" s="317"/>
      <c r="O106" s="317"/>
      <c r="P106" s="317"/>
      <c r="Q106" s="317"/>
      <c r="R106" s="319">
        <v>0</v>
      </c>
      <c r="S106" s="319">
        <v>0</v>
      </c>
      <c r="T106" s="319">
        <v>0</v>
      </c>
      <c r="U106" s="319">
        <v>0</v>
      </c>
      <c r="V106" s="319">
        <v>0</v>
      </c>
      <c r="W106" s="319">
        <v>0</v>
      </c>
      <c r="X106" s="319">
        <v>0</v>
      </c>
      <c r="Y106" s="319">
        <v>0</v>
      </c>
    </row>
    <row r="107" spans="3:43" x14ac:dyDescent="0.25">
      <c r="D107" s="73"/>
      <c r="E107" s="12"/>
      <c r="F107" s="12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</row>
    <row r="108" spans="3:43" x14ac:dyDescent="0.25">
      <c r="D108" s="73"/>
      <c r="E108" s="52" t="s">
        <v>74</v>
      </c>
      <c r="F108" s="12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</row>
    <row r="109" spans="3:43" x14ac:dyDescent="0.25">
      <c r="D109" s="73"/>
      <c r="F109" s="12" t="s">
        <v>313</v>
      </c>
      <c r="G109" t="s">
        <v>174</v>
      </c>
      <c r="J109" s="318" t="b">
        <v>0</v>
      </c>
      <c r="K109" s="318" t="b">
        <v>0</v>
      </c>
      <c r="L109" s="318" t="b">
        <v>0</v>
      </c>
      <c r="M109" s="318" t="b">
        <v>0</v>
      </c>
      <c r="N109" s="318" t="b">
        <v>0</v>
      </c>
      <c r="O109" s="318" t="b">
        <v>0</v>
      </c>
      <c r="P109" s="318" t="b">
        <v>0</v>
      </c>
      <c r="Q109" s="318" t="b">
        <v>0</v>
      </c>
      <c r="R109" s="318" t="b">
        <v>1</v>
      </c>
      <c r="S109" s="318" t="b">
        <v>1</v>
      </c>
      <c r="T109" s="318" t="b">
        <v>1</v>
      </c>
      <c r="U109" s="318" t="b">
        <v>1</v>
      </c>
      <c r="V109" s="318" t="b">
        <v>1</v>
      </c>
      <c r="W109" s="318" t="b">
        <v>1</v>
      </c>
      <c r="X109" s="318" t="b">
        <v>1</v>
      </c>
      <c r="Y109" s="318" t="b">
        <v>1</v>
      </c>
    </row>
    <row r="110" spans="3:43" x14ac:dyDescent="0.25">
      <c r="D110" s="73"/>
      <c r="E110" s="12"/>
      <c r="F110" s="12" t="s">
        <v>314</v>
      </c>
      <c r="G110" t="s">
        <v>94</v>
      </c>
      <c r="J110" s="317"/>
      <c r="K110" s="317"/>
      <c r="L110" s="317"/>
      <c r="M110" s="317"/>
      <c r="N110" s="317"/>
      <c r="O110" s="317"/>
      <c r="P110" s="317"/>
      <c r="Q110" s="317"/>
      <c r="R110" s="319">
        <v>1</v>
      </c>
      <c r="S110" s="319">
        <v>1</v>
      </c>
      <c r="T110" s="319">
        <v>1</v>
      </c>
      <c r="U110" s="319">
        <v>1</v>
      </c>
      <c r="V110" s="319">
        <v>1</v>
      </c>
      <c r="W110" s="319">
        <v>1</v>
      </c>
      <c r="X110" s="319">
        <v>1</v>
      </c>
      <c r="Y110" s="319">
        <v>1</v>
      </c>
    </row>
    <row r="111" spans="3:43" x14ac:dyDescent="0.25">
      <c r="D111" s="73"/>
      <c r="E111" s="12"/>
      <c r="F111" s="12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</row>
    <row r="112" spans="3:43" x14ac:dyDescent="0.25">
      <c r="D112" s="73"/>
      <c r="E112" s="52" t="s">
        <v>75</v>
      </c>
      <c r="F112" s="12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</row>
    <row r="113" spans="4:25" x14ac:dyDescent="0.25">
      <c r="D113" s="73"/>
      <c r="F113" s="12" t="s">
        <v>313</v>
      </c>
      <c r="G113" t="s">
        <v>174</v>
      </c>
      <c r="J113" s="318" t="b">
        <v>0</v>
      </c>
      <c r="K113" s="318" t="b">
        <v>0</v>
      </c>
      <c r="L113" s="318" t="b">
        <v>0</v>
      </c>
      <c r="M113" s="318" t="b">
        <v>0</v>
      </c>
      <c r="N113" s="318" t="b">
        <v>0</v>
      </c>
      <c r="O113" s="318" t="b">
        <v>0</v>
      </c>
      <c r="P113" s="318" t="b">
        <v>0</v>
      </c>
      <c r="Q113" s="318" t="b">
        <v>0</v>
      </c>
      <c r="R113" s="318" t="b">
        <v>1</v>
      </c>
      <c r="S113" s="318" t="b">
        <v>1</v>
      </c>
      <c r="T113" s="318" t="b">
        <v>1</v>
      </c>
      <c r="U113" s="318" t="b">
        <v>1</v>
      </c>
      <c r="V113" s="318" t="b">
        <v>1</v>
      </c>
      <c r="W113" s="318" t="b">
        <v>1</v>
      </c>
      <c r="X113" s="318" t="b">
        <v>1</v>
      </c>
      <c r="Y113" s="318" t="b">
        <v>1</v>
      </c>
    </row>
    <row r="114" spans="4:25" x14ac:dyDescent="0.25">
      <c r="D114" s="73"/>
      <c r="E114" s="12"/>
      <c r="F114" s="12" t="s">
        <v>314</v>
      </c>
      <c r="G114" t="s">
        <v>94</v>
      </c>
      <c r="J114" s="317"/>
      <c r="K114" s="317"/>
      <c r="L114" s="317"/>
      <c r="M114" s="317"/>
      <c r="N114" s="317"/>
      <c r="O114" s="317"/>
      <c r="P114" s="317"/>
      <c r="Q114" s="317"/>
      <c r="R114" s="319">
        <v>0</v>
      </c>
      <c r="S114" s="319">
        <v>0</v>
      </c>
      <c r="T114" s="319">
        <v>0</v>
      </c>
      <c r="U114" s="319">
        <v>0</v>
      </c>
      <c r="V114" s="319">
        <v>0</v>
      </c>
      <c r="W114" s="319">
        <v>0</v>
      </c>
      <c r="X114" s="319">
        <v>0</v>
      </c>
      <c r="Y114" s="319">
        <v>0</v>
      </c>
    </row>
    <row r="115" spans="4:25" x14ac:dyDescent="0.25">
      <c r="D115" s="73"/>
      <c r="E115" s="12"/>
      <c r="F115" s="12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</row>
    <row r="116" spans="4:25" x14ac:dyDescent="0.25">
      <c r="D116" s="73"/>
      <c r="E116" s="52" t="s">
        <v>76</v>
      </c>
      <c r="F116" s="12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</row>
    <row r="117" spans="4:25" x14ac:dyDescent="0.25">
      <c r="D117" s="73"/>
      <c r="F117" s="12" t="s">
        <v>313</v>
      </c>
      <c r="G117" t="s">
        <v>174</v>
      </c>
      <c r="J117" s="318" t="b">
        <v>0</v>
      </c>
      <c r="K117" s="318" t="b">
        <v>0</v>
      </c>
      <c r="L117" s="318" t="b">
        <v>0</v>
      </c>
      <c r="M117" s="318" t="b">
        <v>0</v>
      </c>
      <c r="N117" s="318" t="b">
        <v>0</v>
      </c>
      <c r="O117" s="318" t="b">
        <v>0</v>
      </c>
      <c r="P117" s="318" t="b">
        <v>0</v>
      </c>
      <c r="Q117" s="318" t="b">
        <v>0</v>
      </c>
      <c r="R117" s="318" t="b">
        <v>1</v>
      </c>
      <c r="S117" s="318" t="b">
        <v>1</v>
      </c>
      <c r="T117" s="318" t="b">
        <v>1</v>
      </c>
      <c r="U117" s="318" t="b">
        <v>1</v>
      </c>
      <c r="V117" s="318" t="b">
        <v>1</v>
      </c>
      <c r="W117" s="318" t="b">
        <v>1</v>
      </c>
      <c r="X117" s="318" t="b">
        <v>1</v>
      </c>
      <c r="Y117" s="318" t="b">
        <v>1</v>
      </c>
    </row>
    <row r="118" spans="4:25" x14ac:dyDescent="0.25">
      <c r="D118" s="73"/>
      <c r="E118" s="12"/>
      <c r="F118" s="12" t="s">
        <v>314</v>
      </c>
      <c r="G118" t="s">
        <v>94</v>
      </c>
      <c r="J118" s="317"/>
      <c r="K118" s="317"/>
      <c r="L118" s="317"/>
      <c r="M118" s="317"/>
      <c r="N118" s="317"/>
      <c r="O118" s="317"/>
      <c r="P118" s="317"/>
      <c r="Q118" s="317"/>
      <c r="R118" s="319">
        <v>0</v>
      </c>
      <c r="S118" s="319">
        <v>0</v>
      </c>
      <c r="T118" s="319">
        <v>0</v>
      </c>
      <c r="U118" s="319">
        <v>0</v>
      </c>
      <c r="V118" s="319">
        <v>0</v>
      </c>
      <c r="W118" s="319">
        <v>0</v>
      </c>
      <c r="X118" s="319">
        <v>0</v>
      </c>
      <c r="Y118" s="319">
        <v>0</v>
      </c>
    </row>
    <row r="119" spans="4:25" x14ac:dyDescent="0.25">
      <c r="D119" s="73"/>
      <c r="E119" s="12"/>
      <c r="F119" s="12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</row>
    <row r="120" spans="4:25" x14ac:dyDescent="0.25">
      <c r="D120" s="73"/>
      <c r="E120" s="52" t="s">
        <v>77</v>
      </c>
      <c r="F120" s="12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</row>
    <row r="121" spans="4:25" x14ac:dyDescent="0.25">
      <c r="D121" s="73"/>
      <c r="F121" s="12" t="s">
        <v>313</v>
      </c>
      <c r="G121" t="s">
        <v>174</v>
      </c>
      <c r="J121" s="318" t="b">
        <v>0</v>
      </c>
      <c r="K121" s="318" t="b">
        <v>0</v>
      </c>
      <c r="L121" s="318" t="b">
        <v>0</v>
      </c>
      <c r="M121" s="318" t="b">
        <v>0</v>
      </c>
      <c r="N121" s="318" t="b">
        <v>0</v>
      </c>
      <c r="O121" s="318" t="b">
        <v>0</v>
      </c>
      <c r="P121" s="318" t="b">
        <v>0</v>
      </c>
      <c r="Q121" s="318" t="b">
        <v>0</v>
      </c>
      <c r="R121" s="318" t="b">
        <v>1</v>
      </c>
      <c r="S121" s="318" t="b">
        <v>1</v>
      </c>
      <c r="T121" s="318" t="b">
        <v>1</v>
      </c>
      <c r="U121" s="318" t="b">
        <v>1</v>
      </c>
      <c r="V121" s="318" t="b">
        <v>1</v>
      </c>
      <c r="W121" s="318" t="b">
        <v>1</v>
      </c>
      <c r="X121" s="318" t="b">
        <v>1</v>
      </c>
      <c r="Y121" s="318" t="b">
        <v>1</v>
      </c>
    </row>
    <row r="122" spans="4:25" x14ac:dyDescent="0.25">
      <c r="D122" s="73"/>
      <c r="E122" s="12"/>
      <c r="F122" s="12" t="s">
        <v>314</v>
      </c>
      <c r="G122" t="s">
        <v>94</v>
      </c>
      <c r="J122" s="317"/>
      <c r="K122" s="317"/>
      <c r="L122" s="317"/>
      <c r="M122" s="317"/>
      <c r="N122" s="317"/>
      <c r="O122" s="317"/>
      <c r="P122" s="317"/>
      <c r="Q122" s="317"/>
      <c r="R122" s="319">
        <v>0</v>
      </c>
      <c r="S122" s="319">
        <v>0</v>
      </c>
      <c r="T122" s="319">
        <v>0</v>
      </c>
      <c r="U122" s="319">
        <v>0</v>
      </c>
      <c r="V122" s="319">
        <v>0</v>
      </c>
      <c r="W122" s="319">
        <v>0</v>
      </c>
      <c r="X122" s="319">
        <v>0</v>
      </c>
      <c r="Y122" s="319">
        <v>0</v>
      </c>
    </row>
    <row r="123" spans="4:25" x14ac:dyDescent="0.25">
      <c r="D123" s="73"/>
      <c r="E123" s="73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</row>
    <row r="124" spans="4:25" x14ac:dyDescent="0.25">
      <c r="E124" s="52" t="s">
        <v>242</v>
      </c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</row>
    <row r="125" spans="4:25" x14ac:dyDescent="0.25">
      <c r="E125" s="73" t="s">
        <v>763</v>
      </c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</row>
    <row r="126" spans="4:25" x14ac:dyDescent="0.25">
      <c r="E126" s="73" t="s">
        <v>511</v>
      </c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</row>
    <row r="127" spans="4:25" x14ac:dyDescent="0.25">
      <c r="E127" s="73"/>
      <c r="F127" t="s">
        <v>242</v>
      </c>
      <c r="G127" t="s">
        <v>174</v>
      </c>
      <c r="J127" s="318" t="b">
        <v>0</v>
      </c>
      <c r="K127" s="318" t="b">
        <v>0</v>
      </c>
      <c r="L127" s="318" t="b">
        <v>0</v>
      </c>
      <c r="M127" s="318" t="b">
        <v>0</v>
      </c>
      <c r="N127" s="318" t="b">
        <v>0</v>
      </c>
      <c r="O127" s="318" t="b">
        <v>0</v>
      </c>
      <c r="P127" s="318" t="b">
        <v>0</v>
      </c>
      <c r="Q127" s="318" t="b">
        <v>1</v>
      </c>
      <c r="R127" s="318" t="b">
        <v>0</v>
      </c>
      <c r="S127" s="318" t="b">
        <v>0</v>
      </c>
      <c r="T127" s="318" t="b">
        <v>0</v>
      </c>
      <c r="U127" s="318" t="b">
        <v>0</v>
      </c>
      <c r="V127" s="318" t="b">
        <v>0</v>
      </c>
      <c r="W127" s="318" t="b">
        <v>0</v>
      </c>
      <c r="X127" s="318" t="b">
        <v>0</v>
      </c>
      <c r="Y127" s="318" t="b">
        <v>0</v>
      </c>
    </row>
    <row r="128" spans="4:25" x14ac:dyDescent="0.25">
      <c r="E128" s="73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</row>
    <row r="129" spans="3:43" x14ac:dyDescent="0.25">
      <c r="E129" s="52" t="s">
        <v>540</v>
      </c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</row>
    <row r="130" spans="3:43" x14ac:dyDescent="0.25">
      <c r="E130" s="73" t="s">
        <v>284</v>
      </c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</row>
    <row r="131" spans="3:43" x14ac:dyDescent="0.25">
      <c r="E131" s="73"/>
      <c r="F131" t="s">
        <v>447</v>
      </c>
      <c r="G131" t="s">
        <v>174</v>
      </c>
      <c r="J131" s="318" t="b">
        <v>1</v>
      </c>
      <c r="K131" s="318" t="b">
        <v>0</v>
      </c>
      <c r="L131" s="318" t="b">
        <v>1</v>
      </c>
      <c r="M131" s="318" t="b">
        <v>0</v>
      </c>
      <c r="N131" s="318" t="b">
        <v>1</v>
      </c>
      <c r="O131" s="318" t="b">
        <v>1</v>
      </c>
      <c r="P131" s="318" t="b">
        <v>1</v>
      </c>
      <c r="Q131" s="318" t="b">
        <v>1</v>
      </c>
      <c r="R131" s="318" t="b">
        <v>1</v>
      </c>
      <c r="S131" s="318" t="b">
        <v>1</v>
      </c>
      <c r="T131" s="318" t="b">
        <v>1</v>
      </c>
      <c r="U131" s="318" t="b">
        <v>1</v>
      </c>
      <c r="V131" s="318" t="b">
        <v>1</v>
      </c>
      <c r="W131" s="318" t="b">
        <v>1</v>
      </c>
      <c r="X131" s="318" t="b">
        <v>1</v>
      </c>
      <c r="Y131" s="318" t="b">
        <v>1</v>
      </c>
    </row>
    <row r="132" spans="3:43" x14ac:dyDescent="0.25">
      <c r="D132" s="73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</row>
    <row r="133" spans="3:43" x14ac:dyDescent="0.25">
      <c r="E133" s="52" t="s">
        <v>303</v>
      </c>
      <c r="I133" t="s">
        <v>359</v>
      </c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AQ133" t="s">
        <v>730</v>
      </c>
    </row>
    <row r="134" spans="3:43" x14ac:dyDescent="0.25">
      <c r="E134" s="73" t="s">
        <v>532</v>
      </c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</row>
    <row r="135" spans="3:43" x14ac:dyDescent="0.25">
      <c r="E135" s="73" t="s">
        <v>533</v>
      </c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</row>
    <row r="136" spans="3:43" x14ac:dyDescent="0.25">
      <c r="E136" s="73"/>
      <c r="F136" t="s">
        <v>255</v>
      </c>
      <c r="G136" t="s">
        <v>132</v>
      </c>
      <c r="J136" s="318">
        <v>0</v>
      </c>
      <c r="K136" s="318">
        <v>0</v>
      </c>
      <c r="L136" s="318">
        <v>0</v>
      </c>
      <c r="M136" s="318">
        <v>0</v>
      </c>
      <c r="N136" s="318">
        <v>1</v>
      </c>
      <c r="O136" s="318">
        <v>1</v>
      </c>
      <c r="P136" s="318">
        <v>1</v>
      </c>
      <c r="Q136" s="318">
        <v>0</v>
      </c>
      <c r="R136" s="318">
        <v>0</v>
      </c>
      <c r="S136" s="318">
        <v>0</v>
      </c>
      <c r="T136" s="318">
        <v>0</v>
      </c>
      <c r="U136" s="318">
        <v>0</v>
      </c>
      <c r="V136" s="318">
        <v>0</v>
      </c>
      <c r="W136" s="318">
        <v>0</v>
      </c>
      <c r="X136" s="318">
        <v>0</v>
      </c>
      <c r="Y136" s="318">
        <v>0</v>
      </c>
    </row>
    <row r="137" spans="3:43" x14ac:dyDescent="0.25">
      <c r="E137" s="73"/>
      <c r="F137" t="s">
        <v>256</v>
      </c>
      <c r="G137" t="s">
        <v>132</v>
      </c>
      <c r="J137" s="318">
        <v>0</v>
      </c>
      <c r="K137" s="318">
        <v>0</v>
      </c>
      <c r="L137" s="318">
        <v>0</v>
      </c>
      <c r="M137" s="318">
        <v>0</v>
      </c>
      <c r="N137" s="318">
        <v>1</v>
      </c>
      <c r="O137" s="318">
        <v>1</v>
      </c>
      <c r="P137" s="318">
        <v>1</v>
      </c>
      <c r="Q137" s="318">
        <v>0</v>
      </c>
      <c r="R137" s="318">
        <v>0</v>
      </c>
      <c r="S137" s="318">
        <v>0</v>
      </c>
      <c r="T137" s="318">
        <v>0</v>
      </c>
      <c r="U137" s="318">
        <v>0</v>
      </c>
      <c r="V137" s="318">
        <v>0</v>
      </c>
      <c r="W137" s="318">
        <v>0</v>
      </c>
      <c r="X137" s="318">
        <v>0</v>
      </c>
      <c r="Y137" s="318">
        <v>0</v>
      </c>
    </row>
    <row r="138" spans="3:43" x14ac:dyDescent="0.25">
      <c r="E138" s="73"/>
      <c r="F138" t="s">
        <v>304</v>
      </c>
      <c r="G138" t="s">
        <v>132</v>
      </c>
      <c r="J138" s="318">
        <v>0</v>
      </c>
      <c r="K138" s="318">
        <v>0</v>
      </c>
      <c r="L138" s="318">
        <v>0</v>
      </c>
      <c r="M138" s="318">
        <v>0</v>
      </c>
      <c r="N138" s="318">
        <v>1</v>
      </c>
      <c r="O138" s="318">
        <v>1</v>
      </c>
      <c r="P138" s="318">
        <v>1</v>
      </c>
      <c r="Q138" s="318">
        <v>0</v>
      </c>
      <c r="R138" s="318">
        <v>0</v>
      </c>
      <c r="S138" s="318">
        <v>0</v>
      </c>
      <c r="T138" s="318">
        <v>1</v>
      </c>
      <c r="U138" s="318">
        <v>0</v>
      </c>
      <c r="V138" s="318">
        <v>1</v>
      </c>
      <c r="W138" s="318">
        <v>0</v>
      </c>
      <c r="X138" s="318">
        <v>1</v>
      </c>
      <c r="Y138" s="318">
        <v>0</v>
      </c>
    </row>
    <row r="139" spans="3:43" x14ac:dyDescent="0.25">
      <c r="E139" s="73"/>
      <c r="F139" t="s">
        <v>308</v>
      </c>
      <c r="G139" t="s">
        <v>132</v>
      </c>
      <c r="J139" s="318">
        <v>1</v>
      </c>
      <c r="K139" s="318">
        <v>0</v>
      </c>
      <c r="L139" s="318">
        <v>1</v>
      </c>
      <c r="M139" s="318">
        <v>0</v>
      </c>
      <c r="N139" s="318">
        <v>0</v>
      </c>
      <c r="O139" s="318">
        <v>0</v>
      </c>
      <c r="P139" s="318">
        <v>0</v>
      </c>
      <c r="Q139" s="318">
        <v>0</v>
      </c>
      <c r="R139" s="318">
        <v>0</v>
      </c>
      <c r="S139" s="318">
        <v>0</v>
      </c>
      <c r="T139" s="318">
        <v>0</v>
      </c>
      <c r="U139" s="318">
        <v>0</v>
      </c>
      <c r="V139" s="318">
        <v>0</v>
      </c>
      <c r="W139" s="318">
        <v>0</v>
      </c>
      <c r="X139" s="318">
        <v>0</v>
      </c>
      <c r="Y139" s="318">
        <v>0</v>
      </c>
    </row>
    <row r="140" spans="3:43" x14ac:dyDescent="0.25">
      <c r="D140" s="73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</row>
    <row r="141" spans="3:43" x14ac:dyDescent="0.25">
      <c r="C141" s="5" t="str">
        <f ca="1">INDEX('Version control'!$H$36:$H$62,MATCH($A$1,'Version control'!$F$36:$F$62,0),1)&amp;"-G: Identifiers for customer groupings"</f>
        <v>Input 504-G: Identifiers for customer groupings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</row>
    <row r="143" spans="3:43" x14ac:dyDescent="0.25">
      <c r="E143" s="52" t="s">
        <v>309</v>
      </c>
      <c r="F143" s="52"/>
    </row>
    <row r="144" spans="3:43" x14ac:dyDescent="0.25">
      <c r="E144" s="73" t="s">
        <v>650</v>
      </c>
      <c r="F144" s="73"/>
      <c r="I144" t="s">
        <v>359</v>
      </c>
      <c r="AQ144" t="s">
        <v>994</v>
      </c>
    </row>
    <row r="145" spans="1:44" x14ac:dyDescent="0.25">
      <c r="E145" s="73"/>
      <c r="F145" s="12" t="s">
        <v>309</v>
      </c>
      <c r="G145" t="s">
        <v>426</v>
      </c>
      <c r="J145" s="290">
        <v>1</v>
      </c>
      <c r="K145" s="317"/>
      <c r="L145" s="290">
        <v>1</v>
      </c>
      <c r="M145" s="317"/>
      <c r="N145" s="317"/>
      <c r="O145" s="317"/>
      <c r="P145" s="317"/>
      <c r="Q145" s="317"/>
      <c r="R145" s="317"/>
      <c r="S145" s="317"/>
      <c r="T145" s="317"/>
      <c r="U145" s="317"/>
      <c r="V145" s="317"/>
      <c r="W145" s="317"/>
      <c r="X145" s="317"/>
      <c r="Y145" s="317"/>
    </row>
    <row r="146" spans="1:44" x14ac:dyDescent="0.25">
      <c r="E146" s="73"/>
      <c r="F146" s="73"/>
    </row>
    <row r="147" spans="1:44" x14ac:dyDescent="0.25">
      <c r="E147" s="52" t="s">
        <v>941</v>
      </c>
      <c r="F147" s="52"/>
      <c r="I147" t="s">
        <v>359</v>
      </c>
      <c r="AQ147" t="s">
        <v>942</v>
      </c>
    </row>
    <row r="148" spans="1:44" x14ac:dyDescent="0.25">
      <c r="E148" s="73" t="s">
        <v>943</v>
      </c>
      <c r="F148" s="73"/>
    </row>
    <row r="149" spans="1:44" x14ac:dyDescent="0.25">
      <c r="E149" s="73"/>
      <c r="F149" s="12" t="s">
        <v>944</v>
      </c>
      <c r="G149" t="s">
        <v>426</v>
      </c>
      <c r="J149" s="290">
        <v>1</v>
      </c>
      <c r="K149" s="290">
        <v>1</v>
      </c>
      <c r="L149" s="290">
        <v>2</v>
      </c>
      <c r="M149" s="290">
        <v>2</v>
      </c>
      <c r="N149" s="290">
        <v>3</v>
      </c>
      <c r="O149" s="290">
        <v>4</v>
      </c>
      <c r="P149" s="290">
        <v>5</v>
      </c>
      <c r="Q149" s="317"/>
      <c r="R149" s="317"/>
      <c r="S149" s="317"/>
      <c r="T149" s="317"/>
      <c r="U149" s="317"/>
      <c r="V149" s="317"/>
      <c r="W149" s="317"/>
      <c r="X149" s="317"/>
      <c r="Y149" s="317"/>
    </row>
    <row r="150" spans="1:44" x14ac:dyDescent="0.25">
      <c r="E150" s="73"/>
      <c r="F150" s="73"/>
    </row>
    <row r="151" spans="1:44" x14ac:dyDescent="0.25">
      <c r="C151" s="5" t="str">
        <f ca="1">INDEX('Version control'!$H$36:$H$62,MATCH($A$1,'Version control'!$F$36:$F$62,0),1)&amp;"-H: Decimal places for error checks"</f>
        <v>Input 504-H: Decimal places for error checks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</row>
    <row r="153" spans="1:44" x14ac:dyDescent="0.25">
      <c r="E153" t="s">
        <v>537</v>
      </c>
      <c r="G153" t="s">
        <v>426</v>
      </c>
      <c r="H153" s="290">
        <v>3</v>
      </c>
    </row>
    <row r="155" spans="1:44" x14ac:dyDescent="0.25">
      <c r="C155" s="5" t="str">
        <f ca="1">INDEX('Version control'!$H$36:$H$62,MATCH($A$1,'Version control'!$F$36:$F$62,0),1)&amp;"-I: Map of applicable MPANs"</f>
        <v>Input 504-I: Map of applicable MPANs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</row>
    <row r="157" spans="1:44" x14ac:dyDescent="0.25">
      <c r="C157" s="76"/>
      <c r="D157" s="84"/>
      <c r="E157" s="52" t="s">
        <v>969</v>
      </c>
      <c r="I157" t="s">
        <v>359</v>
      </c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  <c r="AA157" s="211"/>
      <c r="AB157" s="211"/>
      <c r="AC157" s="211"/>
      <c r="AD157" s="211"/>
      <c r="AE157" s="211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1"/>
      <c r="AP157" s="211"/>
      <c r="AQ157" s="211" t="s">
        <v>989</v>
      </c>
      <c r="AR157" s="211"/>
    </row>
    <row r="158" spans="1:44" x14ac:dyDescent="0.25">
      <c r="C158" s="76"/>
      <c r="D158" s="84"/>
      <c r="F158" s="80" t="s">
        <v>957</v>
      </c>
      <c r="G158" s="80" t="s">
        <v>132</v>
      </c>
      <c r="H158" s="80"/>
      <c r="I158" s="80"/>
      <c r="J158" s="402">
        <v>1</v>
      </c>
      <c r="K158" s="402">
        <v>0</v>
      </c>
      <c r="L158" s="402">
        <v>0</v>
      </c>
      <c r="M158" s="402">
        <v>0</v>
      </c>
      <c r="N158" s="402">
        <v>0</v>
      </c>
      <c r="O158" s="402">
        <v>0</v>
      </c>
      <c r="P158" s="402">
        <v>0</v>
      </c>
      <c r="Q158" s="402">
        <v>0</v>
      </c>
      <c r="R158" s="402">
        <v>0</v>
      </c>
      <c r="S158" s="402">
        <v>0</v>
      </c>
      <c r="T158" s="402">
        <v>0</v>
      </c>
      <c r="U158" s="402">
        <v>0</v>
      </c>
      <c r="V158" s="402">
        <v>0</v>
      </c>
      <c r="W158" s="402">
        <v>0</v>
      </c>
      <c r="X158" s="402">
        <v>0</v>
      </c>
      <c r="Y158" s="402">
        <v>0</v>
      </c>
      <c r="Z158" s="211"/>
      <c r="AA158" s="211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P158" s="211"/>
      <c r="AQ158" s="211"/>
      <c r="AR158" s="211"/>
    </row>
    <row r="159" spans="1:44" s="476" customFormat="1" x14ac:dyDescent="0.25">
      <c r="C159" s="479"/>
      <c r="D159" s="480"/>
      <c r="F159" s="476" t="s">
        <v>958</v>
      </c>
      <c r="G159" s="476" t="s">
        <v>132</v>
      </c>
      <c r="J159" s="414">
        <v>1</v>
      </c>
      <c r="K159" s="414">
        <v>0</v>
      </c>
      <c r="L159" s="414">
        <v>1</v>
      </c>
      <c r="M159" s="414">
        <v>0</v>
      </c>
      <c r="N159" s="414">
        <v>1</v>
      </c>
      <c r="O159" s="414">
        <v>1</v>
      </c>
      <c r="P159" s="414">
        <v>1</v>
      </c>
      <c r="Q159" s="414">
        <v>0</v>
      </c>
      <c r="R159" s="414">
        <v>0</v>
      </c>
      <c r="S159" s="414">
        <v>0</v>
      </c>
      <c r="T159" s="414">
        <v>0</v>
      </c>
      <c r="U159" s="414">
        <v>0</v>
      </c>
      <c r="V159" s="414">
        <v>0</v>
      </c>
      <c r="W159" s="414">
        <v>0</v>
      </c>
      <c r="X159" s="414">
        <v>0</v>
      </c>
      <c r="Y159" s="414">
        <v>0</v>
      </c>
      <c r="Z159" s="478"/>
      <c r="AA159" s="478"/>
      <c r="AB159" s="478"/>
      <c r="AC159" s="478"/>
      <c r="AD159" s="478"/>
      <c r="AE159" s="478"/>
      <c r="AF159" s="478"/>
      <c r="AG159" s="478"/>
      <c r="AH159" s="478"/>
      <c r="AI159" s="478"/>
      <c r="AJ159" s="478"/>
      <c r="AK159" s="478"/>
      <c r="AL159" s="478"/>
      <c r="AM159" s="478"/>
      <c r="AN159" s="478"/>
      <c r="AO159" s="478"/>
      <c r="AP159" s="478"/>
      <c r="AQ159" s="478"/>
      <c r="AR159" s="478"/>
    </row>
    <row r="160" spans="1:44" x14ac:dyDescent="0.25">
      <c r="A160" s="476"/>
      <c r="C160" s="76"/>
      <c r="D160" s="84"/>
      <c r="F160" s="17" t="s">
        <v>1247</v>
      </c>
      <c r="G160" s="17" t="s">
        <v>132</v>
      </c>
      <c r="H160" s="17"/>
      <c r="I160" s="17"/>
      <c r="J160" s="403">
        <v>1</v>
      </c>
      <c r="K160" s="403">
        <v>0</v>
      </c>
      <c r="L160" s="403">
        <v>1</v>
      </c>
      <c r="M160" s="403">
        <v>0</v>
      </c>
      <c r="N160" s="403">
        <v>1</v>
      </c>
      <c r="O160" s="403">
        <v>1</v>
      </c>
      <c r="P160" s="403">
        <v>1</v>
      </c>
      <c r="Q160" s="403">
        <v>0</v>
      </c>
      <c r="R160" s="403">
        <v>0</v>
      </c>
      <c r="S160" s="403">
        <v>0</v>
      </c>
      <c r="T160" s="403">
        <v>0</v>
      </c>
      <c r="U160" s="403">
        <v>0</v>
      </c>
      <c r="V160" s="403">
        <v>0</v>
      </c>
      <c r="W160" s="403">
        <v>0</v>
      </c>
      <c r="X160" s="403">
        <v>0</v>
      </c>
      <c r="Y160" s="403">
        <v>0</v>
      </c>
      <c r="Z160" s="211"/>
      <c r="AA160" s="211"/>
      <c r="AB160" s="211"/>
      <c r="AC160" s="211"/>
      <c r="AD160" s="211"/>
      <c r="AE160" s="211"/>
      <c r="AF160" s="211"/>
      <c r="AG160" s="211"/>
      <c r="AH160" s="211"/>
      <c r="AI160" s="211"/>
      <c r="AJ160" s="211"/>
      <c r="AK160" s="211"/>
      <c r="AL160" s="211"/>
      <c r="AM160" s="211"/>
      <c r="AN160" s="211"/>
      <c r="AO160" s="211"/>
      <c r="AP160" s="211"/>
      <c r="AQ160" s="211"/>
      <c r="AR160" s="211"/>
    </row>
    <row r="161" spans="3:44" x14ac:dyDescent="0.25">
      <c r="C161" s="76"/>
      <c r="D161" s="84"/>
      <c r="AR161" s="211"/>
    </row>
    <row r="162" spans="3:44" x14ac:dyDescent="0.25">
      <c r="C162" s="5" t="str">
        <f ca="1">INDEX('Version control'!$H$36:$H$62,MATCH($A$1,'Version control'!$F$36:$F$62,0),1)&amp;"-J: Revenue matching inputs"</f>
        <v>Input 504-J: Revenue matching inputs</v>
      </c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</row>
    <row r="163" spans="3:44" x14ac:dyDescent="0.25">
      <c r="C163" s="76"/>
      <c r="D163" s="84"/>
      <c r="AR163" s="211"/>
    </row>
    <row r="164" spans="3:44" ht="60" x14ac:dyDescent="0.25">
      <c r="C164" s="76"/>
      <c r="D164" s="84"/>
      <c r="E164" s="52" t="s">
        <v>1000</v>
      </c>
      <c r="J164" s="330" t="s">
        <v>1001</v>
      </c>
      <c r="K164" s="330" t="s">
        <v>926</v>
      </c>
      <c r="L164" s="330" t="s">
        <v>1002</v>
      </c>
      <c r="M164" s="330" t="s">
        <v>1003</v>
      </c>
      <c r="N164" s="330" t="s">
        <v>1004</v>
      </c>
      <c r="O164" s="330" t="s">
        <v>1005</v>
      </c>
      <c r="P164" s="330" t="s">
        <v>1006</v>
      </c>
      <c r="Q164" s="330" t="s">
        <v>928</v>
      </c>
      <c r="R164" s="330" t="s">
        <v>1007</v>
      </c>
      <c r="S164" s="330" t="s">
        <v>1008</v>
      </c>
      <c r="T164" s="330" t="s">
        <v>1009</v>
      </c>
      <c r="U164" s="330" t="s">
        <v>1010</v>
      </c>
      <c r="V164" s="330" t="s">
        <v>1011</v>
      </c>
      <c r="W164" s="330" t="s">
        <v>1012</v>
      </c>
      <c r="X164" s="330" t="s">
        <v>1013</v>
      </c>
      <c r="Y164" s="330" t="s">
        <v>1014</v>
      </c>
      <c r="Z164" s="330" t="s">
        <v>1015</v>
      </c>
      <c r="AA164" s="330" t="s">
        <v>1016</v>
      </c>
      <c r="AB164" s="330" t="s">
        <v>1017</v>
      </c>
      <c r="AC164" s="330" t="s">
        <v>1018</v>
      </c>
      <c r="AD164" s="330" t="s">
        <v>1019</v>
      </c>
      <c r="AE164" s="330" t="s">
        <v>1020</v>
      </c>
      <c r="AF164" s="330" t="s">
        <v>1021</v>
      </c>
      <c r="AG164" s="330" t="s">
        <v>932</v>
      </c>
      <c r="AH164" s="330" t="s">
        <v>933</v>
      </c>
      <c r="AI164" s="330" t="s">
        <v>934</v>
      </c>
      <c r="AJ164" s="330" t="s">
        <v>935</v>
      </c>
      <c r="AK164" s="330" t="s">
        <v>936</v>
      </c>
      <c r="AL164" s="330" t="s">
        <v>937</v>
      </c>
      <c r="AM164" s="330" t="s">
        <v>938</v>
      </c>
      <c r="AN164" s="330" t="s">
        <v>939</v>
      </c>
      <c r="AO164" s="330" t="s">
        <v>940</v>
      </c>
      <c r="AR164" s="211"/>
    </row>
    <row r="165" spans="3:44" x14ac:dyDescent="0.25">
      <c r="C165" s="76"/>
      <c r="D165" s="84"/>
      <c r="F165" s="80" t="s">
        <v>1022</v>
      </c>
      <c r="G165" s="80" t="s">
        <v>1023</v>
      </c>
      <c r="H165" s="80"/>
      <c r="I165" s="80"/>
      <c r="J165" s="411" t="b">
        <v>1</v>
      </c>
      <c r="K165" s="411" t="b">
        <v>0</v>
      </c>
      <c r="L165" s="411" t="b">
        <v>0</v>
      </c>
      <c r="M165" s="411" t="b">
        <v>1</v>
      </c>
      <c r="N165" s="411" t="b">
        <v>1</v>
      </c>
      <c r="O165" s="411" t="b">
        <v>1</v>
      </c>
      <c r="P165" s="411" t="b">
        <v>1</v>
      </c>
      <c r="Q165" s="411" t="b">
        <v>0</v>
      </c>
      <c r="R165" s="411" t="b">
        <v>0</v>
      </c>
      <c r="S165" s="411" t="b">
        <v>1</v>
      </c>
      <c r="T165" s="411" t="b">
        <v>1</v>
      </c>
      <c r="U165" s="411" t="b">
        <v>1</v>
      </c>
      <c r="V165" s="411" t="b">
        <v>1</v>
      </c>
      <c r="W165" s="411" t="b">
        <v>0</v>
      </c>
      <c r="X165" s="411" t="b">
        <v>1</v>
      </c>
      <c r="Y165" s="411" t="b">
        <v>1</v>
      </c>
      <c r="Z165" s="411" t="b">
        <v>1</v>
      </c>
      <c r="AA165" s="411" t="b">
        <v>1</v>
      </c>
      <c r="AB165" s="411" t="b">
        <v>0</v>
      </c>
      <c r="AC165" s="411" t="b">
        <v>1</v>
      </c>
      <c r="AD165" s="411" t="b">
        <v>1</v>
      </c>
      <c r="AE165" s="411" t="b">
        <v>1</v>
      </c>
      <c r="AF165" s="411" t="b">
        <v>1</v>
      </c>
      <c r="AG165" s="411" t="b">
        <v>1</v>
      </c>
      <c r="AH165" s="411" t="b">
        <v>0</v>
      </c>
      <c r="AI165" s="411" t="b">
        <v>0</v>
      </c>
      <c r="AJ165" s="411" t="b">
        <v>0</v>
      </c>
      <c r="AK165" s="411" t="b">
        <v>0</v>
      </c>
      <c r="AL165" s="411" t="b">
        <v>0</v>
      </c>
      <c r="AM165" s="411" t="b">
        <v>0</v>
      </c>
      <c r="AN165" s="411" t="b">
        <v>0</v>
      </c>
      <c r="AO165" s="411" t="b">
        <v>0</v>
      </c>
      <c r="AR165" s="211"/>
    </row>
    <row r="166" spans="3:44" x14ac:dyDescent="0.25">
      <c r="C166" s="76"/>
      <c r="D166" s="84"/>
      <c r="F166" t="s">
        <v>1024</v>
      </c>
      <c r="G166" t="s">
        <v>1023</v>
      </c>
      <c r="J166" s="412" t="b">
        <v>1</v>
      </c>
      <c r="K166" s="85"/>
      <c r="L166" s="85"/>
      <c r="M166" s="412" t="b">
        <v>1</v>
      </c>
      <c r="N166" s="412" t="b">
        <v>1</v>
      </c>
      <c r="O166" s="412" t="b">
        <v>1</v>
      </c>
      <c r="P166" s="412" t="b">
        <v>1</v>
      </c>
      <c r="Q166" s="85"/>
      <c r="R166" s="85"/>
      <c r="S166" s="412" t="b">
        <v>1</v>
      </c>
      <c r="T166" s="412" t="b">
        <v>1</v>
      </c>
      <c r="U166" s="412" t="b">
        <v>1</v>
      </c>
      <c r="V166" s="412" t="b">
        <v>1</v>
      </c>
      <c r="W166" s="85"/>
      <c r="X166" s="412" t="b">
        <v>1</v>
      </c>
      <c r="Y166" s="412" t="b">
        <v>1</v>
      </c>
      <c r="Z166" s="412" t="b">
        <v>1</v>
      </c>
      <c r="AA166" s="412" t="b">
        <v>1</v>
      </c>
      <c r="AB166" s="85"/>
      <c r="AC166" s="412" t="b">
        <v>1</v>
      </c>
      <c r="AD166" s="412" t="b">
        <v>1</v>
      </c>
      <c r="AE166" s="412" t="b">
        <v>1</v>
      </c>
      <c r="AF166" s="412" t="b">
        <v>1</v>
      </c>
      <c r="AG166" s="412" t="b">
        <v>0</v>
      </c>
      <c r="AH166" s="85"/>
      <c r="AI166" s="85"/>
      <c r="AJ166" s="85"/>
      <c r="AK166" s="85"/>
      <c r="AL166" s="85"/>
      <c r="AM166" s="85"/>
      <c r="AN166" s="85"/>
      <c r="AO166" s="85"/>
      <c r="AR166" s="211"/>
    </row>
    <row r="167" spans="3:44" x14ac:dyDescent="0.25">
      <c r="C167" s="76"/>
      <c r="D167" s="84"/>
      <c r="F167" t="s">
        <v>1025</v>
      </c>
      <c r="G167" t="s">
        <v>1023</v>
      </c>
      <c r="J167" s="412" t="b">
        <v>0</v>
      </c>
      <c r="K167" s="85"/>
      <c r="L167" s="85"/>
      <c r="M167" s="412" t="b">
        <v>0</v>
      </c>
      <c r="N167" s="412" t="b">
        <v>0</v>
      </c>
      <c r="O167" s="412" t="b">
        <v>0</v>
      </c>
      <c r="P167" s="412" t="b">
        <v>0</v>
      </c>
      <c r="Q167" s="85"/>
      <c r="R167" s="85"/>
      <c r="S167" s="412" t="b">
        <v>0</v>
      </c>
      <c r="T167" s="412" t="b">
        <v>0</v>
      </c>
      <c r="U167" s="412" t="b">
        <v>0</v>
      </c>
      <c r="V167" s="412" t="b">
        <v>0</v>
      </c>
      <c r="W167" s="85"/>
      <c r="X167" s="412" t="b">
        <v>0</v>
      </c>
      <c r="Y167" s="412" t="b">
        <v>0</v>
      </c>
      <c r="Z167" s="412" t="b">
        <v>0</v>
      </c>
      <c r="AA167" s="412" t="b">
        <v>0</v>
      </c>
      <c r="AB167" s="85"/>
      <c r="AC167" s="412" t="b">
        <v>0</v>
      </c>
      <c r="AD167" s="412" t="b">
        <v>0</v>
      </c>
      <c r="AE167" s="412" t="b">
        <v>0</v>
      </c>
      <c r="AF167" s="412" t="b">
        <v>0</v>
      </c>
      <c r="AG167" s="412" t="b">
        <v>1</v>
      </c>
      <c r="AH167" s="85"/>
      <c r="AI167" s="85"/>
      <c r="AJ167" s="85"/>
      <c r="AK167" s="85"/>
      <c r="AL167" s="85"/>
      <c r="AM167" s="85"/>
      <c r="AN167" s="85"/>
      <c r="AO167" s="85"/>
      <c r="AR167" s="211"/>
    </row>
    <row r="168" spans="3:44" x14ac:dyDescent="0.25">
      <c r="C168" s="76"/>
      <c r="D168" s="84"/>
      <c r="F168" t="s">
        <v>1026</v>
      </c>
      <c r="G168" t="s">
        <v>426</v>
      </c>
      <c r="J168" s="412">
        <v>1</v>
      </c>
      <c r="K168" s="85"/>
      <c r="L168" s="85"/>
      <c r="M168" s="412">
        <v>2</v>
      </c>
      <c r="N168" s="412">
        <v>2</v>
      </c>
      <c r="O168" s="412">
        <v>2</v>
      </c>
      <c r="P168" s="412">
        <v>2</v>
      </c>
      <c r="Q168" s="85"/>
      <c r="R168" s="85"/>
      <c r="S168" s="412">
        <v>3</v>
      </c>
      <c r="T168" s="412">
        <v>3</v>
      </c>
      <c r="U168" s="412">
        <v>3</v>
      </c>
      <c r="V168" s="412">
        <v>3</v>
      </c>
      <c r="W168" s="85"/>
      <c r="X168" s="412">
        <v>3</v>
      </c>
      <c r="Y168" s="412">
        <v>3</v>
      </c>
      <c r="Z168" s="412">
        <v>3</v>
      </c>
      <c r="AA168" s="412">
        <v>3</v>
      </c>
      <c r="AB168" s="85"/>
      <c r="AC168" s="412">
        <v>4</v>
      </c>
      <c r="AD168" s="412">
        <v>4</v>
      </c>
      <c r="AE168" s="412">
        <v>4</v>
      </c>
      <c r="AF168" s="412">
        <v>4</v>
      </c>
      <c r="AG168" s="412">
        <v>5</v>
      </c>
      <c r="AH168" s="85"/>
      <c r="AI168" s="85"/>
      <c r="AJ168" s="85"/>
      <c r="AK168" s="85"/>
      <c r="AL168" s="85"/>
      <c r="AM168" s="85"/>
      <c r="AN168" s="85"/>
      <c r="AO168" s="85"/>
      <c r="AR168" s="211"/>
    </row>
    <row r="169" spans="3:44" x14ac:dyDescent="0.25">
      <c r="C169" s="76"/>
      <c r="D169" s="84"/>
      <c r="F169" t="s">
        <v>1027</v>
      </c>
      <c r="G169" t="s">
        <v>426</v>
      </c>
      <c r="J169" s="412">
        <v>1</v>
      </c>
      <c r="K169" s="85"/>
      <c r="L169" s="85"/>
      <c r="M169" s="412">
        <v>1</v>
      </c>
      <c r="N169" s="412">
        <v>2</v>
      </c>
      <c r="O169" s="412">
        <v>3</v>
      </c>
      <c r="P169" s="412">
        <v>4</v>
      </c>
      <c r="Q169" s="85"/>
      <c r="R169" s="85"/>
      <c r="S169" s="412">
        <v>1</v>
      </c>
      <c r="T169" s="412">
        <v>2</v>
      </c>
      <c r="U169" s="412">
        <v>3</v>
      </c>
      <c r="V169" s="412">
        <v>4</v>
      </c>
      <c r="W169" s="85"/>
      <c r="X169" s="412">
        <v>1</v>
      </c>
      <c r="Y169" s="412">
        <v>2</v>
      </c>
      <c r="Z169" s="412">
        <v>3</v>
      </c>
      <c r="AA169" s="412">
        <v>4</v>
      </c>
      <c r="AB169" s="85"/>
      <c r="AC169" s="412">
        <v>1</v>
      </c>
      <c r="AD169" s="412">
        <v>2</v>
      </c>
      <c r="AE169" s="412">
        <v>3</v>
      </c>
      <c r="AF169" s="412">
        <v>4</v>
      </c>
      <c r="AG169" s="412">
        <v>1</v>
      </c>
      <c r="AH169" s="85"/>
      <c r="AI169" s="85"/>
      <c r="AJ169" s="85"/>
      <c r="AK169" s="85"/>
      <c r="AL169" s="85"/>
      <c r="AM169" s="85"/>
      <c r="AN169" s="85"/>
      <c r="AO169" s="85"/>
      <c r="AR169" s="211"/>
    </row>
    <row r="170" spans="3:44" x14ac:dyDescent="0.25">
      <c r="C170" s="76"/>
      <c r="D170" s="84"/>
      <c r="F170" s="17" t="s">
        <v>1028</v>
      </c>
      <c r="G170" s="17" t="s">
        <v>426</v>
      </c>
      <c r="H170" s="17"/>
      <c r="I170" s="17"/>
      <c r="J170" s="413">
        <v>1</v>
      </c>
      <c r="K170" s="413">
        <v>2</v>
      </c>
      <c r="L170" s="413">
        <v>3</v>
      </c>
      <c r="M170" s="413">
        <v>3</v>
      </c>
      <c r="N170" s="413">
        <v>3</v>
      </c>
      <c r="O170" s="413">
        <v>3</v>
      </c>
      <c r="P170" s="413">
        <v>3</v>
      </c>
      <c r="Q170" s="413">
        <v>4</v>
      </c>
      <c r="R170" s="413">
        <v>5</v>
      </c>
      <c r="S170" s="413">
        <v>5</v>
      </c>
      <c r="T170" s="413">
        <v>5</v>
      </c>
      <c r="U170" s="413">
        <v>5</v>
      </c>
      <c r="V170" s="413">
        <v>5</v>
      </c>
      <c r="W170" s="413">
        <v>6</v>
      </c>
      <c r="X170" s="413">
        <v>6</v>
      </c>
      <c r="Y170" s="413">
        <v>6</v>
      </c>
      <c r="Z170" s="413">
        <v>6</v>
      </c>
      <c r="AA170" s="413">
        <v>6</v>
      </c>
      <c r="AB170" s="413">
        <v>7</v>
      </c>
      <c r="AC170" s="413">
        <v>7</v>
      </c>
      <c r="AD170" s="413">
        <v>7</v>
      </c>
      <c r="AE170" s="413">
        <v>7</v>
      </c>
      <c r="AF170" s="413">
        <v>7</v>
      </c>
      <c r="AG170" s="413">
        <v>8</v>
      </c>
      <c r="AH170" s="413">
        <v>9</v>
      </c>
      <c r="AI170" s="413">
        <v>10</v>
      </c>
      <c r="AJ170" s="413">
        <v>11</v>
      </c>
      <c r="AK170" s="413">
        <v>12</v>
      </c>
      <c r="AL170" s="413">
        <v>13</v>
      </c>
      <c r="AM170" s="413">
        <v>14</v>
      </c>
      <c r="AN170" s="413">
        <v>15</v>
      </c>
      <c r="AO170" s="413">
        <v>16</v>
      </c>
      <c r="AR170" s="211"/>
    </row>
    <row r="171" spans="3:44" x14ac:dyDescent="0.25">
      <c r="C171" s="76"/>
      <c r="D171" s="84"/>
      <c r="AR171" s="211"/>
    </row>
    <row r="172" spans="3:44" x14ac:dyDescent="0.25">
      <c r="C172" s="76"/>
      <c r="D172" s="84"/>
      <c r="E172" t="s">
        <v>1029</v>
      </c>
      <c r="G172" t="s">
        <v>426</v>
      </c>
      <c r="H172" s="414">
        <v>2</v>
      </c>
      <c r="AR172" s="211"/>
    </row>
    <row r="173" spans="3:44" x14ac:dyDescent="0.25">
      <c r="C173" s="76"/>
      <c r="D173" s="84"/>
      <c r="AR173" s="211"/>
    </row>
    <row r="174" spans="3:44" x14ac:dyDescent="0.25">
      <c r="C174" s="76"/>
      <c r="D174" s="84"/>
      <c r="E174" s="52" t="s">
        <v>1030</v>
      </c>
      <c r="AR174" s="211"/>
    </row>
    <row r="175" spans="3:44" x14ac:dyDescent="0.25">
      <c r="C175" s="76"/>
      <c r="D175" s="84"/>
      <c r="E175" s="52"/>
      <c r="F175" s="73" t="s">
        <v>1031</v>
      </c>
      <c r="AR175" s="211"/>
    </row>
    <row r="176" spans="3:44" ht="60" x14ac:dyDescent="0.25">
      <c r="C176" s="76"/>
      <c r="D176" s="84"/>
      <c r="E176" s="52"/>
      <c r="F176" s="415" t="s">
        <v>1032</v>
      </c>
      <c r="J176" s="330" t="s">
        <v>1001</v>
      </c>
      <c r="K176" s="330" t="s">
        <v>926</v>
      </c>
      <c r="L176" s="330" t="s">
        <v>1002</v>
      </c>
      <c r="M176" s="330" t="s">
        <v>1003</v>
      </c>
      <c r="N176" s="330" t="s">
        <v>1004</v>
      </c>
      <c r="O176" s="330" t="s">
        <v>1005</v>
      </c>
      <c r="P176" s="330" t="s">
        <v>1006</v>
      </c>
      <c r="Q176" s="330" t="s">
        <v>928</v>
      </c>
      <c r="R176" s="330" t="s">
        <v>1007</v>
      </c>
      <c r="S176" s="330" t="s">
        <v>1008</v>
      </c>
      <c r="T176" s="330" t="s">
        <v>1009</v>
      </c>
      <c r="U176" s="330" t="s">
        <v>1010</v>
      </c>
      <c r="V176" s="330" t="s">
        <v>1011</v>
      </c>
      <c r="W176" s="330" t="s">
        <v>1012</v>
      </c>
      <c r="X176" s="330" t="s">
        <v>1013</v>
      </c>
      <c r="Y176" s="330" t="s">
        <v>1014</v>
      </c>
      <c r="Z176" s="330" t="s">
        <v>1015</v>
      </c>
      <c r="AA176" s="330" t="s">
        <v>1016</v>
      </c>
      <c r="AB176" s="330" t="s">
        <v>1017</v>
      </c>
      <c r="AC176" s="330" t="s">
        <v>1018</v>
      </c>
      <c r="AD176" s="330" t="s">
        <v>1019</v>
      </c>
      <c r="AE176" s="330" t="s">
        <v>1020</v>
      </c>
      <c r="AF176" s="330" t="s">
        <v>1021</v>
      </c>
      <c r="AG176" s="330" t="s">
        <v>932</v>
      </c>
      <c r="AH176" s="330" t="s">
        <v>933</v>
      </c>
      <c r="AI176" s="330" t="s">
        <v>934</v>
      </c>
      <c r="AJ176" s="330" t="s">
        <v>935</v>
      </c>
      <c r="AK176" s="330" t="s">
        <v>936</v>
      </c>
      <c r="AL176" s="330" t="s">
        <v>937</v>
      </c>
      <c r="AM176" s="330" t="s">
        <v>938</v>
      </c>
      <c r="AN176" s="330" t="s">
        <v>939</v>
      </c>
      <c r="AO176" s="330" t="s">
        <v>940</v>
      </c>
      <c r="AR176" s="211"/>
    </row>
    <row r="177" spans="2:44" x14ac:dyDescent="0.25">
      <c r="C177" s="76"/>
      <c r="D177" s="84"/>
      <c r="F177" s="80" t="s">
        <v>1033</v>
      </c>
      <c r="G177" s="80" t="s">
        <v>426</v>
      </c>
      <c r="H177" s="80"/>
      <c r="I177" s="80"/>
      <c r="J177" s="402">
        <v>1</v>
      </c>
      <c r="K177" s="89"/>
      <c r="L177" s="89"/>
      <c r="M177" s="402">
        <v>1</v>
      </c>
      <c r="N177" s="402">
        <v>2</v>
      </c>
      <c r="O177" s="402">
        <v>3</v>
      </c>
      <c r="P177" s="402">
        <v>4</v>
      </c>
      <c r="Q177" s="89"/>
      <c r="R177" s="89"/>
      <c r="S177" s="402">
        <v>1</v>
      </c>
      <c r="T177" s="402">
        <v>2</v>
      </c>
      <c r="U177" s="402">
        <v>3</v>
      </c>
      <c r="V177" s="402">
        <v>4</v>
      </c>
      <c r="W177" s="89"/>
      <c r="X177" s="402">
        <v>1</v>
      </c>
      <c r="Y177" s="402">
        <v>2</v>
      </c>
      <c r="Z177" s="402">
        <v>3</v>
      </c>
      <c r="AA177" s="402">
        <v>4</v>
      </c>
      <c r="AB177" s="89"/>
      <c r="AC177" s="402">
        <v>1</v>
      </c>
      <c r="AD177" s="402">
        <v>2</v>
      </c>
      <c r="AE177" s="402">
        <v>3</v>
      </c>
      <c r="AF177" s="402">
        <v>4</v>
      </c>
      <c r="AG177" s="402">
        <v>1</v>
      </c>
      <c r="AH177" s="89"/>
      <c r="AI177" s="89"/>
      <c r="AJ177" s="89"/>
      <c r="AK177" s="89"/>
      <c r="AL177" s="89"/>
      <c r="AM177" s="89"/>
      <c r="AN177" s="89"/>
      <c r="AO177" s="89"/>
      <c r="AR177" s="211"/>
    </row>
    <row r="178" spans="2:44" x14ac:dyDescent="0.25">
      <c r="C178" s="76"/>
      <c r="D178" s="84"/>
      <c r="F178" t="s">
        <v>1034</v>
      </c>
      <c r="G178" t="s">
        <v>426</v>
      </c>
      <c r="J178" s="414">
        <v>1</v>
      </c>
      <c r="K178" s="85"/>
      <c r="L178" s="85"/>
      <c r="M178" s="414">
        <v>1</v>
      </c>
      <c r="N178" s="414">
        <v>1</v>
      </c>
      <c r="O178" s="414">
        <v>2</v>
      </c>
      <c r="P178" s="414">
        <v>3</v>
      </c>
      <c r="Q178" s="85"/>
      <c r="R178" s="85"/>
      <c r="S178" s="414">
        <v>1</v>
      </c>
      <c r="T178" s="414">
        <v>1</v>
      </c>
      <c r="U178" s="414">
        <v>2</v>
      </c>
      <c r="V178" s="414">
        <v>3</v>
      </c>
      <c r="W178" s="85"/>
      <c r="X178" s="414">
        <v>1</v>
      </c>
      <c r="Y178" s="414">
        <v>1</v>
      </c>
      <c r="Z178" s="414">
        <v>2</v>
      </c>
      <c r="AA178" s="414">
        <v>3</v>
      </c>
      <c r="AB178" s="85"/>
      <c r="AC178" s="414">
        <v>1</v>
      </c>
      <c r="AD178" s="414">
        <v>1</v>
      </c>
      <c r="AE178" s="414">
        <v>2</v>
      </c>
      <c r="AF178" s="414">
        <v>3</v>
      </c>
      <c r="AG178" s="414">
        <v>1</v>
      </c>
      <c r="AH178" s="85"/>
      <c r="AI178" s="85"/>
      <c r="AJ178" s="85"/>
      <c r="AK178" s="85"/>
      <c r="AL178" s="85"/>
      <c r="AM178" s="85"/>
      <c r="AN178" s="85"/>
      <c r="AO178" s="85"/>
      <c r="AR178" s="211"/>
    </row>
    <row r="179" spans="2:44" x14ac:dyDescent="0.25">
      <c r="C179" s="76"/>
      <c r="D179" s="84"/>
      <c r="F179" t="s">
        <v>1035</v>
      </c>
      <c r="G179" t="s">
        <v>426</v>
      </c>
      <c r="J179" s="414">
        <v>1</v>
      </c>
      <c r="K179" s="85"/>
      <c r="L179" s="85"/>
      <c r="M179" s="414">
        <v>1</v>
      </c>
      <c r="N179" s="414">
        <v>2</v>
      </c>
      <c r="O179" s="414">
        <v>2</v>
      </c>
      <c r="P179" s="414">
        <v>3</v>
      </c>
      <c r="Q179" s="85"/>
      <c r="R179" s="85"/>
      <c r="S179" s="414">
        <v>1</v>
      </c>
      <c r="T179" s="414">
        <v>2</v>
      </c>
      <c r="U179" s="414">
        <v>2</v>
      </c>
      <c r="V179" s="414">
        <v>3</v>
      </c>
      <c r="W179" s="85"/>
      <c r="X179" s="414">
        <v>1</v>
      </c>
      <c r="Y179" s="414">
        <v>2</v>
      </c>
      <c r="Z179" s="414">
        <v>2</v>
      </c>
      <c r="AA179" s="414">
        <v>3</v>
      </c>
      <c r="AB179" s="85"/>
      <c r="AC179" s="414">
        <v>1</v>
      </c>
      <c r="AD179" s="414">
        <v>2</v>
      </c>
      <c r="AE179" s="414">
        <v>2</v>
      </c>
      <c r="AF179" s="414">
        <v>3</v>
      </c>
      <c r="AG179" s="414">
        <v>1</v>
      </c>
      <c r="AH179" s="85"/>
      <c r="AI179" s="85"/>
      <c r="AJ179" s="85"/>
      <c r="AK179" s="85"/>
      <c r="AL179" s="85"/>
      <c r="AM179" s="85"/>
      <c r="AN179" s="85"/>
      <c r="AO179" s="85"/>
      <c r="AR179" s="211"/>
    </row>
    <row r="180" spans="2:44" x14ac:dyDescent="0.25">
      <c r="C180" s="76"/>
      <c r="D180" s="84"/>
      <c r="F180" t="s">
        <v>1036</v>
      </c>
      <c r="G180" t="s">
        <v>426</v>
      </c>
      <c r="J180" s="414">
        <v>1</v>
      </c>
      <c r="K180" s="85"/>
      <c r="L180" s="85"/>
      <c r="M180" s="414">
        <v>1</v>
      </c>
      <c r="N180" s="414">
        <v>2</v>
      </c>
      <c r="O180" s="414">
        <v>3</v>
      </c>
      <c r="P180" s="414">
        <v>3</v>
      </c>
      <c r="Q180" s="85"/>
      <c r="R180" s="85"/>
      <c r="S180" s="414">
        <v>1</v>
      </c>
      <c r="T180" s="414">
        <v>2</v>
      </c>
      <c r="U180" s="414">
        <v>3</v>
      </c>
      <c r="V180" s="414">
        <v>3</v>
      </c>
      <c r="W180" s="85"/>
      <c r="X180" s="414">
        <v>1</v>
      </c>
      <c r="Y180" s="414">
        <v>2</v>
      </c>
      <c r="Z180" s="414">
        <v>3</v>
      </c>
      <c r="AA180" s="414">
        <v>3</v>
      </c>
      <c r="AB180" s="85"/>
      <c r="AC180" s="414">
        <v>1</v>
      </c>
      <c r="AD180" s="414">
        <v>2</v>
      </c>
      <c r="AE180" s="414">
        <v>3</v>
      </c>
      <c r="AF180" s="414">
        <v>3</v>
      </c>
      <c r="AG180" s="414">
        <v>1</v>
      </c>
      <c r="AH180" s="85"/>
      <c r="AI180" s="85"/>
      <c r="AJ180" s="85"/>
      <c r="AK180" s="85"/>
      <c r="AL180" s="85"/>
      <c r="AM180" s="85"/>
      <c r="AN180" s="85"/>
      <c r="AO180" s="85"/>
      <c r="AR180" s="211"/>
    </row>
    <row r="181" spans="2:44" x14ac:dyDescent="0.25">
      <c r="C181" s="76"/>
      <c r="D181" s="84"/>
      <c r="F181" t="s">
        <v>1037</v>
      </c>
      <c r="G181" t="s">
        <v>426</v>
      </c>
      <c r="J181" s="414">
        <v>1</v>
      </c>
      <c r="K181" s="85"/>
      <c r="L181" s="85"/>
      <c r="M181" s="414">
        <v>1</v>
      </c>
      <c r="N181" s="414">
        <v>1</v>
      </c>
      <c r="O181" s="414">
        <v>2</v>
      </c>
      <c r="P181" s="414">
        <v>2</v>
      </c>
      <c r="Q181" s="85"/>
      <c r="R181" s="85"/>
      <c r="S181" s="414">
        <v>1</v>
      </c>
      <c r="T181" s="414">
        <v>1</v>
      </c>
      <c r="U181" s="414">
        <v>2</v>
      </c>
      <c r="V181" s="414">
        <v>2</v>
      </c>
      <c r="W181" s="85"/>
      <c r="X181" s="414">
        <v>1</v>
      </c>
      <c r="Y181" s="414">
        <v>1</v>
      </c>
      <c r="Z181" s="414">
        <v>2</v>
      </c>
      <c r="AA181" s="414">
        <v>2</v>
      </c>
      <c r="AB181" s="85"/>
      <c r="AC181" s="414">
        <v>1</v>
      </c>
      <c r="AD181" s="414">
        <v>1</v>
      </c>
      <c r="AE181" s="414">
        <v>2</v>
      </c>
      <c r="AF181" s="414">
        <v>2</v>
      </c>
      <c r="AG181" s="414">
        <v>1</v>
      </c>
      <c r="AH181" s="85"/>
      <c r="AI181" s="85"/>
      <c r="AJ181" s="85"/>
      <c r="AK181" s="85"/>
      <c r="AL181" s="85"/>
      <c r="AM181" s="85"/>
      <c r="AN181" s="85"/>
      <c r="AO181" s="85"/>
      <c r="AR181" s="211"/>
    </row>
    <row r="182" spans="2:44" x14ac:dyDescent="0.25">
      <c r="C182" s="76"/>
      <c r="D182" s="84"/>
      <c r="F182" t="s">
        <v>1038</v>
      </c>
      <c r="G182" t="s">
        <v>426</v>
      </c>
      <c r="J182" s="414">
        <v>1</v>
      </c>
      <c r="K182" s="85"/>
      <c r="L182" s="85"/>
      <c r="M182" s="414">
        <v>1</v>
      </c>
      <c r="N182" s="414">
        <v>1</v>
      </c>
      <c r="O182" s="414">
        <v>1</v>
      </c>
      <c r="P182" s="414">
        <v>2</v>
      </c>
      <c r="Q182" s="85"/>
      <c r="R182" s="85"/>
      <c r="S182" s="414">
        <v>1</v>
      </c>
      <c r="T182" s="414">
        <v>1</v>
      </c>
      <c r="U182" s="414">
        <v>1</v>
      </c>
      <c r="V182" s="414">
        <v>2</v>
      </c>
      <c r="W182" s="85"/>
      <c r="X182" s="414">
        <v>1</v>
      </c>
      <c r="Y182" s="414">
        <v>1</v>
      </c>
      <c r="Z182" s="414">
        <v>1</v>
      </c>
      <c r="AA182" s="414">
        <v>2</v>
      </c>
      <c r="AB182" s="85"/>
      <c r="AC182" s="414">
        <v>1</v>
      </c>
      <c r="AD182" s="414">
        <v>1</v>
      </c>
      <c r="AE182" s="414">
        <v>1</v>
      </c>
      <c r="AF182" s="414">
        <v>2</v>
      </c>
      <c r="AG182" s="414">
        <v>1</v>
      </c>
      <c r="AH182" s="85"/>
      <c r="AI182" s="85"/>
      <c r="AJ182" s="85"/>
      <c r="AK182" s="85"/>
      <c r="AL182" s="85"/>
      <c r="AM182" s="85"/>
      <c r="AN182" s="85"/>
      <c r="AO182" s="85"/>
      <c r="AR182" s="211"/>
    </row>
    <row r="183" spans="2:44" x14ac:dyDescent="0.25">
      <c r="C183" s="76"/>
      <c r="D183" s="84"/>
      <c r="F183" t="s">
        <v>1039</v>
      </c>
      <c r="G183" t="s">
        <v>426</v>
      </c>
      <c r="J183" s="414">
        <v>1</v>
      </c>
      <c r="K183" s="85"/>
      <c r="L183" s="85"/>
      <c r="M183" s="414">
        <v>1</v>
      </c>
      <c r="N183" s="414">
        <v>2</v>
      </c>
      <c r="O183" s="414">
        <v>2</v>
      </c>
      <c r="P183" s="414">
        <v>2</v>
      </c>
      <c r="Q183" s="85"/>
      <c r="R183" s="85"/>
      <c r="S183" s="414">
        <v>1</v>
      </c>
      <c r="T183" s="414">
        <v>2</v>
      </c>
      <c r="U183" s="414">
        <v>2</v>
      </c>
      <c r="V183" s="414">
        <v>2</v>
      </c>
      <c r="W183" s="85"/>
      <c r="X183" s="414">
        <v>1</v>
      </c>
      <c r="Y183" s="414">
        <v>2</v>
      </c>
      <c r="Z183" s="414">
        <v>2</v>
      </c>
      <c r="AA183" s="414">
        <v>2</v>
      </c>
      <c r="AB183" s="85"/>
      <c r="AC183" s="414">
        <v>1</v>
      </c>
      <c r="AD183" s="414">
        <v>2</v>
      </c>
      <c r="AE183" s="414">
        <v>2</v>
      </c>
      <c r="AF183" s="414">
        <v>2</v>
      </c>
      <c r="AG183" s="414">
        <v>1</v>
      </c>
      <c r="AH183" s="85"/>
      <c r="AI183" s="85"/>
      <c r="AJ183" s="85"/>
      <c r="AK183" s="85"/>
      <c r="AL183" s="85"/>
      <c r="AM183" s="85"/>
      <c r="AN183" s="85"/>
      <c r="AO183" s="85"/>
      <c r="AR183" s="211"/>
    </row>
    <row r="184" spans="2:44" x14ac:dyDescent="0.25">
      <c r="C184" s="76"/>
      <c r="D184" s="84"/>
      <c r="F184" s="17" t="s">
        <v>1040</v>
      </c>
      <c r="G184" s="17" t="s">
        <v>426</v>
      </c>
      <c r="H184" s="17"/>
      <c r="I184" s="17"/>
      <c r="J184" s="403">
        <v>1</v>
      </c>
      <c r="K184" s="86"/>
      <c r="L184" s="86"/>
      <c r="M184" s="403">
        <v>1</v>
      </c>
      <c r="N184" s="403">
        <v>1</v>
      </c>
      <c r="O184" s="403">
        <v>1</v>
      </c>
      <c r="P184" s="403">
        <v>1</v>
      </c>
      <c r="Q184" s="86"/>
      <c r="R184" s="86"/>
      <c r="S184" s="403">
        <v>1</v>
      </c>
      <c r="T184" s="403">
        <v>1</v>
      </c>
      <c r="U184" s="403">
        <v>1</v>
      </c>
      <c r="V184" s="403">
        <v>1</v>
      </c>
      <c r="W184" s="86"/>
      <c r="X184" s="403">
        <v>1</v>
      </c>
      <c r="Y184" s="403">
        <v>1</v>
      </c>
      <c r="Z184" s="403">
        <v>1</v>
      </c>
      <c r="AA184" s="403">
        <v>1</v>
      </c>
      <c r="AB184" s="86"/>
      <c r="AC184" s="403">
        <v>1</v>
      </c>
      <c r="AD184" s="403">
        <v>1</v>
      </c>
      <c r="AE184" s="403">
        <v>1</v>
      </c>
      <c r="AF184" s="403">
        <v>1</v>
      </c>
      <c r="AG184" s="403">
        <v>1</v>
      </c>
      <c r="AH184" s="86"/>
      <c r="AI184" s="86"/>
      <c r="AJ184" s="86"/>
      <c r="AK184" s="86"/>
      <c r="AL184" s="86"/>
      <c r="AM184" s="86"/>
      <c r="AN184" s="86"/>
      <c r="AO184" s="86"/>
      <c r="AR184" s="211"/>
    </row>
    <row r="185" spans="2:44" x14ac:dyDescent="0.25">
      <c r="C185" s="76"/>
      <c r="D185" s="84"/>
      <c r="E185" s="52"/>
      <c r="AR185" s="211"/>
    </row>
    <row r="186" spans="2:44" x14ac:dyDescent="0.25">
      <c r="B186" s="82" t="s">
        <v>109</v>
      </c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  <c r="AC186" s="82"/>
      <c r="AD186" s="82"/>
      <c r="AE186" s="82"/>
      <c r="AF186" s="82"/>
      <c r="AG186" s="82"/>
      <c r="AH186" s="82"/>
      <c r="AI186" s="82"/>
      <c r="AJ186" s="82"/>
      <c r="AK186" s="82"/>
      <c r="AL186" s="82"/>
      <c r="AM186" s="82"/>
      <c r="AN186" s="82"/>
      <c r="AO186" s="82"/>
      <c r="AP186" s="82"/>
      <c r="AQ186" s="82"/>
    </row>
    <row r="187" spans="2:44" x14ac:dyDescent="0.25">
      <c r="F187" s="19"/>
      <c r="G187" s="19"/>
      <c r="H187" s="19"/>
      <c r="I187" s="19"/>
    </row>
    <row r="188" spans="2:44" x14ac:dyDescent="0.25">
      <c r="E188" t="s">
        <v>415</v>
      </c>
      <c r="G188" s="46" t="s">
        <v>588</v>
      </c>
      <c r="H188" s="320">
        <f t="array" ref="H188">SUM(IF(ISERROR(H15:Y146), 1))</f>
        <v>0</v>
      </c>
      <c r="I188" s="19"/>
    </row>
    <row r="189" spans="2:44" x14ac:dyDescent="0.25">
      <c r="I189" s="19"/>
    </row>
    <row r="190" spans="2:44" x14ac:dyDescent="0.25">
      <c r="E190" s="52" t="s">
        <v>546</v>
      </c>
      <c r="I190" s="19"/>
    </row>
    <row r="191" spans="2:44" x14ac:dyDescent="0.25">
      <c r="F191" s="80" t="s">
        <v>547</v>
      </c>
      <c r="G191" s="53" t="s">
        <v>588</v>
      </c>
      <c r="H191" s="149">
        <f>SUM(J191:Y191)</f>
        <v>0</v>
      </c>
      <c r="I191" s="81"/>
      <c r="J191" s="149">
        <f t="shared" ref="J191:Y191" si="0">IF( OR( AND(J105 = TRUE, NOT(ISBLANK(J106))), AND(J105 = FALSE, J106 = 0)), 0, 1)</f>
        <v>0</v>
      </c>
      <c r="K191" s="149">
        <f t="shared" si="0"/>
        <v>0</v>
      </c>
      <c r="L191" s="149">
        <f t="shared" si="0"/>
        <v>0</v>
      </c>
      <c r="M191" s="149">
        <f t="shared" si="0"/>
        <v>0</v>
      </c>
      <c r="N191" s="149">
        <f t="shared" si="0"/>
        <v>0</v>
      </c>
      <c r="O191" s="149">
        <f t="shared" si="0"/>
        <v>0</v>
      </c>
      <c r="P191" s="149">
        <f t="shared" si="0"/>
        <v>0</v>
      </c>
      <c r="Q191" s="149">
        <f t="shared" si="0"/>
        <v>0</v>
      </c>
      <c r="R191" s="149">
        <f t="shared" si="0"/>
        <v>0</v>
      </c>
      <c r="S191" s="149">
        <f t="shared" si="0"/>
        <v>0</v>
      </c>
      <c r="T191" s="149">
        <f t="shared" si="0"/>
        <v>0</v>
      </c>
      <c r="U191" s="149">
        <f t="shared" si="0"/>
        <v>0</v>
      </c>
      <c r="V191" s="149">
        <f t="shared" si="0"/>
        <v>0</v>
      </c>
      <c r="W191" s="149">
        <f t="shared" si="0"/>
        <v>0</v>
      </c>
      <c r="X191" s="149">
        <f t="shared" si="0"/>
        <v>0</v>
      </c>
      <c r="Y191" s="149">
        <f t="shared" si="0"/>
        <v>0</v>
      </c>
    </row>
    <row r="192" spans="2:44" x14ac:dyDescent="0.25">
      <c r="F192" t="s">
        <v>548</v>
      </c>
      <c r="G192" s="46" t="s">
        <v>588</v>
      </c>
      <c r="H192" s="320">
        <f>SUM(J192:Y192)</f>
        <v>0</v>
      </c>
      <c r="I192" s="19"/>
      <c r="J192" s="320">
        <f t="shared" ref="J192:Y192" si="1">IF( OR( AND(J109 = TRUE, NOT(ISBLANK(J110))), AND(J109 = FALSE, J110 = 0)), 0, 1)</f>
        <v>0</v>
      </c>
      <c r="K192" s="320">
        <f t="shared" si="1"/>
        <v>0</v>
      </c>
      <c r="L192" s="320">
        <f t="shared" si="1"/>
        <v>0</v>
      </c>
      <c r="M192" s="320">
        <f t="shared" si="1"/>
        <v>0</v>
      </c>
      <c r="N192" s="320">
        <f t="shared" si="1"/>
        <v>0</v>
      </c>
      <c r="O192" s="320">
        <f t="shared" si="1"/>
        <v>0</v>
      </c>
      <c r="P192" s="320">
        <f t="shared" si="1"/>
        <v>0</v>
      </c>
      <c r="Q192" s="320">
        <f t="shared" si="1"/>
        <v>0</v>
      </c>
      <c r="R192" s="320">
        <f t="shared" si="1"/>
        <v>0</v>
      </c>
      <c r="S192" s="320">
        <f t="shared" si="1"/>
        <v>0</v>
      </c>
      <c r="T192" s="320">
        <f t="shared" si="1"/>
        <v>0</v>
      </c>
      <c r="U192" s="320">
        <f t="shared" si="1"/>
        <v>0</v>
      </c>
      <c r="V192" s="320">
        <f t="shared" si="1"/>
        <v>0</v>
      </c>
      <c r="W192" s="320">
        <f t="shared" si="1"/>
        <v>0</v>
      </c>
      <c r="X192" s="320">
        <f t="shared" si="1"/>
        <v>0</v>
      </c>
      <c r="Y192" s="320">
        <f t="shared" si="1"/>
        <v>0</v>
      </c>
    </row>
    <row r="193" spans="2:43" x14ac:dyDescent="0.25">
      <c r="F193" t="s">
        <v>549</v>
      </c>
      <c r="G193" s="46" t="s">
        <v>588</v>
      </c>
      <c r="H193" s="320">
        <f>SUM(J193:Y193)</f>
        <v>0</v>
      </c>
      <c r="I193" s="19"/>
      <c r="J193" s="320">
        <f t="shared" ref="J193:Y193" si="2">IF( OR( AND(J113 = TRUE, NOT(ISBLANK(J114))), AND(J113 = FALSE, J114 = 0)), 0, 1)</f>
        <v>0</v>
      </c>
      <c r="K193" s="320">
        <f t="shared" si="2"/>
        <v>0</v>
      </c>
      <c r="L193" s="320">
        <f t="shared" si="2"/>
        <v>0</v>
      </c>
      <c r="M193" s="320">
        <f t="shared" si="2"/>
        <v>0</v>
      </c>
      <c r="N193" s="320">
        <f t="shared" si="2"/>
        <v>0</v>
      </c>
      <c r="O193" s="320">
        <f t="shared" si="2"/>
        <v>0</v>
      </c>
      <c r="P193" s="320">
        <f t="shared" si="2"/>
        <v>0</v>
      </c>
      <c r="Q193" s="320">
        <f t="shared" si="2"/>
        <v>0</v>
      </c>
      <c r="R193" s="320">
        <f t="shared" si="2"/>
        <v>0</v>
      </c>
      <c r="S193" s="320">
        <f t="shared" si="2"/>
        <v>0</v>
      </c>
      <c r="T193" s="320">
        <f t="shared" si="2"/>
        <v>0</v>
      </c>
      <c r="U193" s="320">
        <f t="shared" si="2"/>
        <v>0</v>
      </c>
      <c r="V193" s="320">
        <f t="shared" si="2"/>
        <v>0</v>
      </c>
      <c r="W193" s="320">
        <f t="shared" si="2"/>
        <v>0</v>
      </c>
      <c r="X193" s="320">
        <f t="shared" si="2"/>
        <v>0</v>
      </c>
      <c r="Y193" s="320">
        <f t="shared" si="2"/>
        <v>0</v>
      </c>
    </row>
    <row r="194" spans="2:43" x14ac:dyDescent="0.25">
      <c r="F194" t="s">
        <v>550</v>
      </c>
      <c r="G194" s="46" t="s">
        <v>588</v>
      </c>
      <c r="H194" s="320">
        <f>SUM(J194:Y194)</f>
        <v>0</v>
      </c>
      <c r="I194" s="19"/>
      <c r="J194" s="320">
        <f t="shared" ref="J194:Y194" si="3">IF( OR( AND(J117 = TRUE, NOT(ISBLANK(J118))), AND(J117 = FALSE, J118 = 0)), 0, 1)</f>
        <v>0</v>
      </c>
      <c r="K194" s="320">
        <f t="shared" si="3"/>
        <v>0</v>
      </c>
      <c r="L194" s="320">
        <f t="shared" si="3"/>
        <v>0</v>
      </c>
      <c r="M194" s="320">
        <f t="shared" si="3"/>
        <v>0</v>
      </c>
      <c r="N194" s="320">
        <f t="shared" si="3"/>
        <v>0</v>
      </c>
      <c r="O194" s="320">
        <f t="shared" si="3"/>
        <v>0</v>
      </c>
      <c r="P194" s="320">
        <f t="shared" si="3"/>
        <v>0</v>
      </c>
      <c r="Q194" s="320">
        <f t="shared" si="3"/>
        <v>0</v>
      </c>
      <c r="R194" s="320">
        <f t="shared" si="3"/>
        <v>0</v>
      </c>
      <c r="S194" s="320">
        <f t="shared" si="3"/>
        <v>0</v>
      </c>
      <c r="T194" s="320">
        <f t="shared" si="3"/>
        <v>0</v>
      </c>
      <c r="U194" s="320">
        <f t="shared" si="3"/>
        <v>0</v>
      </c>
      <c r="V194" s="320">
        <f t="shared" si="3"/>
        <v>0</v>
      </c>
      <c r="W194" s="320">
        <f t="shared" si="3"/>
        <v>0</v>
      </c>
      <c r="X194" s="320">
        <f t="shared" si="3"/>
        <v>0</v>
      </c>
      <c r="Y194" s="320">
        <f t="shared" si="3"/>
        <v>0</v>
      </c>
    </row>
    <row r="195" spans="2:43" x14ac:dyDescent="0.25">
      <c r="F195" s="17" t="s">
        <v>551</v>
      </c>
      <c r="G195" s="54" t="s">
        <v>588</v>
      </c>
      <c r="H195" s="151">
        <f>SUM(J195:Y195)</f>
        <v>0</v>
      </c>
      <c r="I195" s="83"/>
      <c r="J195" s="151">
        <f t="shared" ref="J195:Y195" si="4">IF( OR( AND(J121 = TRUE, NOT(ISBLANK(J122))), AND(J121 = FALSE, J122 = 0)), 0, 1)</f>
        <v>0</v>
      </c>
      <c r="K195" s="151">
        <f t="shared" si="4"/>
        <v>0</v>
      </c>
      <c r="L195" s="151">
        <f t="shared" si="4"/>
        <v>0</v>
      </c>
      <c r="M195" s="151">
        <f t="shared" si="4"/>
        <v>0</v>
      </c>
      <c r="N195" s="151">
        <f t="shared" si="4"/>
        <v>0</v>
      </c>
      <c r="O195" s="151">
        <f t="shared" si="4"/>
        <v>0</v>
      </c>
      <c r="P195" s="151">
        <f t="shared" si="4"/>
        <v>0</v>
      </c>
      <c r="Q195" s="151">
        <f t="shared" si="4"/>
        <v>0</v>
      </c>
      <c r="R195" s="151">
        <f t="shared" si="4"/>
        <v>0</v>
      </c>
      <c r="S195" s="151">
        <f t="shared" si="4"/>
        <v>0</v>
      </c>
      <c r="T195" s="151">
        <f t="shared" si="4"/>
        <v>0</v>
      </c>
      <c r="U195" s="151">
        <f t="shared" si="4"/>
        <v>0</v>
      </c>
      <c r="V195" s="151">
        <f t="shared" si="4"/>
        <v>0</v>
      </c>
      <c r="W195" s="151">
        <f t="shared" si="4"/>
        <v>0</v>
      </c>
      <c r="X195" s="151">
        <f t="shared" si="4"/>
        <v>0</v>
      </c>
      <c r="Y195" s="151">
        <f t="shared" si="4"/>
        <v>0</v>
      </c>
    </row>
    <row r="196" spans="2:43" x14ac:dyDescent="0.25">
      <c r="F196" s="19"/>
      <c r="G196" s="19"/>
      <c r="H196" s="19"/>
      <c r="I196" s="19"/>
    </row>
    <row r="197" spans="2:43" x14ac:dyDescent="0.25">
      <c r="E197" t="s">
        <v>374</v>
      </c>
      <c r="G197" s="46" t="s">
        <v>588</v>
      </c>
      <c r="H197" s="263">
        <f>H188 + SUM(H191:H195)</f>
        <v>0</v>
      </c>
      <c r="I197" s="19"/>
    </row>
    <row r="198" spans="2:43" x14ac:dyDescent="0.25">
      <c r="I198" s="19"/>
    </row>
    <row r="199" spans="2:43" x14ac:dyDescent="0.25">
      <c r="B199" s="82" t="s">
        <v>110</v>
      </c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  <c r="AC199" s="82"/>
      <c r="AD199" s="82"/>
      <c r="AE199" s="82"/>
      <c r="AF199" s="82"/>
      <c r="AG199" s="82"/>
      <c r="AH199" s="82"/>
      <c r="AI199" s="82"/>
      <c r="AJ199" s="82"/>
      <c r="AK199" s="82"/>
      <c r="AL199" s="82"/>
      <c r="AM199" s="82"/>
      <c r="AN199" s="82"/>
      <c r="AO199" s="82"/>
      <c r="AP199" s="82"/>
      <c r="AQ199" s="82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28" activePane="bottomRight" state="frozen"/>
      <selection pane="topRight"/>
      <selection pane="bottomLeft"/>
      <selection pane="bottomRight" activeCell="L56" sqref="L56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313" width="20.5703125" hidden="1" customWidth="1"/>
    <col min="314" max="16384" width="9.42578125" hidden="1"/>
  </cols>
  <sheetData>
    <row r="1" spans="1:43" s="8" customFormat="1" x14ac:dyDescent="0.25">
      <c r="A1" s="8" t="str">
        <f ca="1">MID(CELL("filename",A1),FIND("]",CELL("filename",A1))+1,255)</f>
        <v>Inputs by customer type</v>
      </c>
    </row>
    <row r="2" spans="1:43" s="8" customFormat="1" x14ac:dyDescent="0.25">
      <c r="A2" s="8" t="str">
        <f>Cover!D21&amp;" - "&amp;Cover!D23</f>
        <v>SP Distribution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H216 &amp; IF(H216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7" t="s">
        <v>91</v>
      </c>
      <c r="H5" s="9" t="s">
        <v>92</v>
      </c>
      <c r="I5" s="59"/>
      <c r="J5" s="9" t="s">
        <v>925</v>
      </c>
      <c r="K5" s="9" t="s">
        <v>926</v>
      </c>
      <c r="L5" s="9" t="s">
        <v>927</v>
      </c>
      <c r="M5" s="9" t="s">
        <v>928</v>
      </c>
      <c r="N5" s="9" t="s">
        <v>929</v>
      </c>
      <c r="O5" s="9" t="s">
        <v>930</v>
      </c>
      <c r="P5" s="9" t="s">
        <v>931</v>
      </c>
      <c r="Q5" s="9" t="s">
        <v>932</v>
      </c>
      <c r="R5" s="9" t="s">
        <v>933</v>
      </c>
      <c r="S5" s="9" t="s">
        <v>934</v>
      </c>
      <c r="T5" s="9" t="s">
        <v>935</v>
      </c>
      <c r="U5" s="9" t="s">
        <v>936</v>
      </c>
      <c r="V5" s="9" t="s">
        <v>937</v>
      </c>
      <c r="W5" s="9" t="s">
        <v>938</v>
      </c>
      <c r="X5" s="9" t="s">
        <v>939</v>
      </c>
      <c r="Y5" s="9" t="s">
        <v>940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784</v>
      </c>
    </row>
    <row r="11" spans="1:43" x14ac:dyDescent="0.25">
      <c r="E11" t="s">
        <v>481</v>
      </c>
      <c r="G11" t="s">
        <v>482</v>
      </c>
      <c r="H11" s="344" t="str">
        <f>charging_year_selected</f>
        <v>2024/25</v>
      </c>
    </row>
    <row r="12" spans="1:43" x14ac:dyDescent="0.25">
      <c r="E12" t="s">
        <v>466</v>
      </c>
      <c r="G12" t="s">
        <v>312</v>
      </c>
      <c r="H12" s="391" t="str">
        <f>'ARP_User control'!$H$36</f>
        <v>Current</v>
      </c>
    </row>
    <row r="14" spans="1:43" x14ac:dyDescent="0.25">
      <c r="B14" s="82" t="s">
        <v>445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</row>
    <row r="15" spans="1:43" x14ac:dyDescent="0.25">
      <c r="D15" s="12"/>
    </row>
    <row r="16" spans="1:43" x14ac:dyDescent="0.25">
      <c r="C16" s="5" t="str">
        <f ca="1">INDEX('Version control'!$H$36:$H$62,MATCH($A$1,'Version control'!$F$36:$F$62,0),1)&amp;"-A: Load characteristics"</f>
        <v>Section 501-A: Load characteristics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8" spans="3:43" x14ac:dyDescent="0.25">
      <c r="E18" s="12" t="s">
        <v>71</v>
      </c>
      <c r="G18" s="91" t="s">
        <v>94</v>
      </c>
      <c r="I18" t="s">
        <v>359</v>
      </c>
      <c r="J18" s="410">
        <f t="array" ref="J18:Y18">TRANSPOSE('ARP_Inputs by customer type'!J19:J34)</f>
        <v>0.44600000000000001</v>
      </c>
      <c r="K18" s="410">
        <v>7.9333333333333325E-2</v>
      </c>
      <c r="L18" s="410">
        <v>0.41899999999999998</v>
      </c>
      <c r="M18" s="410">
        <v>0.28733333333333338</v>
      </c>
      <c r="N18" s="410">
        <v>0.55300000000000005</v>
      </c>
      <c r="O18" s="410">
        <v>0.67799999999999994</v>
      </c>
      <c r="P18" s="410">
        <v>0.7320000000000001</v>
      </c>
      <c r="Q18" s="410">
        <v>0.48033333333333333</v>
      </c>
      <c r="R18" s="317">
        <v>0</v>
      </c>
      <c r="S18" s="317">
        <v>0</v>
      </c>
      <c r="T18" s="317">
        <v>0</v>
      </c>
      <c r="U18" s="317">
        <v>0</v>
      </c>
      <c r="V18" s="317">
        <v>0</v>
      </c>
      <c r="W18" s="317">
        <v>0</v>
      </c>
      <c r="X18" s="317">
        <v>0</v>
      </c>
      <c r="Y18" s="317">
        <v>0</v>
      </c>
      <c r="AQ18" t="s">
        <v>747</v>
      </c>
    </row>
    <row r="19" spans="3:43" x14ac:dyDescent="0.25">
      <c r="E19" s="12" t="s">
        <v>70</v>
      </c>
      <c r="G19" s="91" t="s">
        <v>94</v>
      </c>
      <c r="I19" t="s">
        <v>359</v>
      </c>
      <c r="J19" s="410">
        <f t="array" ref="J19:Y19">TRANSPOSE('ARP_Inputs by customer type'!J39:J54)</f>
        <v>0.82433333333333325</v>
      </c>
      <c r="K19" s="317">
        <v>0</v>
      </c>
      <c r="L19" s="410">
        <v>0.70199999999999996</v>
      </c>
      <c r="M19" s="317">
        <v>0</v>
      </c>
      <c r="N19" s="410">
        <v>0.79900000000000004</v>
      </c>
      <c r="O19" s="410">
        <v>0.82866666666666655</v>
      </c>
      <c r="P19" s="410">
        <v>0.86599999999999999</v>
      </c>
      <c r="Q19" s="410">
        <v>0.91866666666666663</v>
      </c>
      <c r="R19" s="317">
        <v>0</v>
      </c>
      <c r="S19" s="317">
        <v>0</v>
      </c>
      <c r="T19" s="317">
        <v>0</v>
      </c>
      <c r="U19" s="317">
        <v>0</v>
      </c>
      <c r="V19" s="317">
        <v>0</v>
      </c>
      <c r="W19" s="317">
        <v>0</v>
      </c>
      <c r="X19" s="317">
        <v>0</v>
      </c>
      <c r="Y19" s="317">
        <v>0</v>
      </c>
      <c r="AQ19" t="s">
        <v>748</v>
      </c>
    </row>
    <row r="20" spans="3:43" x14ac:dyDescent="0.25">
      <c r="G20" s="91"/>
    </row>
    <row r="21" spans="3:43" x14ac:dyDescent="0.25">
      <c r="C21" s="5" t="str">
        <f ca="1">INDEX('Version control'!$H$36:$H$62,MATCH($A$1,'Version control'!$F$36:$F$62,0),1)&amp;"-B: Volume forecasts for the charging year"</f>
        <v>Section 501-B: Volume forecasts for the charging year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3:43" x14ac:dyDescent="0.25">
      <c r="G22" s="91"/>
    </row>
    <row r="23" spans="3:43" x14ac:dyDescent="0.25">
      <c r="D23" s="73" t="s">
        <v>1041</v>
      </c>
      <c r="G23" s="91"/>
      <c r="I23" t="s">
        <v>359</v>
      </c>
      <c r="AQ23" t="s">
        <v>691</v>
      </c>
    </row>
    <row r="24" spans="3:43" x14ac:dyDescent="0.25">
      <c r="G24" s="91"/>
    </row>
    <row r="25" spans="3:43" x14ac:dyDescent="0.25">
      <c r="E25" s="52" t="s">
        <v>1042</v>
      </c>
      <c r="G25" s="91"/>
    </row>
    <row r="26" spans="3:43" x14ac:dyDescent="0.25">
      <c r="E26" s="52"/>
      <c r="F26" s="38" t="s">
        <v>199</v>
      </c>
      <c r="G26" s="38" t="s">
        <v>120</v>
      </c>
      <c r="H26" s="80"/>
      <c r="I26" s="80"/>
      <c r="J26" s="201">
        <f t="array" ref="J26:Y26">TRANSPOSE('ARP_Inputs by customer type'!J61:J76)</f>
        <v>0</v>
      </c>
      <c r="K26" s="228">
        <v>652.15353635409315</v>
      </c>
      <c r="L26" s="228">
        <v>17.458206837827863</v>
      </c>
      <c r="M26" s="228">
        <v>596.52194686342921</v>
      </c>
      <c r="N26" s="228">
        <v>12.367051703011343</v>
      </c>
      <c r="O26" s="228">
        <v>0.10809059005544162</v>
      </c>
      <c r="P26" s="228">
        <v>303.00288221653483</v>
      </c>
      <c r="Q26" s="201">
        <v>0</v>
      </c>
      <c r="R26" s="228">
        <v>931.43637713580506</v>
      </c>
      <c r="S26" s="228">
        <v>11.571999999999999</v>
      </c>
      <c r="T26" s="228">
        <v>5840.0349999999999</v>
      </c>
      <c r="U26" s="228">
        <v>0</v>
      </c>
      <c r="V26" s="228">
        <v>62.863</v>
      </c>
      <c r="W26" s="228">
        <v>0</v>
      </c>
      <c r="X26" s="228">
        <v>118436.88399999999</v>
      </c>
      <c r="Y26" s="228">
        <v>0</v>
      </c>
    </row>
    <row r="27" spans="3:43" x14ac:dyDescent="0.25">
      <c r="E27" s="52"/>
      <c r="F27" s="92" t="s">
        <v>200</v>
      </c>
      <c r="G27" s="92" t="s">
        <v>120</v>
      </c>
      <c r="J27" s="234">
        <f t="array" ref="J27:Y27">TRANSPOSE('ARP_Inputs by customer type'!J79:J94)</f>
        <v>0</v>
      </c>
      <c r="K27" s="229">
        <v>17758.957834530302</v>
      </c>
      <c r="L27" s="229">
        <v>89.773682852368651</v>
      </c>
      <c r="M27" s="229">
        <v>8872.4799352594691</v>
      </c>
      <c r="N27" s="229">
        <v>59.332965344726659</v>
      </c>
      <c r="O27" s="229">
        <v>0.50378073179162042</v>
      </c>
      <c r="P27" s="229">
        <v>1405.3229265301227</v>
      </c>
      <c r="Q27" s="234">
        <v>0</v>
      </c>
      <c r="R27" s="229">
        <v>5999.8136998466971</v>
      </c>
      <c r="S27" s="229">
        <v>49.278999999999996</v>
      </c>
      <c r="T27" s="229">
        <v>26458.666000000001</v>
      </c>
      <c r="U27" s="229">
        <v>0</v>
      </c>
      <c r="V27" s="229">
        <v>312.48</v>
      </c>
      <c r="W27" s="229">
        <v>0</v>
      </c>
      <c r="X27" s="229">
        <v>429284.261</v>
      </c>
      <c r="Y27" s="229">
        <v>0</v>
      </c>
    </row>
    <row r="28" spans="3:43" x14ac:dyDescent="0.25">
      <c r="E28" s="52"/>
      <c r="F28" s="92" t="s">
        <v>201</v>
      </c>
      <c r="G28" s="92" t="s">
        <v>120</v>
      </c>
      <c r="J28" s="234">
        <f t="array" ref="J28:Y28">TRANSPOSE('ARP_Inputs by customer type'!J97:J112)</f>
        <v>0</v>
      </c>
      <c r="K28" s="229">
        <v>171594.78624832345</v>
      </c>
      <c r="L28" s="229">
        <v>72.20746328181572</v>
      </c>
      <c r="M28" s="229">
        <v>35850.647959933427</v>
      </c>
      <c r="N28" s="229">
        <v>52.629377636737694</v>
      </c>
      <c r="O28" s="229">
        <v>0.51812867815293817</v>
      </c>
      <c r="P28" s="229">
        <v>1546.3846427787762</v>
      </c>
      <c r="Q28" s="234">
        <v>0</v>
      </c>
      <c r="R28" s="229">
        <v>2681.8786975178805</v>
      </c>
      <c r="S28" s="229">
        <v>45.105000000000004</v>
      </c>
      <c r="T28" s="229">
        <v>29713.727000000003</v>
      </c>
      <c r="U28" s="229">
        <v>0</v>
      </c>
      <c r="V28" s="229">
        <v>275.35399999999998</v>
      </c>
      <c r="W28" s="229">
        <v>0</v>
      </c>
      <c r="X28" s="229">
        <v>489264.26399999997</v>
      </c>
      <c r="Y28" s="229">
        <v>0</v>
      </c>
    </row>
    <row r="29" spans="3:43" x14ac:dyDescent="0.25">
      <c r="E29" s="52"/>
      <c r="F29" s="92" t="s">
        <v>74</v>
      </c>
      <c r="G29" s="92" t="s">
        <v>74</v>
      </c>
      <c r="J29" s="234">
        <f t="array" ref="J29:Y29">TRANSPOSE('ARP_Inputs by customer type'!J115:J130)</f>
        <v>0</v>
      </c>
      <c r="K29" s="229">
        <v>92980</v>
      </c>
      <c r="L29" s="229">
        <v>60</v>
      </c>
      <c r="M29" s="229">
        <v>5473</v>
      </c>
      <c r="N29" s="229">
        <v>21</v>
      </c>
      <c r="O29" s="229">
        <v>1</v>
      </c>
      <c r="P29" s="229">
        <v>133</v>
      </c>
      <c r="Q29" s="234">
        <v>0</v>
      </c>
      <c r="R29" s="229">
        <v>1153</v>
      </c>
      <c r="S29" s="229">
        <v>4</v>
      </c>
      <c r="T29" s="229">
        <v>496</v>
      </c>
      <c r="U29" s="229">
        <v>0</v>
      </c>
      <c r="V29" s="229">
        <v>9</v>
      </c>
      <c r="W29" s="229">
        <v>0</v>
      </c>
      <c r="X29" s="229">
        <v>261</v>
      </c>
      <c r="Y29" s="229">
        <v>0</v>
      </c>
    </row>
    <row r="30" spans="3:43" x14ac:dyDescent="0.25">
      <c r="E30" s="52"/>
      <c r="F30" s="92" t="s">
        <v>202</v>
      </c>
      <c r="G30" s="92" t="s">
        <v>169</v>
      </c>
      <c r="J30" s="234">
        <f t="array" ref="J30:Y30">TRANSPOSE('ARP_Inputs by customer type'!J133:J148)</f>
        <v>0</v>
      </c>
      <c r="K30" s="234">
        <v>0</v>
      </c>
      <c r="L30" s="234">
        <v>0</v>
      </c>
      <c r="M30" s="234">
        <v>0</v>
      </c>
      <c r="N30" s="229">
        <v>952</v>
      </c>
      <c r="O30" s="229">
        <v>8</v>
      </c>
      <c r="P30" s="229">
        <v>7676</v>
      </c>
      <c r="Q30" s="234">
        <v>0</v>
      </c>
      <c r="R30" s="234">
        <v>0</v>
      </c>
      <c r="S30" s="234">
        <v>0</v>
      </c>
      <c r="T30" s="234">
        <v>0</v>
      </c>
      <c r="U30" s="234">
        <v>0</v>
      </c>
      <c r="V30" s="234">
        <v>0</v>
      </c>
      <c r="W30" s="234">
        <v>0</v>
      </c>
      <c r="X30" s="234">
        <v>0</v>
      </c>
      <c r="Y30" s="234">
        <v>0</v>
      </c>
    </row>
    <row r="31" spans="3:43" x14ac:dyDescent="0.25">
      <c r="E31" s="52"/>
      <c r="F31" s="92" t="s">
        <v>203</v>
      </c>
      <c r="G31" s="92" t="s">
        <v>169</v>
      </c>
      <c r="J31" s="234">
        <f t="array" ref="J31:Y31">TRANSPOSE('ARP_Inputs by customer type'!J151:J166)</f>
        <v>0</v>
      </c>
      <c r="K31" s="234">
        <v>0</v>
      </c>
      <c r="L31" s="234">
        <v>0</v>
      </c>
      <c r="M31" s="234">
        <v>0</v>
      </c>
      <c r="N31" s="229">
        <v>42</v>
      </c>
      <c r="O31" s="229">
        <v>5</v>
      </c>
      <c r="P31" s="229">
        <v>744</v>
      </c>
      <c r="Q31" s="234">
        <v>0</v>
      </c>
      <c r="R31" s="234">
        <v>0</v>
      </c>
      <c r="S31" s="234">
        <v>0</v>
      </c>
      <c r="T31" s="234">
        <v>0</v>
      </c>
      <c r="U31" s="234">
        <v>0</v>
      </c>
      <c r="V31" s="234">
        <v>0</v>
      </c>
      <c r="W31" s="234">
        <v>0</v>
      </c>
      <c r="X31" s="234">
        <v>0</v>
      </c>
      <c r="Y31" s="234">
        <v>0</v>
      </c>
    </row>
    <row r="32" spans="3:43" x14ac:dyDescent="0.25">
      <c r="E32" s="52"/>
      <c r="F32" s="34" t="s">
        <v>204</v>
      </c>
      <c r="G32" s="34" t="s">
        <v>170</v>
      </c>
      <c r="H32" s="17"/>
      <c r="I32" s="17"/>
      <c r="J32" s="203">
        <f t="array" ref="J32:Y32">TRANSPOSE('ARP_Inputs by customer type'!J169:J184)</f>
        <v>0</v>
      </c>
      <c r="K32" s="203">
        <v>0</v>
      </c>
      <c r="L32" s="203">
        <v>0</v>
      </c>
      <c r="M32" s="203">
        <v>0</v>
      </c>
      <c r="N32" s="230">
        <v>64.055000000000007</v>
      </c>
      <c r="O32" s="230">
        <v>2.2480000000000002</v>
      </c>
      <c r="P32" s="230">
        <v>1213.202</v>
      </c>
      <c r="Q32" s="203">
        <v>0</v>
      </c>
      <c r="R32" s="203">
        <v>0</v>
      </c>
      <c r="S32" s="203">
        <v>0</v>
      </c>
      <c r="T32" s="230">
        <v>5379.1220000000003</v>
      </c>
      <c r="U32" s="203">
        <v>0</v>
      </c>
      <c r="V32" s="230">
        <v>157.29499999999999</v>
      </c>
      <c r="W32" s="203">
        <v>0</v>
      </c>
      <c r="X32" s="230">
        <v>20692.973000000002</v>
      </c>
      <c r="Y32" s="203">
        <v>0</v>
      </c>
    </row>
    <row r="33" spans="5:42" x14ac:dyDescent="0.25">
      <c r="E33" s="323"/>
      <c r="F33" s="324"/>
      <c r="G33" s="324"/>
      <c r="H33" s="322"/>
      <c r="I33" s="322"/>
      <c r="J33" s="325"/>
      <c r="K33" s="325"/>
      <c r="L33" s="325"/>
      <c r="M33" s="325"/>
      <c r="N33" s="326"/>
      <c r="O33" s="326"/>
      <c r="P33" s="326"/>
      <c r="Q33" s="325"/>
      <c r="R33" s="325"/>
      <c r="S33" s="325"/>
      <c r="T33" s="326"/>
      <c r="U33" s="325"/>
      <c r="V33" s="326"/>
      <c r="W33" s="325"/>
      <c r="X33" s="326"/>
      <c r="Y33" s="325"/>
      <c r="Z33" s="322"/>
      <c r="AA33" s="322"/>
      <c r="AB33" s="322"/>
      <c r="AC33" s="322"/>
      <c r="AD33" s="322"/>
      <c r="AE33" s="322"/>
      <c r="AF33" s="322"/>
      <c r="AG33" s="322"/>
      <c r="AH33" s="322"/>
      <c r="AI33" s="322"/>
      <c r="AJ33" s="322"/>
      <c r="AK33" s="322"/>
      <c r="AL33" s="322"/>
      <c r="AM33" s="322"/>
      <c r="AN33" s="322"/>
      <c r="AO33" s="322"/>
      <c r="AP33" s="322"/>
    </row>
    <row r="34" spans="5:42" x14ac:dyDescent="0.25">
      <c r="E34" s="52" t="s">
        <v>1043</v>
      </c>
      <c r="G34" s="91"/>
    </row>
    <row r="35" spans="5:42" x14ac:dyDescent="0.25">
      <c r="E35" s="52"/>
      <c r="F35" s="38" t="s">
        <v>199</v>
      </c>
      <c r="G35" s="38" t="s">
        <v>120</v>
      </c>
      <c r="H35" s="80"/>
      <c r="I35" s="80"/>
      <c r="J35" s="228">
        <f t="array" ref="J35:Y35">TRANSPOSE('ARP_Inputs by customer type'!J189:J204)</f>
        <v>690665.52756605227</v>
      </c>
      <c r="K35" s="201">
        <v>0</v>
      </c>
      <c r="L35" s="228">
        <v>16636.262053683062</v>
      </c>
      <c r="M35" s="201">
        <v>0</v>
      </c>
      <c r="N35" s="228">
        <v>45771.541992618622</v>
      </c>
      <c r="O35" s="228">
        <v>138.40406993184831</v>
      </c>
      <c r="P35" s="228">
        <v>16825.160368042096</v>
      </c>
      <c r="Q35" s="228">
        <v>11180.532790656171</v>
      </c>
      <c r="R35" s="201">
        <v>0</v>
      </c>
      <c r="S35" s="201">
        <v>0</v>
      </c>
      <c r="T35" s="201">
        <v>0</v>
      </c>
      <c r="U35" s="201">
        <v>0</v>
      </c>
      <c r="V35" s="201">
        <v>0</v>
      </c>
      <c r="W35" s="201">
        <v>0</v>
      </c>
      <c r="X35" s="201">
        <v>0</v>
      </c>
      <c r="Y35" s="201">
        <v>0</v>
      </c>
    </row>
    <row r="36" spans="5:42" x14ac:dyDescent="0.25">
      <c r="E36" s="52"/>
      <c r="F36" s="92" t="s">
        <v>200</v>
      </c>
      <c r="G36" s="92" t="s">
        <v>120</v>
      </c>
      <c r="J36" s="229">
        <f t="array" ref="J36:Y36">TRANSPOSE('ARP_Inputs by customer type'!J207:J222)</f>
        <v>2376763.4827184244</v>
      </c>
      <c r="K36" s="234">
        <v>0</v>
      </c>
      <c r="L36" s="229">
        <v>85547.074068350208</v>
      </c>
      <c r="M36" s="202">
        <v>0</v>
      </c>
      <c r="N36" s="229">
        <v>219596.50368094287</v>
      </c>
      <c r="O36" s="229">
        <v>645.06358599246971</v>
      </c>
      <c r="P36" s="229">
        <v>78034.847176332449</v>
      </c>
      <c r="Q36" s="229">
        <v>64407.420619468379</v>
      </c>
      <c r="R36" s="234">
        <v>0</v>
      </c>
      <c r="S36" s="234">
        <v>0</v>
      </c>
      <c r="T36" s="234">
        <v>0</v>
      </c>
      <c r="U36" s="234">
        <v>0</v>
      </c>
      <c r="V36" s="234">
        <v>0</v>
      </c>
      <c r="W36" s="234">
        <v>0</v>
      </c>
      <c r="X36" s="234">
        <v>0</v>
      </c>
      <c r="Y36" s="234">
        <v>0</v>
      </c>
    </row>
    <row r="37" spans="5:42" x14ac:dyDescent="0.25">
      <c r="E37" s="52"/>
      <c r="F37" s="92" t="s">
        <v>201</v>
      </c>
      <c r="G37" s="92" t="s">
        <v>120</v>
      </c>
      <c r="J37" s="229">
        <f t="array" ref="J37:Y37">TRANSPOSE('ARP_Inputs by customer type'!J225:J240)</f>
        <v>2257194.3085960886</v>
      </c>
      <c r="K37" s="234">
        <v>0</v>
      </c>
      <c r="L37" s="229">
        <v>68807.884598155215</v>
      </c>
      <c r="M37" s="202">
        <v>0</v>
      </c>
      <c r="N37" s="229">
        <v>194785.9381843415</v>
      </c>
      <c r="O37" s="229">
        <v>663.435344075682</v>
      </c>
      <c r="P37" s="229">
        <v>85867.729755907218</v>
      </c>
      <c r="Q37" s="229">
        <v>148584.05886729746</v>
      </c>
      <c r="R37" s="234">
        <v>0</v>
      </c>
      <c r="S37" s="234">
        <v>0</v>
      </c>
      <c r="T37" s="234">
        <v>0</v>
      </c>
      <c r="U37" s="234">
        <v>0</v>
      </c>
      <c r="V37" s="234">
        <v>0</v>
      </c>
      <c r="W37" s="234">
        <v>0</v>
      </c>
      <c r="X37" s="234">
        <v>0</v>
      </c>
      <c r="Y37" s="234">
        <v>0</v>
      </c>
    </row>
    <row r="38" spans="5:42" x14ac:dyDescent="0.25">
      <c r="E38" s="52"/>
      <c r="F38" s="92" t="s">
        <v>74</v>
      </c>
      <c r="G38" s="92" t="s">
        <v>74</v>
      </c>
      <c r="J38" s="229">
        <f t="array" ref="J38:Y38">TRANSPOSE('ARP_Inputs by customer type'!J243:J258)</f>
        <v>1858128</v>
      </c>
      <c r="K38" s="234">
        <v>0</v>
      </c>
      <c r="L38" s="229">
        <v>46603</v>
      </c>
      <c r="M38" s="202">
        <v>0</v>
      </c>
      <c r="N38" s="229">
        <v>4524</v>
      </c>
      <c r="O38" s="229">
        <v>10</v>
      </c>
      <c r="P38" s="229">
        <v>356</v>
      </c>
      <c r="Q38" s="229">
        <v>4804</v>
      </c>
      <c r="R38" s="234">
        <v>0</v>
      </c>
      <c r="S38" s="234">
        <v>0</v>
      </c>
      <c r="T38" s="234">
        <v>0</v>
      </c>
      <c r="U38" s="234">
        <v>0</v>
      </c>
      <c r="V38" s="234">
        <v>0</v>
      </c>
      <c r="W38" s="234">
        <v>0</v>
      </c>
      <c r="X38" s="234">
        <v>0</v>
      </c>
      <c r="Y38" s="234">
        <v>0</v>
      </c>
    </row>
    <row r="39" spans="5:42" x14ac:dyDescent="0.25">
      <c r="E39" s="52"/>
      <c r="F39" s="92" t="s">
        <v>202</v>
      </c>
      <c r="G39" s="92" t="s">
        <v>169</v>
      </c>
      <c r="J39" s="234">
        <f t="array" ref="J39:Y39">TRANSPOSE('ARP_Inputs by customer type'!J261:J276)</f>
        <v>0</v>
      </c>
      <c r="K39" s="234">
        <v>0</v>
      </c>
      <c r="L39" s="234">
        <v>0</v>
      </c>
      <c r="M39" s="202">
        <v>0</v>
      </c>
      <c r="N39" s="229">
        <v>253629</v>
      </c>
      <c r="O39" s="229">
        <v>456</v>
      </c>
      <c r="P39" s="229">
        <v>71629</v>
      </c>
      <c r="Q39" s="234">
        <v>0</v>
      </c>
      <c r="R39" s="234">
        <v>0</v>
      </c>
      <c r="S39" s="234">
        <v>0</v>
      </c>
      <c r="T39" s="234">
        <v>0</v>
      </c>
      <c r="U39" s="234">
        <v>0</v>
      </c>
      <c r="V39" s="234">
        <v>0</v>
      </c>
      <c r="W39" s="234">
        <v>0</v>
      </c>
      <c r="X39" s="234">
        <v>0</v>
      </c>
      <c r="Y39" s="234">
        <v>0</v>
      </c>
    </row>
    <row r="40" spans="5:42" x14ac:dyDescent="0.25">
      <c r="E40" s="52"/>
      <c r="F40" s="92" t="s">
        <v>203</v>
      </c>
      <c r="G40" s="92" t="s">
        <v>169</v>
      </c>
      <c r="J40" s="234">
        <f t="array" ref="J40:Y40">TRANSPOSE('ARP_Inputs by customer type'!J279:J294)</f>
        <v>0</v>
      </c>
      <c r="K40" s="234">
        <v>0</v>
      </c>
      <c r="L40" s="234">
        <v>0</v>
      </c>
      <c r="M40" s="202">
        <v>0</v>
      </c>
      <c r="N40" s="229">
        <v>12241</v>
      </c>
      <c r="O40" s="229">
        <v>302</v>
      </c>
      <c r="P40" s="229">
        <v>5846</v>
      </c>
      <c r="Q40" s="234">
        <v>0</v>
      </c>
      <c r="R40" s="234">
        <v>0</v>
      </c>
      <c r="S40" s="234">
        <v>0</v>
      </c>
      <c r="T40" s="234">
        <v>0</v>
      </c>
      <c r="U40" s="234">
        <v>0</v>
      </c>
      <c r="V40" s="234">
        <v>0</v>
      </c>
      <c r="W40" s="234">
        <v>0</v>
      </c>
      <c r="X40" s="234">
        <v>0</v>
      </c>
      <c r="Y40" s="234">
        <v>0</v>
      </c>
    </row>
    <row r="41" spans="5:42" x14ac:dyDescent="0.25">
      <c r="E41" s="52"/>
      <c r="F41" s="34" t="s">
        <v>204</v>
      </c>
      <c r="G41" s="34" t="s">
        <v>170</v>
      </c>
      <c r="H41" s="17"/>
      <c r="I41" s="17"/>
      <c r="J41" s="203">
        <f t="array" ref="J41:Y41">TRANSPOSE('ARP_Inputs by customer type'!J297:J312)</f>
        <v>0</v>
      </c>
      <c r="K41" s="203">
        <v>0</v>
      </c>
      <c r="L41" s="203">
        <v>0</v>
      </c>
      <c r="M41" s="203">
        <v>0</v>
      </c>
      <c r="N41" s="230">
        <v>48146.402999999998</v>
      </c>
      <c r="O41" s="230">
        <v>502.32499999999999</v>
      </c>
      <c r="P41" s="230">
        <v>24313.001</v>
      </c>
      <c r="Q41" s="203">
        <v>0</v>
      </c>
      <c r="R41" s="203">
        <v>0</v>
      </c>
      <c r="S41" s="203">
        <v>0</v>
      </c>
      <c r="T41" s="203">
        <v>0</v>
      </c>
      <c r="U41" s="203">
        <v>0</v>
      </c>
      <c r="V41" s="203">
        <v>0</v>
      </c>
      <c r="W41" s="203">
        <v>0</v>
      </c>
      <c r="X41" s="203">
        <v>0</v>
      </c>
      <c r="Y41" s="203">
        <v>0</v>
      </c>
    </row>
    <row r="42" spans="5:42" x14ac:dyDescent="0.25">
      <c r="E42" s="323"/>
      <c r="F42" s="324"/>
      <c r="G42" s="324"/>
      <c r="H42" s="322"/>
      <c r="I42" s="322"/>
      <c r="J42" s="325"/>
      <c r="K42" s="325"/>
      <c r="L42" s="325"/>
      <c r="M42" s="325"/>
      <c r="N42" s="326"/>
      <c r="O42" s="326"/>
      <c r="P42" s="326"/>
      <c r="Q42" s="325"/>
      <c r="R42" s="325"/>
      <c r="S42" s="325"/>
      <c r="T42" s="326"/>
      <c r="U42" s="325"/>
      <c r="V42" s="326"/>
      <c r="W42" s="325"/>
      <c r="X42" s="326"/>
      <c r="Y42" s="325"/>
      <c r="Z42" s="322"/>
      <c r="AA42" s="322"/>
      <c r="AB42" s="322"/>
      <c r="AC42" s="322"/>
      <c r="AD42" s="322"/>
      <c r="AE42" s="322"/>
      <c r="AF42" s="322"/>
      <c r="AG42" s="322"/>
      <c r="AH42" s="322"/>
      <c r="AI42" s="322"/>
      <c r="AJ42" s="322"/>
      <c r="AK42" s="322"/>
      <c r="AL42" s="322"/>
      <c r="AM42" s="322"/>
      <c r="AN42" s="322"/>
      <c r="AO42" s="322"/>
      <c r="AP42" s="322"/>
    </row>
    <row r="43" spans="5:42" x14ac:dyDescent="0.25">
      <c r="E43" s="52" t="s">
        <v>1044</v>
      </c>
      <c r="G43" s="91"/>
    </row>
    <row r="44" spans="5:42" x14ac:dyDescent="0.25">
      <c r="E44" s="52"/>
      <c r="F44" s="38" t="s">
        <v>199</v>
      </c>
      <c r="G44" s="38" t="s">
        <v>120</v>
      </c>
      <c r="H44" s="80"/>
      <c r="I44" s="80"/>
      <c r="J44" s="201">
        <f t="array" ref="J44:Y44">TRANSPOSE('ARP_Inputs by customer type'!J317:J332)</f>
        <v>0</v>
      </c>
      <c r="K44" s="201">
        <v>0</v>
      </c>
      <c r="L44" s="228">
        <v>30057.319359680965</v>
      </c>
      <c r="M44" s="201">
        <v>0</v>
      </c>
      <c r="N44" s="228">
        <v>65625.904093153804</v>
      </c>
      <c r="O44" s="228">
        <v>622.15327059830827</v>
      </c>
      <c r="P44" s="228">
        <v>57933.42611206969</v>
      </c>
      <c r="Q44" s="201">
        <v>0</v>
      </c>
      <c r="R44" s="201">
        <v>0</v>
      </c>
      <c r="S44" s="201">
        <v>0</v>
      </c>
      <c r="T44" s="201">
        <v>0</v>
      </c>
      <c r="U44" s="201">
        <v>0</v>
      </c>
      <c r="V44" s="201">
        <v>0</v>
      </c>
      <c r="W44" s="201">
        <v>0</v>
      </c>
      <c r="X44" s="201">
        <v>0</v>
      </c>
      <c r="Y44" s="201">
        <v>0</v>
      </c>
    </row>
    <row r="45" spans="5:42" x14ac:dyDescent="0.25">
      <c r="E45" s="52"/>
      <c r="F45" s="92" t="s">
        <v>200</v>
      </c>
      <c r="G45" s="92" t="s">
        <v>120</v>
      </c>
      <c r="J45" s="234">
        <f t="array" ref="J45:Y45">TRANSPOSE('ARP_Inputs by customer type'!J335:J350)</f>
        <v>0</v>
      </c>
      <c r="K45" s="234">
        <v>0</v>
      </c>
      <c r="L45" s="229">
        <v>154560.90540419368</v>
      </c>
      <c r="M45" s="234">
        <v>0</v>
      </c>
      <c r="N45" s="229">
        <v>314851.0725743408</v>
      </c>
      <c r="O45" s="229">
        <v>2899.6865479946259</v>
      </c>
      <c r="P45" s="229">
        <v>268694.38116284559</v>
      </c>
      <c r="Q45" s="234">
        <v>0</v>
      </c>
      <c r="R45" s="234">
        <v>0</v>
      </c>
      <c r="S45" s="234">
        <v>0</v>
      </c>
      <c r="T45" s="234">
        <v>0</v>
      </c>
      <c r="U45" s="234">
        <v>0</v>
      </c>
      <c r="V45" s="234">
        <v>0</v>
      </c>
      <c r="W45" s="234">
        <v>0</v>
      </c>
      <c r="X45" s="234">
        <v>0</v>
      </c>
      <c r="Y45" s="234">
        <v>0</v>
      </c>
    </row>
    <row r="46" spans="5:42" x14ac:dyDescent="0.25">
      <c r="E46" s="52"/>
      <c r="F46" s="92" t="s">
        <v>201</v>
      </c>
      <c r="G46" s="92" t="s">
        <v>120</v>
      </c>
      <c r="J46" s="234">
        <f t="array" ref="J46:Y46">TRANSPOSE('ARP_Inputs by customer type'!J353:J368)</f>
        <v>0</v>
      </c>
      <c r="K46" s="234">
        <v>0</v>
      </c>
      <c r="L46" s="229">
        <v>124317.62346355653</v>
      </c>
      <c r="M46" s="234">
        <v>0</v>
      </c>
      <c r="N46" s="229">
        <v>279278.4062210978</v>
      </c>
      <c r="O46" s="229">
        <v>2982.2711814070658</v>
      </c>
      <c r="P46" s="229">
        <v>295665.04380391253</v>
      </c>
      <c r="Q46" s="234">
        <v>0</v>
      </c>
      <c r="R46" s="234">
        <v>0</v>
      </c>
      <c r="S46" s="234">
        <v>0</v>
      </c>
      <c r="T46" s="234">
        <v>0</v>
      </c>
      <c r="U46" s="234">
        <v>0</v>
      </c>
      <c r="V46" s="234">
        <v>0</v>
      </c>
      <c r="W46" s="234">
        <v>0</v>
      </c>
      <c r="X46" s="234">
        <v>0</v>
      </c>
      <c r="Y46" s="234">
        <v>0</v>
      </c>
    </row>
    <row r="47" spans="5:42" x14ac:dyDescent="0.25">
      <c r="E47" s="52"/>
      <c r="F47" s="92" t="s">
        <v>74</v>
      </c>
      <c r="G47" s="92" t="s">
        <v>74</v>
      </c>
      <c r="J47" s="234">
        <f t="array" ref="J47:Y47">TRANSPOSE('ARP_Inputs by customer type'!J371:J386)</f>
        <v>0</v>
      </c>
      <c r="K47" s="234">
        <v>0</v>
      </c>
      <c r="L47" s="229">
        <v>36661</v>
      </c>
      <c r="M47" s="234">
        <v>0</v>
      </c>
      <c r="N47" s="229">
        <v>3723</v>
      </c>
      <c r="O47" s="229">
        <v>24</v>
      </c>
      <c r="P47" s="229">
        <v>403</v>
      </c>
      <c r="Q47" s="234">
        <v>0</v>
      </c>
      <c r="R47" s="234">
        <v>0</v>
      </c>
      <c r="S47" s="234">
        <v>0</v>
      </c>
      <c r="T47" s="234">
        <v>0</v>
      </c>
      <c r="U47" s="234">
        <v>0</v>
      </c>
      <c r="V47" s="234">
        <v>0</v>
      </c>
      <c r="W47" s="234">
        <v>0</v>
      </c>
      <c r="X47" s="234">
        <v>0</v>
      </c>
      <c r="Y47" s="234">
        <v>0</v>
      </c>
    </row>
    <row r="48" spans="5:42" x14ac:dyDescent="0.25">
      <c r="E48" s="52"/>
      <c r="F48" s="92" t="s">
        <v>202</v>
      </c>
      <c r="G48" s="92" t="s">
        <v>169</v>
      </c>
      <c r="J48" s="234">
        <f t="array" ref="J48:Y48">TRANSPOSE('ARP_Inputs by customer type'!J389:J404)</f>
        <v>0</v>
      </c>
      <c r="K48" s="234">
        <v>0</v>
      </c>
      <c r="L48" s="234">
        <v>0</v>
      </c>
      <c r="M48" s="234">
        <v>0</v>
      </c>
      <c r="N48" s="229">
        <v>420018</v>
      </c>
      <c r="O48" s="229">
        <v>3051</v>
      </c>
      <c r="P48" s="229">
        <v>277706</v>
      </c>
      <c r="Q48" s="234">
        <v>0</v>
      </c>
      <c r="R48" s="234">
        <v>0</v>
      </c>
      <c r="S48" s="234">
        <v>0</v>
      </c>
      <c r="T48" s="234">
        <v>0</v>
      </c>
      <c r="U48" s="234">
        <v>0</v>
      </c>
      <c r="V48" s="234">
        <v>0</v>
      </c>
      <c r="W48" s="234">
        <v>0</v>
      </c>
      <c r="X48" s="234">
        <v>0</v>
      </c>
      <c r="Y48" s="234">
        <v>0</v>
      </c>
    </row>
    <row r="49" spans="5:42" x14ac:dyDescent="0.25">
      <c r="E49" s="52"/>
      <c r="F49" s="92" t="s">
        <v>203</v>
      </c>
      <c r="G49" s="92" t="s">
        <v>169</v>
      </c>
      <c r="J49" s="234">
        <f t="array" ref="J49:Y49">TRANSPOSE('ARP_Inputs by customer type'!J407:J422)</f>
        <v>0</v>
      </c>
      <c r="K49" s="234">
        <v>0</v>
      </c>
      <c r="L49" s="234">
        <v>0</v>
      </c>
      <c r="M49" s="234">
        <v>0</v>
      </c>
      <c r="N49" s="229">
        <v>6970</v>
      </c>
      <c r="O49" s="229">
        <v>189</v>
      </c>
      <c r="P49" s="229">
        <v>2073</v>
      </c>
      <c r="Q49" s="234">
        <v>0</v>
      </c>
      <c r="R49" s="234">
        <v>0</v>
      </c>
      <c r="S49" s="234">
        <v>0</v>
      </c>
      <c r="T49" s="234">
        <v>0</v>
      </c>
      <c r="U49" s="234">
        <v>0</v>
      </c>
      <c r="V49" s="234">
        <v>0</v>
      </c>
      <c r="W49" s="234">
        <v>0</v>
      </c>
      <c r="X49" s="234">
        <v>0</v>
      </c>
      <c r="Y49" s="234">
        <v>0</v>
      </c>
    </row>
    <row r="50" spans="5:42" x14ac:dyDescent="0.25">
      <c r="E50" s="52"/>
      <c r="F50" s="34" t="s">
        <v>204</v>
      </c>
      <c r="G50" s="34" t="s">
        <v>170</v>
      </c>
      <c r="H50" s="17"/>
      <c r="I50" s="17"/>
      <c r="J50" s="203">
        <f t="array" ref="J50:Y50">TRANSPOSE('ARP_Inputs by customer type'!J425:J440)</f>
        <v>0</v>
      </c>
      <c r="K50" s="203">
        <v>0</v>
      </c>
      <c r="L50" s="203">
        <v>0</v>
      </c>
      <c r="M50" s="203">
        <v>0</v>
      </c>
      <c r="N50" s="230">
        <v>60478.904999999999</v>
      </c>
      <c r="O50" s="230">
        <v>611.57899999999995</v>
      </c>
      <c r="P50" s="230">
        <v>38777.107000000004</v>
      </c>
      <c r="Q50" s="203">
        <v>0</v>
      </c>
      <c r="R50" s="203">
        <v>0</v>
      </c>
      <c r="S50" s="203">
        <v>0</v>
      </c>
      <c r="T50" s="203">
        <v>0</v>
      </c>
      <c r="U50" s="203">
        <v>0</v>
      </c>
      <c r="V50" s="203">
        <v>0</v>
      </c>
      <c r="W50" s="203">
        <v>0</v>
      </c>
      <c r="X50" s="203">
        <v>0</v>
      </c>
      <c r="Y50" s="203">
        <v>0</v>
      </c>
    </row>
    <row r="51" spans="5:42" x14ac:dyDescent="0.25">
      <c r="E51" s="323"/>
      <c r="F51" s="324"/>
      <c r="G51" s="324"/>
      <c r="H51" s="322"/>
      <c r="I51" s="322"/>
      <c r="J51" s="325"/>
      <c r="K51" s="325"/>
      <c r="L51" s="325"/>
      <c r="M51" s="325"/>
      <c r="N51" s="326"/>
      <c r="O51" s="326"/>
      <c r="P51" s="326"/>
      <c r="Q51" s="325"/>
      <c r="R51" s="325"/>
      <c r="S51" s="325"/>
      <c r="T51" s="326"/>
      <c r="U51" s="325"/>
      <c r="V51" s="326"/>
      <c r="W51" s="325"/>
      <c r="X51" s="326"/>
      <c r="Y51" s="325"/>
      <c r="Z51" s="322"/>
      <c r="AA51" s="322"/>
      <c r="AB51" s="322"/>
      <c r="AC51" s="322"/>
      <c r="AD51" s="322"/>
      <c r="AE51" s="322"/>
      <c r="AF51" s="322"/>
      <c r="AG51" s="322"/>
      <c r="AH51" s="322"/>
      <c r="AI51" s="322"/>
      <c r="AJ51" s="322"/>
      <c r="AK51" s="322"/>
      <c r="AL51" s="322"/>
      <c r="AM51" s="322"/>
      <c r="AN51" s="322"/>
      <c r="AO51" s="322"/>
      <c r="AP51" s="322"/>
    </row>
    <row r="52" spans="5:42" x14ac:dyDescent="0.25">
      <c r="E52" s="52" t="s">
        <v>1045</v>
      </c>
      <c r="G52" s="91"/>
    </row>
    <row r="53" spans="5:42" x14ac:dyDescent="0.25">
      <c r="E53" s="52"/>
      <c r="F53" s="38" t="s">
        <v>199</v>
      </c>
      <c r="G53" s="38" t="s">
        <v>120</v>
      </c>
      <c r="H53" s="80"/>
      <c r="I53" s="80"/>
      <c r="J53" s="201">
        <f t="array" ref="J53:Y53">TRANSPOSE('ARP_Inputs by customer type'!J445:J460)</f>
        <v>0</v>
      </c>
      <c r="K53" s="201">
        <v>0</v>
      </c>
      <c r="L53" s="228">
        <v>37425.923933004749</v>
      </c>
      <c r="M53" s="201">
        <v>0</v>
      </c>
      <c r="N53" s="228">
        <v>36868.568333115407</v>
      </c>
      <c r="O53" s="228">
        <v>2087.8978294873009</v>
      </c>
      <c r="P53" s="228">
        <v>52159.250767746467</v>
      </c>
      <c r="Q53" s="201">
        <v>0</v>
      </c>
      <c r="R53" s="201">
        <v>0</v>
      </c>
      <c r="S53" s="201">
        <v>0</v>
      </c>
      <c r="T53" s="201">
        <v>0</v>
      </c>
      <c r="U53" s="201">
        <v>0</v>
      </c>
      <c r="V53" s="201">
        <v>0</v>
      </c>
      <c r="W53" s="201">
        <v>0</v>
      </c>
      <c r="X53" s="201">
        <v>0</v>
      </c>
      <c r="Y53" s="201">
        <v>0</v>
      </c>
    </row>
    <row r="54" spans="5:42" x14ac:dyDescent="0.25">
      <c r="E54" s="52"/>
      <c r="F54" s="92" t="s">
        <v>200</v>
      </c>
      <c r="G54" s="92" t="s">
        <v>120</v>
      </c>
      <c r="J54" s="234">
        <f t="array" ref="J54:Y54">TRANSPOSE('ARP_Inputs by customer type'!J463:J478)</f>
        <v>0</v>
      </c>
      <c r="K54" s="234">
        <v>0</v>
      </c>
      <c r="L54" s="229">
        <v>192451.78252433133</v>
      </c>
      <c r="M54" s="234">
        <v>0</v>
      </c>
      <c r="N54" s="229">
        <v>176883.02270829573</v>
      </c>
      <c r="O54" s="229">
        <v>9731.1217924311368</v>
      </c>
      <c r="P54" s="229">
        <v>241913.84054942831</v>
      </c>
      <c r="Q54" s="234">
        <v>0</v>
      </c>
      <c r="R54" s="234">
        <v>0</v>
      </c>
      <c r="S54" s="234">
        <v>0</v>
      </c>
      <c r="T54" s="234">
        <v>0</v>
      </c>
      <c r="U54" s="234">
        <v>0</v>
      </c>
      <c r="V54" s="234">
        <v>0</v>
      </c>
      <c r="W54" s="234">
        <v>0</v>
      </c>
      <c r="X54" s="234">
        <v>0</v>
      </c>
      <c r="Y54" s="234">
        <v>0</v>
      </c>
    </row>
    <row r="55" spans="5:42" x14ac:dyDescent="0.25">
      <c r="E55" s="52"/>
      <c r="F55" s="92" t="s">
        <v>201</v>
      </c>
      <c r="G55" s="92" t="s">
        <v>120</v>
      </c>
      <c r="J55" s="234">
        <f t="array" ref="J55:Y55">TRANSPOSE('ARP_Inputs by customer type'!J481:J496)</f>
        <v>0</v>
      </c>
      <c r="K55" s="234">
        <v>0</v>
      </c>
      <c r="L55" s="229">
        <v>154794.30695739787</v>
      </c>
      <c r="M55" s="234">
        <v>0</v>
      </c>
      <c r="N55" s="229">
        <v>156898.33376025464</v>
      </c>
      <c r="O55" s="229">
        <v>10008.269378081564</v>
      </c>
      <c r="P55" s="229">
        <v>266196.36016679689</v>
      </c>
      <c r="Q55" s="234">
        <v>0</v>
      </c>
      <c r="R55" s="234">
        <v>0</v>
      </c>
      <c r="S55" s="234">
        <v>0</v>
      </c>
      <c r="T55" s="234">
        <v>0</v>
      </c>
      <c r="U55" s="234">
        <v>0</v>
      </c>
      <c r="V55" s="234">
        <v>0</v>
      </c>
      <c r="W55" s="234">
        <v>0</v>
      </c>
      <c r="X55" s="234">
        <v>0</v>
      </c>
      <c r="Y55" s="234">
        <v>0</v>
      </c>
    </row>
    <row r="56" spans="5:42" x14ac:dyDescent="0.25">
      <c r="E56" s="52"/>
      <c r="F56" s="92" t="s">
        <v>74</v>
      </c>
      <c r="G56" s="92" t="s">
        <v>74</v>
      </c>
      <c r="J56" s="234">
        <f t="array" ref="J56:Y56">TRANSPOSE('ARP_Inputs by customer type'!J499:J514)</f>
        <v>0</v>
      </c>
      <c r="K56" s="234">
        <v>0</v>
      </c>
      <c r="L56" s="229">
        <v>21107</v>
      </c>
      <c r="M56" s="234">
        <v>0</v>
      </c>
      <c r="N56" s="229">
        <v>1261</v>
      </c>
      <c r="O56" s="229">
        <v>41</v>
      </c>
      <c r="P56" s="229">
        <v>177</v>
      </c>
      <c r="Q56" s="234">
        <v>0</v>
      </c>
      <c r="R56" s="234">
        <v>0</v>
      </c>
      <c r="S56" s="234">
        <v>0</v>
      </c>
      <c r="T56" s="234">
        <v>0</v>
      </c>
      <c r="U56" s="234">
        <v>0</v>
      </c>
      <c r="V56" s="234">
        <v>0</v>
      </c>
      <c r="W56" s="234">
        <v>0</v>
      </c>
      <c r="X56" s="234">
        <v>0</v>
      </c>
      <c r="Y56" s="234">
        <v>0</v>
      </c>
    </row>
    <row r="57" spans="5:42" x14ac:dyDescent="0.25">
      <c r="E57" s="52"/>
      <c r="F57" s="92" t="s">
        <v>202</v>
      </c>
      <c r="G57" s="92" t="s">
        <v>169</v>
      </c>
      <c r="J57" s="234">
        <f t="array" ref="J57:Y57">TRANSPOSE('ARP_Inputs by customer type'!J517:J532)</f>
        <v>0</v>
      </c>
      <c r="K57" s="234">
        <v>0</v>
      </c>
      <c r="L57" s="234">
        <v>0</v>
      </c>
      <c r="M57" s="234">
        <v>0</v>
      </c>
      <c r="N57" s="229">
        <v>237355</v>
      </c>
      <c r="O57" s="229">
        <v>7741</v>
      </c>
      <c r="P57" s="229">
        <v>239536</v>
      </c>
      <c r="Q57" s="234">
        <v>0</v>
      </c>
      <c r="R57" s="234">
        <v>0</v>
      </c>
      <c r="S57" s="234">
        <v>0</v>
      </c>
      <c r="T57" s="234">
        <v>0</v>
      </c>
      <c r="U57" s="234">
        <v>0</v>
      </c>
      <c r="V57" s="234">
        <v>0</v>
      </c>
      <c r="W57" s="234">
        <v>0</v>
      </c>
      <c r="X57" s="234">
        <v>0</v>
      </c>
      <c r="Y57" s="234">
        <v>0</v>
      </c>
    </row>
    <row r="58" spans="5:42" x14ac:dyDescent="0.25">
      <c r="E58" s="52"/>
      <c r="F58" s="92" t="s">
        <v>203</v>
      </c>
      <c r="G58" s="92" t="s">
        <v>169</v>
      </c>
      <c r="J58" s="234">
        <f t="array" ref="J58:Y58">TRANSPOSE('ARP_Inputs by customer type'!J535:J550)</f>
        <v>0</v>
      </c>
      <c r="K58" s="234">
        <v>0</v>
      </c>
      <c r="L58" s="234">
        <v>0</v>
      </c>
      <c r="M58" s="234">
        <v>0</v>
      </c>
      <c r="N58" s="229">
        <v>1336</v>
      </c>
      <c r="O58" s="229">
        <v>144</v>
      </c>
      <c r="P58" s="229">
        <v>1688</v>
      </c>
      <c r="Q58" s="234">
        <v>0</v>
      </c>
      <c r="R58" s="234">
        <v>0</v>
      </c>
      <c r="S58" s="234">
        <v>0</v>
      </c>
      <c r="T58" s="234">
        <v>0</v>
      </c>
      <c r="U58" s="234">
        <v>0</v>
      </c>
      <c r="V58" s="234">
        <v>0</v>
      </c>
      <c r="W58" s="234">
        <v>0</v>
      </c>
      <c r="X58" s="234">
        <v>0</v>
      </c>
      <c r="Y58" s="234">
        <v>0</v>
      </c>
    </row>
    <row r="59" spans="5:42" x14ac:dyDescent="0.25">
      <c r="E59" s="52"/>
      <c r="F59" s="34" t="s">
        <v>204</v>
      </c>
      <c r="G59" s="34" t="s">
        <v>170</v>
      </c>
      <c r="H59" s="17"/>
      <c r="I59" s="17"/>
      <c r="J59" s="203">
        <f t="array" ref="J59:Y59">TRANSPOSE('ARP_Inputs by customer type'!J553:J568)</f>
        <v>0</v>
      </c>
      <c r="K59" s="203">
        <v>0</v>
      </c>
      <c r="L59" s="203">
        <v>0</v>
      </c>
      <c r="M59" s="203">
        <v>0</v>
      </c>
      <c r="N59" s="230">
        <v>32197.821</v>
      </c>
      <c r="O59" s="230">
        <v>1792.9359999999999</v>
      </c>
      <c r="P59" s="230">
        <v>34030.400000000001</v>
      </c>
      <c r="Q59" s="203">
        <v>0</v>
      </c>
      <c r="R59" s="203">
        <v>0</v>
      </c>
      <c r="S59" s="203">
        <v>0</v>
      </c>
      <c r="T59" s="203">
        <v>0</v>
      </c>
      <c r="U59" s="203">
        <v>0</v>
      </c>
      <c r="V59" s="203">
        <v>0</v>
      </c>
      <c r="W59" s="203">
        <v>0</v>
      </c>
      <c r="X59" s="203">
        <v>0</v>
      </c>
      <c r="Y59" s="203">
        <v>0</v>
      </c>
    </row>
    <row r="60" spans="5:42" x14ac:dyDescent="0.25">
      <c r="E60" s="323"/>
      <c r="F60" s="324"/>
      <c r="G60" s="324"/>
      <c r="H60" s="322"/>
      <c r="I60" s="322"/>
      <c r="J60" s="325"/>
      <c r="K60" s="325"/>
      <c r="L60" s="325"/>
      <c r="M60" s="325"/>
      <c r="N60" s="326"/>
      <c r="O60" s="326"/>
      <c r="P60" s="326"/>
      <c r="Q60" s="325"/>
      <c r="R60" s="325"/>
      <c r="S60" s="325"/>
      <c r="T60" s="326"/>
      <c r="U60" s="325"/>
      <c r="V60" s="326"/>
      <c r="W60" s="325"/>
      <c r="X60" s="326"/>
      <c r="Y60" s="325"/>
      <c r="Z60" s="322"/>
      <c r="AA60" s="322"/>
      <c r="AB60" s="322"/>
      <c r="AC60" s="322"/>
      <c r="AD60" s="322"/>
      <c r="AE60" s="322"/>
      <c r="AF60" s="322"/>
      <c r="AG60" s="322"/>
      <c r="AH60" s="322"/>
      <c r="AI60" s="322"/>
      <c r="AJ60" s="322"/>
      <c r="AK60" s="322"/>
      <c r="AL60" s="322"/>
      <c r="AM60" s="322"/>
      <c r="AN60" s="322"/>
      <c r="AO60" s="322"/>
      <c r="AP60" s="322"/>
    </row>
    <row r="61" spans="5:42" x14ac:dyDescent="0.25">
      <c r="E61" s="52" t="s">
        <v>1046</v>
      </c>
      <c r="G61" s="91"/>
    </row>
    <row r="62" spans="5:42" x14ac:dyDescent="0.25">
      <c r="E62" s="52"/>
      <c r="F62" s="38" t="s">
        <v>199</v>
      </c>
      <c r="G62" s="38" t="s">
        <v>120</v>
      </c>
      <c r="H62" s="80"/>
      <c r="I62" s="80"/>
      <c r="J62" s="201">
        <f t="array" ref="J62:Y62">TRANSPOSE('ARP_Inputs by customer type'!J573:J588)</f>
        <v>0</v>
      </c>
      <c r="K62" s="201">
        <v>0</v>
      </c>
      <c r="L62" s="228">
        <v>113078.7546939583</v>
      </c>
      <c r="M62" s="201">
        <v>0</v>
      </c>
      <c r="N62" s="228">
        <v>90934.026821706211</v>
      </c>
      <c r="O62" s="228">
        <v>21698.50373939249</v>
      </c>
      <c r="P62" s="228">
        <v>164544.48604752985</v>
      </c>
      <c r="Q62" s="201">
        <v>0</v>
      </c>
      <c r="R62" s="201">
        <v>0</v>
      </c>
      <c r="S62" s="201">
        <v>0</v>
      </c>
      <c r="T62" s="201">
        <v>0</v>
      </c>
      <c r="U62" s="201">
        <v>0</v>
      </c>
      <c r="V62" s="201">
        <v>0</v>
      </c>
      <c r="W62" s="201">
        <v>0</v>
      </c>
      <c r="X62" s="201">
        <v>0</v>
      </c>
      <c r="Y62" s="201">
        <v>0</v>
      </c>
    </row>
    <row r="63" spans="5:42" x14ac:dyDescent="0.25">
      <c r="E63" s="52"/>
      <c r="F63" s="92" t="s">
        <v>200</v>
      </c>
      <c r="G63" s="92" t="s">
        <v>120</v>
      </c>
      <c r="J63" s="234">
        <f t="array" ref="J63:Y63">TRANSPOSE('ARP_Inputs by customer type'!J591:J606)</f>
        <v>0</v>
      </c>
      <c r="K63" s="234">
        <v>0</v>
      </c>
      <c r="L63" s="229">
        <v>581474.16602032015</v>
      </c>
      <c r="M63" s="234">
        <v>0</v>
      </c>
      <c r="N63" s="229">
        <v>436270.95540928131</v>
      </c>
      <c r="O63" s="229">
        <v>101130.80229284996</v>
      </c>
      <c r="P63" s="229">
        <v>763154.91451813979</v>
      </c>
      <c r="Q63" s="234">
        <v>0</v>
      </c>
      <c r="R63" s="234">
        <v>0</v>
      </c>
      <c r="S63" s="234">
        <v>0</v>
      </c>
      <c r="T63" s="234">
        <v>0</v>
      </c>
      <c r="U63" s="234">
        <v>0</v>
      </c>
      <c r="V63" s="234">
        <v>0</v>
      </c>
      <c r="W63" s="234">
        <v>0</v>
      </c>
      <c r="X63" s="234">
        <v>0</v>
      </c>
      <c r="Y63" s="234">
        <v>0</v>
      </c>
    </row>
    <row r="64" spans="5:42" x14ac:dyDescent="0.25">
      <c r="E64" s="52"/>
      <c r="F64" s="92" t="s">
        <v>201</v>
      </c>
      <c r="G64" s="92" t="s">
        <v>120</v>
      </c>
      <c r="J64" s="234">
        <f t="array" ref="J64:Y64">TRANSPOSE('ARP_Inputs by customer type'!J609:J624)</f>
        <v>0</v>
      </c>
      <c r="K64" s="234">
        <v>0</v>
      </c>
      <c r="L64" s="229">
        <v>467695.8007981386</v>
      </c>
      <c r="M64" s="234">
        <v>0</v>
      </c>
      <c r="N64" s="229">
        <v>386979.96519764536</v>
      </c>
      <c r="O64" s="229">
        <v>104011.06196775756</v>
      </c>
      <c r="P64" s="229">
        <v>839757.90730594413</v>
      </c>
      <c r="Q64" s="234">
        <v>0</v>
      </c>
      <c r="R64" s="234">
        <v>0</v>
      </c>
      <c r="S64" s="234">
        <v>0</v>
      </c>
      <c r="T64" s="234">
        <v>0</v>
      </c>
      <c r="U64" s="234">
        <v>0</v>
      </c>
      <c r="V64" s="234">
        <v>0</v>
      </c>
      <c r="W64" s="234">
        <v>0</v>
      </c>
      <c r="X64" s="234">
        <v>0</v>
      </c>
      <c r="Y64" s="234">
        <v>0</v>
      </c>
    </row>
    <row r="65" spans="4:43" x14ac:dyDescent="0.25">
      <c r="E65" s="52"/>
      <c r="F65" s="92" t="s">
        <v>74</v>
      </c>
      <c r="G65" s="92" t="s">
        <v>74</v>
      </c>
      <c r="J65" s="234">
        <f t="array" ref="J65:Y65">TRANSPOSE('ARP_Inputs by customer type'!J627:J642)</f>
        <v>0</v>
      </c>
      <c r="K65" s="234">
        <v>0</v>
      </c>
      <c r="L65" s="229">
        <v>21705</v>
      </c>
      <c r="M65" s="234">
        <v>0</v>
      </c>
      <c r="N65" s="229">
        <v>1557</v>
      </c>
      <c r="O65" s="229">
        <v>202</v>
      </c>
      <c r="P65" s="229">
        <v>210</v>
      </c>
      <c r="Q65" s="234">
        <v>0</v>
      </c>
      <c r="R65" s="234">
        <v>0</v>
      </c>
      <c r="S65" s="234">
        <v>0</v>
      </c>
      <c r="T65" s="234">
        <v>0</v>
      </c>
      <c r="U65" s="234">
        <v>0</v>
      </c>
      <c r="V65" s="234">
        <v>0</v>
      </c>
      <c r="W65" s="234">
        <v>0</v>
      </c>
      <c r="X65" s="234">
        <v>0</v>
      </c>
      <c r="Y65" s="234">
        <v>0</v>
      </c>
    </row>
    <row r="66" spans="4:43" x14ac:dyDescent="0.25">
      <c r="E66" s="52"/>
      <c r="F66" s="92" t="s">
        <v>202</v>
      </c>
      <c r="G66" s="92" t="s">
        <v>169</v>
      </c>
      <c r="J66" s="234">
        <f t="array" ref="J66:Y66">TRANSPOSE('ARP_Inputs by customer type'!J645:J660)</f>
        <v>0</v>
      </c>
      <c r="K66" s="234">
        <v>0</v>
      </c>
      <c r="L66" s="234">
        <v>0</v>
      </c>
      <c r="M66" s="234">
        <v>0</v>
      </c>
      <c r="N66" s="229">
        <v>608702</v>
      </c>
      <c r="O66" s="229">
        <v>97640</v>
      </c>
      <c r="P66" s="229">
        <v>722539</v>
      </c>
      <c r="Q66" s="234">
        <v>0</v>
      </c>
      <c r="R66" s="234">
        <v>0</v>
      </c>
      <c r="S66" s="234">
        <v>0</v>
      </c>
      <c r="T66" s="234">
        <v>0</v>
      </c>
      <c r="U66" s="234">
        <v>0</v>
      </c>
      <c r="V66" s="234">
        <v>0</v>
      </c>
      <c r="W66" s="234">
        <v>0</v>
      </c>
      <c r="X66" s="234">
        <v>0</v>
      </c>
      <c r="Y66" s="234">
        <v>0</v>
      </c>
    </row>
    <row r="67" spans="4:43" x14ac:dyDescent="0.25">
      <c r="E67" s="52"/>
      <c r="F67" s="92" t="s">
        <v>203</v>
      </c>
      <c r="G67" s="92" t="s">
        <v>169</v>
      </c>
      <c r="J67" s="234">
        <f t="array" ref="J67:Y67">TRANSPOSE('ARP_Inputs by customer type'!J663:J678)</f>
        <v>0</v>
      </c>
      <c r="K67" s="234">
        <v>0</v>
      </c>
      <c r="L67" s="234">
        <v>0</v>
      </c>
      <c r="M67" s="234">
        <v>0</v>
      </c>
      <c r="N67" s="229">
        <v>1593</v>
      </c>
      <c r="O67" s="229">
        <v>319</v>
      </c>
      <c r="P67" s="229">
        <v>3914</v>
      </c>
      <c r="Q67" s="234">
        <v>0</v>
      </c>
      <c r="R67" s="234">
        <v>0</v>
      </c>
      <c r="S67" s="234">
        <v>0</v>
      </c>
      <c r="T67" s="234">
        <v>0</v>
      </c>
      <c r="U67" s="234">
        <v>0</v>
      </c>
      <c r="V67" s="234">
        <v>0</v>
      </c>
      <c r="W67" s="234">
        <v>0</v>
      </c>
      <c r="X67" s="234">
        <v>0</v>
      </c>
      <c r="Y67" s="234">
        <v>0</v>
      </c>
    </row>
    <row r="68" spans="4:43" x14ac:dyDescent="0.25">
      <c r="E68" s="52"/>
      <c r="F68" s="34" t="s">
        <v>204</v>
      </c>
      <c r="G68" s="34" t="s">
        <v>170</v>
      </c>
      <c r="H68" s="17"/>
      <c r="I68" s="17"/>
      <c r="J68" s="203">
        <f t="array" ref="J68:Y68">TRANSPOSE('ARP_Inputs by customer type'!J681:J696)</f>
        <v>0</v>
      </c>
      <c r="K68" s="203">
        <v>0</v>
      </c>
      <c r="L68" s="203">
        <v>0</v>
      </c>
      <c r="M68" s="203">
        <v>0</v>
      </c>
      <c r="N68" s="230">
        <v>85548.118000000002</v>
      </c>
      <c r="O68" s="230">
        <v>17164.226999999999</v>
      </c>
      <c r="P68" s="230">
        <v>139514.554</v>
      </c>
      <c r="Q68" s="203">
        <v>0</v>
      </c>
      <c r="R68" s="203">
        <v>0</v>
      </c>
      <c r="S68" s="203">
        <v>0</v>
      </c>
      <c r="T68" s="203">
        <v>0</v>
      </c>
      <c r="U68" s="203">
        <v>0</v>
      </c>
      <c r="V68" s="203">
        <v>0</v>
      </c>
      <c r="W68" s="203">
        <v>0</v>
      </c>
      <c r="X68" s="203">
        <v>0</v>
      </c>
      <c r="Y68" s="203">
        <v>0</v>
      </c>
    </row>
    <row r="69" spans="4:43" x14ac:dyDescent="0.25">
      <c r="E69" s="323"/>
      <c r="F69" s="324"/>
      <c r="G69" s="324"/>
      <c r="H69" s="322"/>
      <c r="I69" s="322"/>
      <c r="J69" s="325"/>
      <c r="K69" s="325"/>
      <c r="L69" s="325"/>
      <c r="M69" s="325"/>
      <c r="N69" s="326"/>
      <c r="O69" s="326"/>
      <c r="P69" s="326"/>
      <c r="Q69" s="325"/>
      <c r="R69" s="325"/>
      <c r="S69" s="325"/>
      <c r="T69" s="326"/>
      <c r="U69" s="325"/>
      <c r="V69" s="326"/>
      <c r="W69" s="325"/>
      <c r="X69" s="326"/>
      <c r="Y69" s="325"/>
      <c r="Z69" s="322"/>
      <c r="AA69" s="322"/>
      <c r="AB69" s="322"/>
      <c r="AC69" s="322"/>
      <c r="AD69" s="322"/>
      <c r="AE69" s="322"/>
      <c r="AF69" s="322"/>
      <c r="AG69" s="322"/>
      <c r="AH69" s="322"/>
      <c r="AI69" s="322"/>
      <c r="AJ69" s="322"/>
      <c r="AK69" s="322"/>
      <c r="AL69" s="322"/>
      <c r="AM69" s="322"/>
      <c r="AN69" s="322"/>
      <c r="AO69" s="322"/>
      <c r="AP69" s="322"/>
    </row>
    <row r="70" spans="4:43" x14ac:dyDescent="0.25">
      <c r="D70" s="73" t="s">
        <v>1047</v>
      </c>
      <c r="G70" s="91"/>
      <c r="I70" t="s">
        <v>359</v>
      </c>
      <c r="AQ70" t="s">
        <v>691</v>
      </c>
    </row>
    <row r="71" spans="4:43" x14ac:dyDescent="0.25">
      <c r="G71" s="91"/>
    </row>
    <row r="72" spans="4:43" x14ac:dyDescent="0.25">
      <c r="E72" s="52" t="s">
        <v>1048</v>
      </c>
      <c r="G72" s="91"/>
    </row>
    <row r="73" spans="4:43" x14ac:dyDescent="0.25">
      <c r="E73" s="52"/>
      <c r="F73" s="38" t="s">
        <v>199</v>
      </c>
      <c r="G73" s="38" t="s">
        <v>120</v>
      </c>
      <c r="H73" s="80"/>
      <c r="I73" s="80"/>
      <c r="J73" s="201">
        <f t="array" ref="J73:Y73">TRANSPOSE('ARP_Inputs by customer type'!J701:J716)</f>
        <v>0</v>
      </c>
      <c r="K73" s="228">
        <v>1.76</v>
      </c>
      <c r="L73" s="228">
        <v>0</v>
      </c>
      <c r="M73" s="228">
        <v>0</v>
      </c>
      <c r="N73" s="228">
        <v>0</v>
      </c>
      <c r="O73" s="201">
        <v>0</v>
      </c>
      <c r="P73" s="201">
        <v>0</v>
      </c>
      <c r="Q73" s="201">
        <v>0</v>
      </c>
      <c r="R73" s="228">
        <v>148.179</v>
      </c>
      <c r="S73" s="201">
        <v>0</v>
      </c>
      <c r="T73" s="228">
        <v>0</v>
      </c>
      <c r="U73" s="201">
        <v>0</v>
      </c>
      <c r="V73" s="201">
        <v>0</v>
      </c>
      <c r="W73" s="201">
        <v>0</v>
      </c>
      <c r="X73" s="201">
        <v>0</v>
      </c>
      <c r="Y73" s="201">
        <v>0</v>
      </c>
    </row>
    <row r="74" spans="4:43" x14ac:dyDescent="0.25">
      <c r="E74" s="52"/>
      <c r="F74" s="92" t="s">
        <v>200</v>
      </c>
      <c r="G74" s="92" t="s">
        <v>120</v>
      </c>
      <c r="J74" s="234">
        <f t="array" ref="J74:Y74">TRANSPOSE('ARP_Inputs by customer type'!J719:J734)</f>
        <v>0</v>
      </c>
      <c r="K74" s="229">
        <v>29.321000000000005</v>
      </c>
      <c r="L74" s="229">
        <v>0</v>
      </c>
      <c r="M74" s="229">
        <v>0</v>
      </c>
      <c r="N74" s="229">
        <v>0</v>
      </c>
      <c r="O74" s="234">
        <v>0</v>
      </c>
      <c r="P74" s="234">
        <v>0</v>
      </c>
      <c r="Q74" s="234">
        <v>0</v>
      </c>
      <c r="R74" s="229">
        <v>594.94400000000007</v>
      </c>
      <c r="S74" s="234">
        <v>0</v>
      </c>
      <c r="T74" s="229">
        <v>0</v>
      </c>
      <c r="U74" s="234">
        <v>0</v>
      </c>
      <c r="V74" s="234">
        <v>0</v>
      </c>
      <c r="W74" s="234">
        <v>0</v>
      </c>
      <c r="X74" s="234">
        <v>0</v>
      </c>
      <c r="Y74" s="234">
        <v>0</v>
      </c>
    </row>
    <row r="75" spans="4:43" x14ac:dyDescent="0.25">
      <c r="E75" s="52"/>
      <c r="F75" s="92" t="s">
        <v>201</v>
      </c>
      <c r="G75" s="92" t="s">
        <v>120</v>
      </c>
      <c r="J75" s="234">
        <f t="array" ref="J75:Y75">TRANSPOSE('ARP_Inputs by customer type'!J737:J752)</f>
        <v>0</v>
      </c>
      <c r="K75" s="229">
        <v>158.858</v>
      </c>
      <c r="L75" s="229">
        <v>0</v>
      </c>
      <c r="M75" s="229">
        <v>0</v>
      </c>
      <c r="N75" s="229">
        <v>0</v>
      </c>
      <c r="O75" s="234">
        <v>0</v>
      </c>
      <c r="P75" s="234">
        <v>0</v>
      </c>
      <c r="Q75" s="234">
        <v>0</v>
      </c>
      <c r="R75" s="229">
        <v>276.19200000000001</v>
      </c>
      <c r="S75" s="234">
        <v>0</v>
      </c>
      <c r="T75" s="229">
        <v>0</v>
      </c>
      <c r="U75" s="234">
        <v>0</v>
      </c>
      <c r="V75" s="234">
        <v>0</v>
      </c>
      <c r="W75" s="234">
        <v>0</v>
      </c>
      <c r="X75" s="234">
        <v>0</v>
      </c>
      <c r="Y75" s="234">
        <v>0</v>
      </c>
    </row>
    <row r="76" spans="4:43" x14ac:dyDescent="0.25">
      <c r="E76" s="52"/>
      <c r="F76" s="92" t="s">
        <v>74</v>
      </c>
      <c r="G76" s="92" t="s">
        <v>74</v>
      </c>
      <c r="J76" s="234">
        <f t="array" ref="J76:Y76">TRANSPOSE('ARP_Inputs by customer type'!J755:J770)</f>
        <v>0</v>
      </c>
      <c r="K76" s="229">
        <v>61</v>
      </c>
      <c r="L76" s="229">
        <v>0</v>
      </c>
      <c r="M76" s="229">
        <v>0</v>
      </c>
      <c r="N76" s="229">
        <v>0</v>
      </c>
      <c r="O76" s="234">
        <v>0</v>
      </c>
      <c r="P76" s="234">
        <v>0</v>
      </c>
      <c r="Q76" s="234">
        <v>0</v>
      </c>
      <c r="R76" s="229">
        <v>62</v>
      </c>
      <c r="S76" s="234">
        <v>0</v>
      </c>
      <c r="T76" s="229">
        <v>0</v>
      </c>
      <c r="U76" s="234">
        <v>0</v>
      </c>
      <c r="V76" s="234">
        <v>0</v>
      </c>
      <c r="W76" s="234">
        <v>0</v>
      </c>
      <c r="X76" s="234">
        <v>0</v>
      </c>
      <c r="Y76" s="234">
        <v>0</v>
      </c>
    </row>
    <row r="77" spans="4:43" x14ac:dyDescent="0.25">
      <c r="E77" s="52"/>
      <c r="F77" s="92" t="s">
        <v>202</v>
      </c>
      <c r="G77" s="92" t="s">
        <v>169</v>
      </c>
      <c r="J77" s="234">
        <f t="array" ref="J77:Y77">TRANSPOSE('ARP_Inputs by customer type'!J773:J788)</f>
        <v>0</v>
      </c>
      <c r="K77" s="234">
        <v>0</v>
      </c>
      <c r="L77" s="234">
        <v>0</v>
      </c>
      <c r="M77" s="234">
        <v>0</v>
      </c>
      <c r="N77" s="229">
        <v>0</v>
      </c>
      <c r="O77" s="234">
        <v>0</v>
      </c>
      <c r="P77" s="234">
        <v>0</v>
      </c>
      <c r="Q77" s="234">
        <v>0</v>
      </c>
      <c r="R77" s="234">
        <v>0</v>
      </c>
      <c r="S77" s="234">
        <v>0</v>
      </c>
      <c r="T77" s="234">
        <v>0</v>
      </c>
      <c r="U77" s="234">
        <v>0</v>
      </c>
      <c r="V77" s="234">
        <v>0</v>
      </c>
      <c r="W77" s="234">
        <v>0</v>
      </c>
      <c r="X77" s="234">
        <v>0</v>
      </c>
      <c r="Y77" s="234">
        <v>0</v>
      </c>
    </row>
    <row r="78" spans="4:43" x14ac:dyDescent="0.25">
      <c r="E78" s="52"/>
      <c r="F78" s="92" t="s">
        <v>203</v>
      </c>
      <c r="G78" s="92" t="s">
        <v>169</v>
      </c>
      <c r="J78" s="234">
        <f t="array" ref="J78:Y78">TRANSPOSE('ARP_Inputs by customer type'!J791:J806)</f>
        <v>0</v>
      </c>
      <c r="K78" s="234">
        <v>0</v>
      </c>
      <c r="L78" s="234">
        <v>0</v>
      </c>
      <c r="M78" s="234">
        <v>0</v>
      </c>
      <c r="N78" s="229">
        <v>0</v>
      </c>
      <c r="O78" s="234">
        <v>0</v>
      </c>
      <c r="P78" s="234">
        <v>0</v>
      </c>
      <c r="Q78" s="234">
        <v>0</v>
      </c>
      <c r="R78" s="234">
        <v>0</v>
      </c>
      <c r="S78" s="234">
        <v>0</v>
      </c>
      <c r="T78" s="234">
        <v>0</v>
      </c>
      <c r="U78" s="234">
        <v>0</v>
      </c>
      <c r="V78" s="234">
        <v>0</v>
      </c>
      <c r="W78" s="234">
        <v>0</v>
      </c>
      <c r="X78" s="234">
        <v>0</v>
      </c>
      <c r="Y78" s="234">
        <v>0</v>
      </c>
    </row>
    <row r="79" spans="4:43" x14ac:dyDescent="0.25">
      <c r="E79" s="52"/>
      <c r="F79" s="34" t="s">
        <v>204</v>
      </c>
      <c r="G79" s="34" t="s">
        <v>170</v>
      </c>
      <c r="H79" s="17"/>
      <c r="I79" s="17"/>
      <c r="J79" s="203">
        <f t="array" ref="J79:Y79">TRANSPOSE('ARP_Inputs by customer type'!J809:J824)</f>
        <v>0</v>
      </c>
      <c r="K79" s="203">
        <v>0</v>
      </c>
      <c r="L79" s="203">
        <v>0</v>
      </c>
      <c r="M79" s="203">
        <v>0</v>
      </c>
      <c r="N79" s="230">
        <v>0</v>
      </c>
      <c r="O79" s="203">
        <v>0</v>
      </c>
      <c r="P79" s="203">
        <v>0</v>
      </c>
      <c r="Q79" s="203">
        <v>0</v>
      </c>
      <c r="R79" s="203">
        <v>0</v>
      </c>
      <c r="S79" s="203">
        <v>0</v>
      </c>
      <c r="T79" s="230">
        <v>0</v>
      </c>
      <c r="U79" s="203">
        <v>0</v>
      </c>
      <c r="V79" s="203">
        <v>0</v>
      </c>
      <c r="W79" s="203">
        <v>0</v>
      </c>
      <c r="X79" s="203">
        <v>0</v>
      </c>
      <c r="Y79" s="203">
        <v>0</v>
      </c>
    </row>
    <row r="80" spans="4:43" x14ac:dyDescent="0.25">
      <c r="E80" s="323"/>
      <c r="F80" s="324"/>
      <c r="G80" s="324"/>
      <c r="H80" s="322"/>
      <c r="I80" s="322"/>
      <c r="J80" s="325"/>
      <c r="K80" s="325"/>
      <c r="L80" s="325"/>
      <c r="M80" s="325"/>
      <c r="N80" s="326"/>
      <c r="O80" s="326"/>
      <c r="P80" s="326"/>
      <c r="Q80" s="325"/>
      <c r="R80" s="325"/>
      <c r="S80" s="325"/>
      <c r="T80" s="326"/>
      <c r="U80" s="325"/>
      <c r="V80" s="326"/>
      <c r="W80" s="325"/>
      <c r="X80" s="326"/>
      <c r="Y80" s="325"/>
      <c r="Z80" s="322"/>
      <c r="AA80" s="322"/>
      <c r="AB80" s="322"/>
      <c r="AC80" s="322"/>
      <c r="AD80" s="322"/>
      <c r="AE80" s="322"/>
      <c r="AF80" s="322"/>
      <c r="AG80" s="322"/>
      <c r="AH80" s="322"/>
      <c r="AI80" s="322"/>
      <c r="AJ80" s="322"/>
      <c r="AK80" s="322"/>
      <c r="AL80" s="322"/>
      <c r="AM80" s="322"/>
      <c r="AN80" s="322"/>
      <c r="AO80" s="322"/>
      <c r="AP80" s="322"/>
    </row>
    <row r="81" spans="5:42" x14ac:dyDescent="0.25">
      <c r="E81" s="52" t="s">
        <v>1049</v>
      </c>
      <c r="G81" s="91"/>
    </row>
    <row r="82" spans="5:42" x14ac:dyDescent="0.25">
      <c r="E82" s="52"/>
      <c r="F82" s="38" t="s">
        <v>199</v>
      </c>
      <c r="G82" s="38" t="s">
        <v>120</v>
      </c>
      <c r="H82" s="80"/>
      <c r="I82" s="80"/>
      <c r="J82" s="228">
        <f t="array" ref="J82:Y82">TRANSPOSE('ARP_Inputs by customer type'!J829:J844)</f>
        <v>20086.258114403387</v>
      </c>
      <c r="K82" s="201">
        <v>0</v>
      </c>
      <c r="L82" s="228">
        <v>176.73692201913369</v>
      </c>
      <c r="M82" s="201">
        <v>0</v>
      </c>
      <c r="N82" s="228">
        <v>186.44116259697142</v>
      </c>
      <c r="O82" s="201">
        <v>0</v>
      </c>
      <c r="P82" s="201">
        <v>0</v>
      </c>
      <c r="Q82" s="228">
        <v>27.518494778325124</v>
      </c>
      <c r="R82" s="201">
        <v>0</v>
      </c>
      <c r="S82" s="201">
        <v>0</v>
      </c>
      <c r="T82" s="201">
        <v>0</v>
      </c>
      <c r="U82" s="201">
        <v>0</v>
      </c>
      <c r="V82" s="201">
        <v>0</v>
      </c>
      <c r="W82" s="201">
        <v>0</v>
      </c>
      <c r="X82" s="201">
        <v>0</v>
      </c>
      <c r="Y82" s="201">
        <v>0</v>
      </c>
    </row>
    <row r="83" spans="5:42" x14ac:dyDescent="0.25">
      <c r="E83" s="52"/>
      <c r="F83" s="92" t="s">
        <v>200</v>
      </c>
      <c r="G83" s="92" t="s">
        <v>120</v>
      </c>
      <c r="J83" s="229">
        <f t="array" ref="J83:Y83">TRANSPOSE('ARP_Inputs by customer type'!J847:J862)</f>
        <v>69532.309980270977</v>
      </c>
      <c r="K83" s="234">
        <v>0</v>
      </c>
      <c r="L83" s="229">
        <v>915.56999609230968</v>
      </c>
      <c r="M83" s="202">
        <v>0</v>
      </c>
      <c r="N83" s="229">
        <v>839.82213731571881</v>
      </c>
      <c r="O83" s="234">
        <v>0</v>
      </c>
      <c r="P83" s="234">
        <v>0</v>
      </c>
      <c r="Q83" s="229">
        <v>308.80785736453203</v>
      </c>
      <c r="R83" s="234">
        <v>0</v>
      </c>
      <c r="S83" s="234">
        <v>0</v>
      </c>
      <c r="T83" s="234">
        <v>0</v>
      </c>
      <c r="U83" s="234">
        <v>0</v>
      </c>
      <c r="V83" s="234">
        <v>0</v>
      </c>
      <c r="W83" s="234">
        <v>0</v>
      </c>
      <c r="X83" s="234">
        <v>0</v>
      </c>
      <c r="Y83" s="234">
        <v>0</v>
      </c>
    </row>
    <row r="84" spans="5:42" x14ac:dyDescent="0.25">
      <c r="E84" s="52"/>
      <c r="F84" s="92" t="s">
        <v>201</v>
      </c>
      <c r="G84" s="92" t="s">
        <v>120</v>
      </c>
      <c r="J84" s="229">
        <f t="array" ref="J84:Y84">TRANSPOSE('ARP_Inputs by customer type'!J865:J880)</f>
        <v>61812.930833280705</v>
      </c>
      <c r="K84" s="234">
        <v>0</v>
      </c>
      <c r="L84" s="229">
        <v>695.14352925185995</v>
      </c>
      <c r="M84" s="202">
        <v>0</v>
      </c>
      <c r="N84" s="229">
        <v>749.20020265161486</v>
      </c>
      <c r="O84" s="234">
        <v>0</v>
      </c>
      <c r="P84" s="234">
        <v>0</v>
      </c>
      <c r="Q84" s="229">
        <v>331.63771002463056</v>
      </c>
      <c r="R84" s="234">
        <v>0</v>
      </c>
      <c r="S84" s="234">
        <v>0</v>
      </c>
      <c r="T84" s="234">
        <v>0</v>
      </c>
      <c r="U84" s="234">
        <v>0</v>
      </c>
      <c r="V84" s="234">
        <v>0</v>
      </c>
      <c r="W84" s="234">
        <v>0</v>
      </c>
      <c r="X84" s="234">
        <v>0</v>
      </c>
      <c r="Y84" s="234">
        <v>0</v>
      </c>
    </row>
    <row r="85" spans="5:42" x14ac:dyDescent="0.25">
      <c r="E85" s="52"/>
      <c r="F85" s="92" t="s">
        <v>74</v>
      </c>
      <c r="G85" s="92" t="s">
        <v>74</v>
      </c>
      <c r="J85" s="229">
        <f t="array" ref="J85:Y85">TRANSPOSE('ARP_Inputs by customer type'!J883:J898)</f>
        <v>55364.654773703347</v>
      </c>
      <c r="K85" s="234">
        <v>0</v>
      </c>
      <c r="L85" s="229">
        <v>639</v>
      </c>
      <c r="M85" s="202">
        <v>0</v>
      </c>
      <c r="N85" s="229">
        <v>30</v>
      </c>
      <c r="O85" s="234">
        <v>0</v>
      </c>
      <c r="P85" s="234">
        <v>0</v>
      </c>
      <c r="Q85" s="229">
        <v>71</v>
      </c>
      <c r="R85" s="234">
        <v>0</v>
      </c>
      <c r="S85" s="234">
        <v>0</v>
      </c>
      <c r="T85" s="234">
        <v>0</v>
      </c>
      <c r="U85" s="234">
        <v>0</v>
      </c>
      <c r="V85" s="234">
        <v>0</v>
      </c>
      <c r="W85" s="234">
        <v>0</v>
      </c>
      <c r="X85" s="234">
        <v>0</v>
      </c>
      <c r="Y85" s="234">
        <v>0</v>
      </c>
    </row>
    <row r="86" spans="5:42" x14ac:dyDescent="0.25">
      <c r="E86" s="52"/>
      <c r="F86" s="92" t="s">
        <v>202</v>
      </c>
      <c r="G86" s="92" t="s">
        <v>169</v>
      </c>
      <c r="J86" s="234">
        <f t="array" ref="J86:Y86">TRANSPOSE('ARP_Inputs by customer type'!J901:J916)</f>
        <v>0</v>
      </c>
      <c r="K86" s="234">
        <v>0</v>
      </c>
      <c r="L86" s="234">
        <v>0</v>
      </c>
      <c r="M86" s="202">
        <v>0</v>
      </c>
      <c r="N86" s="229">
        <v>1490</v>
      </c>
      <c r="O86" s="234">
        <v>0</v>
      </c>
      <c r="P86" s="234">
        <v>0</v>
      </c>
      <c r="Q86" s="234">
        <v>0</v>
      </c>
      <c r="R86" s="234">
        <v>0</v>
      </c>
      <c r="S86" s="234">
        <v>0</v>
      </c>
      <c r="T86" s="234">
        <v>0</v>
      </c>
      <c r="U86" s="234">
        <v>0</v>
      </c>
      <c r="V86" s="234">
        <v>0</v>
      </c>
      <c r="W86" s="234">
        <v>0</v>
      </c>
      <c r="X86" s="234">
        <v>0</v>
      </c>
      <c r="Y86" s="234">
        <v>0</v>
      </c>
    </row>
    <row r="87" spans="5:42" x14ac:dyDescent="0.25">
      <c r="E87" s="52"/>
      <c r="F87" s="92" t="s">
        <v>203</v>
      </c>
      <c r="G87" s="92" t="s">
        <v>169</v>
      </c>
      <c r="J87" s="234">
        <f t="array" ref="J87:Y87">TRANSPOSE('ARP_Inputs by customer type'!J919:J934)</f>
        <v>0</v>
      </c>
      <c r="K87" s="234">
        <v>0</v>
      </c>
      <c r="L87" s="234">
        <v>0</v>
      </c>
      <c r="M87" s="202">
        <v>0</v>
      </c>
      <c r="N87" s="229">
        <v>5</v>
      </c>
      <c r="O87" s="234">
        <v>0</v>
      </c>
      <c r="P87" s="234">
        <v>0</v>
      </c>
      <c r="Q87" s="234">
        <v>0</v>
      </c>
      <c r="R87" s="234">
        <v>0</v>
      </c>
      <c r="S87" s="234">
        <v>0</v>
      </c>
      <c r="T87" s="234">
        <v>0</v>
      </c>
      <c r="U87" s="234">
        <v>0</v>
      </c>
      <c r="V87" s="234">
        <v>0</v>
      </c>
      <c r="W87" s="234">
        <v>0</v>
      </c>
      <c r="X87" s="234">
        <v>0</v>
      </c>
      <c r="Y87" s="234">
        <v>0</v>
      </c>
    </row>
    <row r="88" spans="5:42" x14ac:dyDescent="0.25">
      <c r="E88" s="52"/>
      <c r="F88" s="34" t="s">
        <v>204</v>
      </c>
      <c r="G88" s="34" t="s">
        <v>170</v>
      </c>
      <c r="H88" s="17"/>
      <c r="I88" s="17"/>
      <c r="J88" s="203">
        <f t="array" ref="J88:Y88">TRANSPOSE('ARP_Inputs by customer type'!J937:J952)</f>
        <v>0</v>
      </c>
      <c r="K88" s="203">
        <v>0</v>
      </c>
      <c r="L88" s="203">
        <v>0</v>
      </c>
      <c r="M88" s="203">
        <v>0</v>
      </c>
      <c r="N88" s="230">
        <v>99.444000000000003</v>
      </c>
      <c r="O88" s="203">
        <v>0</v>
      </c>
      <c r="P88" s="203">
        <v>0</v>
      </c>
      <c r="Q88" s="203">
        <v>0</v>
      </c>
      <c r="R88" s="203">
        <v>0</v>
      </c>
      <c r="S88" s="203">
        <v>0</v>
      </c>
      <c r="T88" s="203">
        <v>0</v>
      </c>
      <c r="U88" s="203">
        <v>0</v>
      </c>
      <c r="V88" s="203">
        <v>0</v>
      </c>
      <c r="W88" s="203">
        <v>0</v>
      </c>
      <c r="X88" s="203">
        <v>0</v>
      </c>
      <c r="Y88" s="203">
        <v>0</v>
      </c>
    </row>
    <row r="89" spans="5:42" x14ac:dyDescent="0.25">
      <c r="E89" s="323"/>
      <c r="F89" s="324"/>
      <c r="G89" s="324"/>
      <c r="H89" s="322"/>
      <c r="I89" s="322"/>
      <c r="J89" s="325"/>
      <c r="K89" s="325"/>
      <c r="L89" s="325"/>
      <c r="M89" s="325"/>
      <c r="N89" s="326"/>
      <c r="O89" s="325"/>
      <c r="P89" s="325"/>
      <c r="Q89" s="325"/>
      <c r="R89" s="325"/>
      <c r="S89" s="325"/>
      <c r="T89" s="326"/>
      <c r="U89" s="325"/>
      <c r="V89" s="326"/>
      <c r="W89" s="325"/>
      <c r="X89" s="326"/>
      <c r="Y89" s="325"/>
      <c r="Z89" s="322"/>
      <c r="AA89" s="322"/>
      <c r="AB89" s="322"/>
      <c r="AC89" s="322"/>
      <c r="AD89" s="322"/>
      <c r="AE89" s="322"/>
      <c r="AF89" s="322"/>
      <c r="AG89" s="322"/>
      <c r="AH89" s="322"/>
      <c r="AI89" s="322"/>
      <c r="AJ89" s="322"/>
      <c r="AK89" s="322"/>
      <c r="AL89" s="322"/>
      <c r="AM89" s="322"/>
      <c r="AN89" s="322"/>
      <c r="AO89" s="322"/>
      <c r="AP89" s="322"/>
    </row>
    <row r="90" spans="5:42" x14ac:dyDescent="0.25">
      <c r="E90" s="52" t="s">
        <v>1050</v>
      </c>
      <c r="G90" s="91"/>
    </row>
    <row r="91" spans="5:42" x14ac:dyDescent="0.25">
      <c r="E91" s="52"/>
      <c r="F91" s="38" t="s">
        <v>199</v>
      </c>
      <c r="G91" s="38" t="s">
        <v>120</v>
      </c>
      <c r="H91" s="80"/>
      <c r="I91" s="80"/>
      <c r="J91" s="201">
        <f t="array" ref="J91:Y91">TRANSPOSE('ARP_Inputs by customer type'!J957:J972)</f>
        <v>0</v>
      </c>
      <c r="K91" s="201">
        <v>0</v>
      </c>
      <c r="L91" s="228">
        <v>234.45560805277455</v>
      </c>
      <c r="M91" s="201">
        <v>0</v>
      </c>
      <c r="N91" s="228">
        <v>454.96648805542816</v>
      </c>
      <c r="O91" s="201">
        <v>0</v>
      </c>
      <c r="P91" s="201">
        <v>0</v>
      </c>
      <c r="Q91" s="201">
        <v>0</v>
      </c>
      <c r="R91" s="201">
        <v>0</v>
      </c>
      <c r="S91" s="201">
        <v>0</v>
      </c>
      <c r="T91" s="201">
        <v>0</v>
      </c>
      <c r="U91" s="201">
        <v>0</v>
      </c>
      <c r="V91" s="201">
        <v>0</v>
      </c>
      <c r="W91" s="201">
        <v>0</v>
      </c>
      <c r="X91" s="201">
        <v>0</v>
      </c>
      <c r="Y91" s="201">
        <v>0</v>
      </c>
    </row>
    <row r="92" spans="5:42" x14ac:dyDescent="0.25">
      <c r="E92" s="52"/>
      <c r="F92" s="92" t="s">
        <v>200</v>
      </c>
      <c r="G92" s="92" t="s">
        <v>120</v>
      </c>
      <c r="J92" s="234">
        <f t="array" ref="J92:Y92">TRANSPOSE('ARP_Inputs by customer type'!J975:J990)</f>
        <v>0</v>
      </c>
      <c r="K92" s="234">
        <v>0</v>
      </c>
      <c r="L92" s="229">
        <v>1214.5765451627567</v>
      </c>
      <c r="M92" s="234">
        <v>0</v>
      </c>
      <c r="N92" s="229">
        <v>2049.3914706576866</v>
      </c>
      <c r="O92" s="234">
        <v>0</v>
      </c>
      <c r="P92" s="234">
        <v>0</v>
      </c>
      <c r="Q92" s="234">
        <v>0</v>
      </c>
      <c r="R92" s="234">
        <v>0</v>
      </c>
      <c r="S92" s="234">
        <v>0</v>
      </c>
      <c r="T92" s="234">
        <v>0</v>
      </c>
      <c r="U92" s="234">
        <v>0</v>
      </c>
      <c r="V92" s="234">
        <v>0</v>
      </c>
      <c r="W92" s="234">
        <v>0</v>
      </c>
      <c r="X92" s="234">
        <v>0</v>
      </c>
      <c r="Y92" s="234">
        <v>0</v>
      </c>
    </row>
    <row r="93" spans="5:42" x14ac:dyDescent="0.25">
      <c r="E93" s="52"/>
      <c r="F93" s="92" t="s">
        <v>201</v>
      </c>
      <c r="G93" s="92" t="s">
        <v>120</v>
      </c>
      <c r="J93" s="234">
        <f t="array" ref="J93:Y93">TRANSPOSE('ARP_Inputs by customer type'!J993:J1008)</f>
        <v>0</v>
      </c>
      <c r="K93" s="234">
        <v>0</v>
      </c>
      <c r="L93" s="229">
        <v>922.1632750685344</v>
      </c>
      <c r="M93" s="234">
        <v>0</v>
      </c>
      <c r="N93" s="229">
        <v>1828.2496220411217</v>
      </c>
      <c r="O93" s="234">
        <v>0</v>
      </c>
      <c r="P93" s="234">
        <v>0</v>
      </c>
      <c r="Q93" s="234">
        <v>0</v>
      </c>
      <c r="R93" s="234">
        <v>0</v>
      </c>
      <c r="S93" s="234">
        <v>0</v>
      </c>
      <c r="T93" s="234">
        <v>0</v>
      </c>
      <c r="U93" s="234">
        <v>0</v>
      </c>
      <c r="V93" s="234">
        <v>0</v>
      </c>
      <c r="W93" s="234">
        <v>0</v>
      </c>
      <c r="X93" s="234">
        <v>0</v>
      </c>
      <c r="Y93" s="234">
        <v>0</v>
      </c>
    </row>
    <row r="94" spans="5:42" x14ac:dyDescent="0.25">
      <c r="E94" s="52"/>
      <c r="F94" s="92" t="s">
        <v>74</v>
      </c>
      <c r="G94" s="92" t="s">
        <v>74</v>
      </c>
      <c r="J94" s="234">
        <f t="array" ref="J94:Y94">TRANSPOSE('ARP_Inputs by customer type'!J1011:J1026)</f>
        <v>0</v>
      </c>
      <c r="K94" s="234">
        <v>0</v>
      </c>
      <c r="L94" s="229">
        <v>307</v>
      </c>
      <c r="M94" s="234">
        <v>0</v>
      </c>
      <c r="N94" s="229">
        <v>34</v>
      </c>
      <c r="O94" s="234">
        <v>0</v>
      </c>
      <c r="P94" s="234">
        <v>0</v>
      </c>
      <c r="Q94" s="234">
        <v>0</v>
      </c>
      <c r="R94" s="234">
        <v>0</v>
      </c>
      <c r="S94" s="234">
        <v>0</v>
      </c>
      <c r="T94" s="234">
        <v>0</v>
      </c>
      <c r="U94" s="234">
        <v>0</v>
      </c>
      <c r="V94" s="234">
        <v>0</v>
      </c>
      <c r="W94" s="234">
        <v>0</v>
      </c>
      <c r="X94" s="234">
        <v>0</v>
      </c>
      <c r="Y94" s="234">
        <v>0</v>
      </c>
    </row>
    <row r="95" spans="5:42" x14ac:dyDescent="0.25">
      <c r="E95" s="52"/>
      <c r="F95" s="92" t="s">
        <v>202</v>
      </c>
      <c r="G95" s="92" t="s">
        <v>169</v>
      </c>
      <c r="J95" s="234">
        <f t="array" ref="J95:Y95">TRANSPOSE('ARP_Inputs by customer type'!J1029:J1044)</f>
        <v>0</v>
      </c>
      <c r="K95" s="234">
        <v>0</v>
      </c>
      <c r="L95" s="234">
        <v>0</v>
      </c>
      <c r="M95" s="234">
        <v>0</v>
      </c>
      <c r="N95" s="229">
        <v>3636</v>
      </c>
      <c r="O95" s="234">
        <v>0</v>
      </c>
      <c r="P95" s="234">
        <v>0</v>
      </c>
      <c r="Q95" s="234">
        <v>0</v>
      </c>
      <c r="R95" s="234">
        <v>0</v>
      </c>
      <c r="S95" s="234">
        <v>0</v>
      </c>
      <c r="T95" s="234">
        <v>0</v>
      </c>
      <c r="U95" s="234">
        <v>0</v>
      </c>
      <c r="V95" s="234">
        <v>0</v>
      </c>
      <c r="W95" s="234">
        <v>0</v>
      </c>
      <c r="X95" s="234">
        <v>0</v>
      </c>
      <c r="Y95" s="234">
        <v>0</v>
      </c>
    </row>
    <row r="96" spans="5:42" x14ac:dyDescent="0.25">
      <c r="E96" s="52"/>
      <c r="F96" s="92" t="s">
        <v>203</v>
      </c>
      <c r="G96" s="92" t="s">
        <v>169</v>
      </c>
      <c r="J96" s="234">
        <f t="array" ref="J96:Y96">TRANSPOSE('ARP_Inputs by customer type'!J1047:J1062)</f>
        <v>0</v>
      </c>
      <c r="K96" s="234">
        <v>0</v>
      </c>
      <c r="L96" s="234">
        <v>0</v>
      </c>
      <c r="M96" s="234">
        <v>0</v>
      </c>
      <c r="N96" s="229">
        <v>12</v>
      </c>
      <c r="O96" s="234">
        <v>0</v>
      </c>
      <c r="P96" s="234">
        <v>0</v>
      </c>
      <c r="Q96" s="234">
        <v>0</v>
      </c>
      <c r="R96" s="234">
        <v>0</v>
      </c>
      <c r="S96" s="234">
        <v>0</v>
      </c>
      <c r="T96" s="234">
        <v>0</v>
      </c>
      <c r="U96" s="234">
        <v>0</v>
      </c>
      <c r="V96" s="234">
        <v>0</v>
      </c>
      <c r="W96" s="234">
        <v>0</v>
      </c>
      <c r="X96" s="234">
        <v>0</v>
      </c>
      <c r="Y96" s="234">
        <v>0</v>
      </c>
    </row>
    <row r="97" spans="5:42" x14ac:dyDescent="0.25">
      <c r="E97" s="52"/>
      <c r="F97" s="34" t="s">
        <v>204</v>
      </c>
      <c r="G97" s="34" t="s">
        <v>170</v>
      </c>
      <c r="H97" s="17"/>
      <c r="I97" s="17"/>
      <c r="J97" s="203">
        <f t="array" ref="J97:Y97">TRANSPOSE('ARP_Inputs by customer type'!J1065:J1080)</f>
        <v>0</v>
      </c>
      <c r="K97" s="203">
        <v>0</v>
      </c>
      <c r="L97" s="203">
        <v>0</v>
      </c>
      <c r="M97" s="203">
        <v>0</v>
      </c>
      <c r="N97" s="230">
        <v>242.67099999999999</v>
      </c>
      <c r="O97" s="203">
        <v>0</v>
      </c>
      <c r="P97" s="203">
        <v>0</v>
      </c>
      <c r="Q97" s="203">
        <v>0</v>
      </c>
      <c r="R97" s="203">
        <v>0</v>
      </c>
      <c r="S97" s="203">
        <v>0</v>
      </c>
      <c r="T97" s="203">
        <v>0</v>
      </c>
      <c r="U97" s="203">
        <v>0</v>
      </c>
      <c r="V97" s="203">
        <v>0</v>
      </c>
      <c r="W97" s="203">
        <v>0</v>
      </c>
      <c r="X97" s="203">
        <v>0</v>
      </c>
      <c r="Y97" s="203">
        <v>0</v>
      </c>
    </row>
    <row r="98" spans="5:42" x14ac:dyDescent="0.25">
      <c r="E98" s="323"/>
      <c r="F98" s="324"/>
      <c r="G98" s="324"/>
      <c r="H98" s="322"/>
      <c r="I98" s="322"/>
      <c r="J98" s="325"/>
      <c r="K98" s="325"/>
      <c r="L98" s="325"/>
      <c r="M98" s="325"/>
      <c r="N98" s="326"/>
      <c r="O98" s="325"/>
      <c r="P98" s="325"/>
      <c r="Q98" s="325"/>
      <c r="R98" s="325"/>
      <c r="S98" s="325"/>
      <c r="T98" s="326"/>
      <c r="U98" s="325"/>
      <c r="V98" s="326"/>
      <c r="W98" s="325"/>
      <c r="X98" s="326"/>
      <c r="Y98" s="325"/>
      <c r="Z98" s="322"/>
      <c r="AA98" s="322"/>
      <c r="AB98" s="322"/>
      <c r="AC98" s="322"/>
      <c r="AD98" s="322"/>
      <c r="AE98" s="322"/>
      <c r="AF98" s="322"/>
      <c r="AG98" s="322"/>
      <c r="AH98" s="322"/>
      <c r="AI98" s="322"/>
      <c r="AJ98" s="322"/>
      <c r="AK98" s="322"/>
      <c r="AL98" s="322"/>
      <c r="AM98" s="322"/>
      <c r="AN98" s="322"/>
      <c r="AO98" s="322"/>
      <c r="AP98" s="322"/>
    </row>
    <row r="99" spans="5:42" x14ac:dyDescent="0.25">
      <c r="E99" s="52" t="s">
        <v>1051</v>
      </c>
      <c r="G99" s="91"/>
    </row>
    <row r="100" spans="5:42" x14ac:dyDescent="0.25">
      <c r="E100" s="52"/>
      <c r="F100" s="38" t="s">
        <v>199</v>
      </c>
      <c r="G100" s="38" t="s">
        <v>120</v>
      </c>
      <c r="H100" s="80"/>
      <c r="I100" s="80"/>
      <c r="J100" s="201">
        <f t="array" ref="J100:Y100">TRANSPOSE('ARP_Inputs by customer type'!J1085:J1100)</f>
        <v>0</v>
      </c>
      <c r="K100" s="201">
        <v>0</v>
      </c>
      <c r="L100" s="228">
        <v>163.62443809251536</v>
      </c>
      <c r="M100" s="201">
        <v>0</v>
      </c>
      <c r="N100" s="228">
        <v>842.48882400362993</v>
      </c>
      <c r="O100" s="201">
        <v>0</v>
      </c>
      <c r="P100" s="201">
        <v>0</v>
      </c>
      <c r="Q100" s="201">
        <v>0</v>
      </c>
      <c r="R100" s="201">
        <v>0</v>
      </c>
      <c r="S100" s="201">
        <v>0</v>
      </c>
      <c r="T100" s="201">
        <v>0</v>
      </c>
      <c r="U100" s="201">
        <v>0</v>
      </c>
      <c r="V100" s="201">
        <v>0</v>
      </c>
      <c r="W100" s="201">
        <v>0</v>
      </c>
      <c r="X100" s="201">
        <v>0</v>
      </c>
      <c r="Y100" s="201">
        <v>0</v>
      </c>
    </row>
    <row r="101" spans="5:42" x14ac:dyDescent="0.25">
      <c r="E101" s="52"/>
      <c r="F101" s="92" t="s">
        <v>200</v>
      </c>
      <c r="G101" s="92" t="s">
        <v>120</v>
      </c>
      <c r="J101" s="234">
        <f t="array" ref="J101:Y101">TRANSPOSE('ARP_Inputs by customer type'!J1103:J1118)</f>
        <v>0</v>
      </c>
      <c r="K101" s="234">
        <v>0</v>
      </c>
      <c r="L101" s="229">
        <v>847.64193261639002</v>
      </c>
      <c r="M101" s="234">
        <v>0</v>
      </c>
      <c r="N101" s="229">
        <v>3794.9815104340501</v>
      </c>
      <c r="O101" s="234">
        <v>0</v>
      </c>
      <c r="P101" s="234">
        <v>0</v>
      </c>
      <c r="Q101" s="234">
        <v>0</v>
      </c>
      <c r="R101" s="234">
        <v>0</v>
      </c>
      <c r="S101" s="234">
        <v>0</v>
      </c>
      <c r="T101" s="234">
        <v>0</v>
      </c>
      <c r="U101" s="234">
        <v>0</v>
      </c>
      <c r="V101" s="234">
        <v>0</v>
      </c>
      <c r="W101" s="234">
        <v>0</v>
      </c>
      <c r="X101" s="234">
        <v>0</v>
      </c>
      <c r="Y101" s="234">
        <v>0</v>
      </c>
    </row>
    <row r="102" spans="5:42" x14ac:dyDescent="0.25">
      <c r="E102" s="52"/>
      <c r="F102" s="92" t="s">
        <v>201</v>
      </c>
      <c r="G102" s="92" t="s">
        <v>120</v>
      </c>
      <c r="J102" s="234">
        <f t="array" ref="J102:Y102">TRANSPOSE('ARP_Inputs by customer type'!J1121:J1136)</f>
        <v>0</v>
      </c>
      <c r="K102" s="234">
        <v>0</v>
      </c>
      <c r="L102" s="229">
        <v>643.56936891302064</v>
      </c>
      <c r="M102" s="234">
        <v>0</v>
      </c>
      <c r="N102" s="229">
        <v>3385.479841914982</v>
      </c>
      <c r="O102" s="234">
        <v>0</v>
      </c>
      <c r="P102" s="234">
        <v>0</v>
      </c>
      <c r="Q102" s="234">
        <v>0</v>
      </c>
      <c r="R102" s="234">
        <v>0</v>
      </c>
      <c r="S102" s="234">
        <v>0</v>
      </c>
      <c r="T102" s="234">
        <v>0</v>
      </c>
      <c r="U102" s="234">
        <v>0</v>
      </c>
      <c r="V102" s="234">
        <v>0</v>
      </c>
      <c r="W102" s="234">
        <v>0</v>
      </c>
      <c r="X102" s="234">
        <v>0</v>
      </c>
      <c r="Y102" s="234">
        <v>0</v>
      </c>
    </row>
    <row r="103" spans="5:42" x14ac:dyDescent="0.25">
      <c r="E103" s="52"/>
      <c r="F103" s="92" t="s">
        <v>74</v>
      </c>
      <c r="G103" s="92" t="s">
        <v>74</v>
      </c>
      <c r="J103" s="234">
        <f t="array" ref="J103:Y103">TRANSPOSE('ARP_Inputs by customer type'!J1139:J1154)</f>
        <v>0</v>
      </c>
      <c r="K103" s="234">
        <v>0</v>
      </c>
      <c r="L103" s="229">
        <v>160</v>
      </c>
      <c r="M103" s="234">
        <v>0</v>
      </c>
      <c r="N103" s="229">
        <v>36</v>
      </c>
      <c r="O103" s="234">
        <v>0</v>
      </c>
      <c r="P103" s="234">
        <v>0</v>
      </c>
      <c r="Q103" s="234">
        <v>0</v>
      </c>
      <c r="R103" s="234">
        <v>0</v>
      </c>
      <c r="S103" s="234">
        <v>0</v>
      </c>
      <c r="T103" s="234">
        <v>0</v>
      </c>
      <c r="U103" s="234">
        <v>0</v>
      </c>
      <c r="V103" s="234">
        <v>0</v>
      </c>
      <c r="W103" s="234">
        <v>0</v>
      </c>
      <c r="X103" s="234">
        <v>0</v>
      </c>
      <c r="Y103" s="234">
        <v>0</v>
      </c>
    </row>
    <row r="104" spans="5:42" x14ac:dyDescent="0.25">
      <c r="E104" s="52"/>
      <c r="F104" s="92" t="s">
        <v>202</v>
      </c>
      <c r="G104" s="92" t="s">
        <v>169</v>
      </c>
      <c r="J104" s="234">
        <f t="array" ref="J104:Y104">TRANSPOSE('ARP_Inputs by customer type'!J1157:J1172)</f>
        <v>0</v>
      </c>
      <c r="K104" s="234">
        <v>0</v>
      </c>
      <c r="L104" s="234">
        <v>0</v>
      </c>
      <c r="M104" s="234">
        <v>0</v>
      </c>
      <c r="N104" s="229">
        <v>6733</v>
      </c>
      <c r="O104" s="234">
        <v>0</v>
      </c>
      <c r="P104" s="234">
        <v>0</v>
      </c>
      <c r="Q104" s="234">
        <v>0</v>
      </c>
      <c r="R104" s="234">
        <v>0</v>
      </c>
      <c r="S104" s="234">
        <v>0</v>
      </c>
      <c r="T104" s="234">
        <v>0</v>
      </c>
      <c r="U104" s="234">
        <v>0</v>
      </c>
      <c r="V104" s="234">
        <v>0</v>
      </c>
      <c r="W104" s="234">
        <v>0</v>
      </c>
      <c r="X104" s="234">
        <v>0</v>
      </c>
      <c r="Y104" s="234">
        <v>0</v>
      </c>
    </row>
    <row r="105" spans="5:42" x14ac:dyDescent="0.25">
      <c r="E105" s="52"/>
      <c r="F105" s="92" t="s">
        <v>203</v>
      </c>
      <c r="G105" s="92" t="s">
        <v>169</v>
      </c>
      <c r="J105" s="234">
        <f t="array" ref="J105:Y105">TRANSPOSE('ARP_Inputs by customer type'!J1175:J1190)</f>
        <v>0</v>
      </c>
      <c r="K105" s="234">
        <v>0</v>
      </c>
      <c r="L105" s="234">
        <v>0</v>
      </c>
      <c r="M105" s="234">
        <v>0</v>
      </c>
      <c r="N105" s="229">
        <v>22</v>
      </c>
      <c r="O105" s="234">
        <v>0</v>
      </c>
      <c r="P105" s="234">
        <v>0</v>
      </c>
      <c r="Q105" s="234">
        <v>0</v>
      </c>
      <c r="R105" s="234">
        <v>0</v>
      </c>
      <c r="S105" s="234">
        <v>0</v>
      </c>
      <c r="T105" s="234">
        <v>0</v>
      </c>
      <c r="U105" s="234">
        <v>0</v>
      </c>
      <c r="V105" s="234">
        <v>0</v>
      </c>
      <c r="W105" s="234">
        <v>0</v>
      </c>
      <c r="X105" s="234">
        <v>0</v>
      </c>
      <c r="Y105" s="234">
        <v>0</v>
      </c>
    </row>
    <row r="106" spans="5:42" x14ac:dyDescent="0.25">
      <c r="E106" s="52"/>
      <c r="F106" s="34" t="s">
        <v>204</v>
      </c>
      <c r="G106" s="34" t="s">
        <v>170</v>
      </c>
      <c r="H106" s="17"/>
      <c r="I106" s="17"/>
      <c r="J106" s="203">
        <f t="array" ref="J106:Y106">TRANSPOSE('ARP_Inputs by customer type'!J1193:J1208)</f>
        <v>0</v>
      </c>
      <c r="K106" s="203">
        <v>0</v>
      </c>
      <c r="L106" s="203">
        <v>0</v>
      </c>
      <c r="M106" s="203">
        <v>0</v>
      </c>
      <c r="N106" s="230">
        <v>449.36799999999999</v>
      </c>
      <c r="O106" s="203">
        <v>0</v>
      </c>
      <c r="P106" s="203">
        <v>0</v>
      </c>
      <c r="Q106" s="203">
        <v>0</v>
      </c>
      <c r="R106" s="203">
        <v>0</v>
      </c>
      <c r="S106" s="203">
        <v>0</v>
      </c>
      <c r="T106" s="203">
        <v>0</v>
      </c>
      <c r="U106" s="203">
        <v>0</v>
      </c>
      <c r="V106" s="203">
        <v>0</v>
      </c>
      <c r="W106" s="203">
        <v>0</v>
      </c>
      <c r="X106" s="203">
        <v>0</v>
      </c>
      <c r="Y106" s="203">
        <v>0</v>
      </c>
    </row>
    <row r="107" spans="5:42" x14ac:dyDescent="0.25">
      <c r="E107" s="323"/>
      <c r="F107" s="324"/>
      <c r="G107" s="324"/>
      <c r="H107" s="322"/>
      <c r="I107" s="322"/>
      <c r="J107" s="325"/>
      <c r="K107" s="325"/>
      <c r="L107" s="325"/>
      <c r="M107" s="325"/>
      <c r="N107" s="326"/>
      <c r="O107" s="325"/>
      <c r="P107" s="325"/>
      <c r="Q107" s="325"/>
      <c r="R107" s="325"/>
      <c r="S107" s="325"/>
      <c r="T107" s="326"/>
      <c r="U107" s="325"/>
      <c r="V107" s="326"/>
      <c r="W107" s="325"/>
      <c r="X107" s="326"/>
      <c r="Y107" s="325"/>
      <c r="Z107" s="322"/>
      <c r="AA107" s="322"/>
      <c r="AB107" s="322"/>
      <c r="AC107" s="322"/>
      <c r="AD107" s="322"/>
      <c r="AE107" s="322"/>
      <c r="AF107" s="322"/>
      <c r="AG107" s="322"/>
      <c r="AH107" s="322"/>
      <c r="AI107" s="322"/>
      <c r="AJ107" s="322"/>
      <c r="AK107" s="322"/>
      <c r="AL107" s="322"/>
      <c r="AM107" s="322"/>
      <c r="AN107" s="322"/>
      <c r="AO107" s="322"/>
      <c r="AP107" s="322"/>
    </row>
    <row r="108" spans="5:42" x14ac:dyDescent="0.25">
      <c r="E108" s="52" t="s">
        <v>1052</v>
      </c>
      <c r="G108" s="91"/>
    </row>
    <row r="109" spans="5:42" x14ac:dyDescent="0.25">
      <c r="E109" s="52"/>
      <c r="F109" s="38" t="s">
        <v>199</v>
      </c>
      <c r="G109" s="38" t="s">
        <v>120</v>
      </c>
      <c r="H109" s="80"/>
      <c r="I109" s="80"/>
      <c r="J109" s="201">
        <f t="array" ref="J109:Y109">TRANSPOSE('ARP_Inputs by customer type'!J1213:J1228)</f>
        <v>0</v>
      </c>
      <c r="K109" s="201">
        <v>0</v>
      </c>
      <c r="L109" s="228">
        <v>274.2552933536906</v>
      </c>
      <c r="M109" s="201">
        <v>0</v>
      </c>
      <c r="N109" s="228">
        <v>610.7512178763875</v>
      </c>
      <c r="O109" s="201">
        <v>0</v>
      </c>
      <c r="P109" s="201">
        <v>0</v>
      </c>
      <c r="Q109" s="201">
        <v>0</v>
      </c>
      <c r="R109" s="201">
        <v>0</v>
      </c>
      <c r="S109" s="201">
        <v>0</v>
      </c>
      <c r="T109" s="201">
        <v>0</v>
      </c>
      <c r="U109" s="201">
        <v>0</v>
      </c>
      <c r="V109" s="201">
        <v>0</v>
      </c>
      <c r="W109" s="201">
        <v>0</v>
      </c>
      <c r="X109" s="201">
        <v>0</v>
      </c>
      <c r="Y109" s="201">
        <v>0</v>
      </c>
    </row>
    <row r="110" spans="5:42" x14ac:dyDescent="0.25">
      <c r="E110" s="52"/>
      <c r="F110" s="92" t="s">
        <v>200</v>
      </c>
      <c r="G110" s="92" t="s">
        <v>120</v>
      </c>
      <c r="J110" s="234">
        <f t="array" ref="J110:Y110">TRANSPOSE('ARP_Inputs by customer type'!J1231:J1246)</f>
        <v>0</v>
      </c>
      <c r="K110" s="234">
        <v>0</v>
      </c>
      <c r="L110" s="229">
        <v>1420.7552954721566</v>
      </c>
      <c r="M110" s="234">
        <v>0</v>
      </c>
      <c r="N110" s="229">
        <v>2751.122048481895</v>
      </c>
      <c r="O110" s="234">
        <v>0</v>
      </c>
      <c r="P110" s="234">
        <v>0</v>
      </c>
      <c r="Q110" s="234">
        <v>0</v>
      </c>
      <c r="R110" s="234">
        <v>0</v>
      </c>
      <c r="S110" s="234">
        <v>0</v>
      </c>
      <c r="T110" s="234">
        <v>0</v>
      </c>
      <c r="U110" s="234">
        <v>0</v>
      </c>
      <c r="V110" s="234">
        <v>0</v>
      </c>
      <c r="W110" s="234">
        <v>0</v>
      </c>
      <c r="X110" s="234">
        <v>0</v>
      </c>
      <c r="Y110" s="234">
        <v>0</v>
      </c>
    </row>
    <row r="111" spans="5:42" x14ac:dyDescent="0.25">
      <c r="E111" s="52"/>
      <c r="F111" s="92" t="s">
        <v>201</v>
      </c>
      <c r="G111" s="92" t="s">
        <v>120</v>
      </c>
      <c r="J111" s="234">
        <f t="array" ref="J111:Y111">TRANSPOSE('ARP_Inputs by customer type'!J1249:J1264)</f>
        <v>0</v>
      </c>
      <c r="K111" s="234">
        <v>0</v>
      </c>
      <c r="L111" s="229">
        <v>1078.7038178544778</v>
      </c>
      <c r="M111" s="234">
        <v>0</v>
      </c>
      <c r="N111" s="229">
        <v>2454.2591873439815</v>
      </c>
      <c r="O111" s="234">
        <v>0</v>
      </c>
      <c r="P111" s="234">
        <v>0</v>
      </c>
      <c r="Q111" s="234">
        <v>0</v>
      </c>
      <c r="R111" s="234">
        <v>0</v>
      </c>
      <c r="S111" s="234">
        <v>0</v>
      </c>
      <c r="T111" s="234">
        <v>0</v>
      </c>
      <c r="U111" s="234">
        <v>0</v>
      </c>
      <c r="V111" s="234">
        <v>0</v>
      </c>
      <c r="W111" s="234">
        <v>0</v>
      </c>
      <c r="X111" s="234">
        <v>0</v>
      </c>
      <c r="Y111" s="234">
        <v>0</v>
      </c>
    </row>
    <row r="112" spans="5:42" x14ac:dyDescent="0.25">
      <c r="E112" s="52"/>
      <c r="F112" s="92" t="s">
        <v>74</v>
      </c>
      <c r="G112" s="92" t="s">
        <v>74</v>
      </c>
      <c r="J112" s="234">
        <f t="array" ref="J112:Y112">TRANSPOSE('ARP_Inputs by customer type'!J1267:J1282)</f>
        <v>0</v>
      </c>
      <c r="K112" s="234">
        <v>0</v>
      </c>
      <c r="L112" s="229">
        <v>87</v>
      </c>
      <c r="M112" s="234">
        <v>0</v>
      </c>
      <c r="N112" s="229">
        <v>9</v>
      </c>
      <c r="O112" s="234">
        <v>0</v>
      </c>
      <c r="P112" s="234">
        <v>0</v>
      </c>
      <c r="Q112" s="234">
        <v>0</v>
      </c>
      <c r="R112" s="234">
        <v>0</v>
      </c>
      <c r="S112" s="234">
        <v>0</v>
      </c>
      <c r="T112" s="234">
        <v>0</v>
      </c>
      <c r="U112" s="234">
        <v>0</v>
      </c>
      <c r="V112" s="234">
        <v>0</v>
      </c>
      <c r="W112" s="234">
        <v>0</v>
      </c>
      <c r="X112" s="234">
        <v>0</v>
      </c>
      <c r="Y112" s="234">
        <v>0</v>
      </c>
    </row>
    <row r="113" spans="4:43" x14ac:dyDescent="0.25">
      <c r="E113" s="52"/>
      <c r="F113" s="92" t="s">
        <v>202</v>
      </c>
      <c r="G113" s="92" t="s">
        <v>169</v>
      </c>
      <c r="J113" s="234">
        <f t="array" ref="J113:Y113">TRANSPOSE('ARP_Inputs by customer type'!J1285:J1300)</f>
        <v>0</v>
      </c>
      <c r="K113" s="234">
        <v>0</v>
      </c>
      <c r="L113" s="234">
        <v>0</v>
      </c>
      <c r="M113" s="234">
        <v>0</v>
      </c>
      <c r="N113" s="229">
        <v>4881</v>
      </c>
      <c r="O113" s="234">
        <v>0</v>
      </c>
      <c r="P113" s="234">
        <v>0</v>
      </c>
      <c r="Q113" s="234">
        <v>0</v>
      </c>
      <c r="R113" s="234">
        <v>0</v>
      </c>
      <c r="S113" s="234">
        <v>0</v>
      </c>
      <c r="T113" s="234">
        <v>0</v>
      </c>
      <c r="U113" s="234">
        <v>0</v>
      </c>
      <c r="V113" s="234">
        <v>0</v>
      </c>
      <c r="W113" s="234">
        <v>0</v>
      </c>
      <c r="X113" s="234">
        <v>0</v>
      </c>
      <c r="Y113" s="234">
        <v>0</v>
      </c>
    </row>
    <row r="114" spans="4:43" x14ac:dyDescent="0.25">
      <c r="E114" s="52"/>
      <c r="F114" s="92" t="s">
        <v>203</v>
      </c>
      <c r="G114" s="92" t="s">
        <v>169</v>
      </c>
      <c r="J114" s="234">
        <f t="array" ref="J114:Y114">TRANSPOSE('ARP_Inputs by customer type'!J1303:J1318)</f>
        <v>0</v>
      </c>
      <c r="K114" s="234">
        <v>0</v>
      </c>
      <c r="L114" s="234">
        <v>0</v>
      </c>
      <c r="M114" s="234">
        <v>0</v>
      </c>
      <c r="N114" s="229">
        <v>16</v>
      </c>
      <c r="O114" s="234">
        <v>0</v>
      </c>
      <c r="P114" s="234">
        <v>0</v>
      </c>
      <c r="Q114" s="234">
        <v>0</v>
      </c>
      <c r="R114" s="234">
        <v>0</v>
      </c>
      <c r="S114" s="234">
        <v>0</v>
      </c>
      <c r="T114" s="234">
        <v>0</v>
      </c>
      <c r="U114" s="234">
        <v>0</v>
      </c>
      <c r="V114" s="234">
        <v>0</v>
      </c>
      <c r="W114" s="234">
        <v>0</v>
      </c>
      <c r="X114" s="234">
        <v>0</v>
      </c>
      <c r="Y114" s="234">
        <v>0</v>
      </c>
    </row>
    <row r="115" spans="4:43" x14ac:dyDescent="0.25">
      <c r="E115" s="52"/>
      <c r="F115" s="34" t="s">
        <v>204</v>
      </c>
      <c r="G115" s="34" t="s">
        <v>170</v>
      </c>
      <c r="H115" s="17"/>
      <c r="I115" s="17"/>
      <c r="J115" s="203">
        <f t="array" ref="J115:Y115">TRANSPOSE('ARP_Inputs by customer type'!J1321:J1336)</f>
        <v>0</v>
      </c>
      <c r="K115" s="203">
        <v>0</v>
      </c>
      <c r="L115" s="203">
        <v>0</v>
      </c>
      <c r="M115" s="203">
        <v>0</v>
      </c>
      <c r="N115" s="230">
        <v>325.76400000000001</v>
      </c>
      <c r="O115" s="203">
        <v>0</v>
      </c>
      <c r="P115" s="203">
        <v>0</v>
      </c>
      <c r="Q115" s="203">
        <v>0</v>
      </c>
      <c r="R115" s="203">
        <v>0</v>
      </c>
      <c r="S115" s="203">
        <v>0</v>
      </c>
      <c r="T115" s="203">
        <v>0</v>
      </c>
      <c r="U115" s="203">
        <v>0</v>
      </c>
      <c r="V115" s="203">
        <v>0</v>
      </c>
      <c r="W115" s="203">
        <v>0</v>
      </c>
      <c r="X115" s="203">
        <v>0</v>
      </c>
      <c r="Y115" s="203">
        <v>0</v>
      </c>
    </row>
    <row r="116" spans="4:43" x14ac:dyDescent="0.25">
      <c r="E116" s="323"/>
      <c r="F116" s="324"/>
      <c r="G116" s="324"/>
      <c r="H116" s="322"/>
      <c r="I116" s="322"/>
      <c r="J116" s="325"/>
      <c r="K116" s="325"/>
      <c r="L116" s="325"/>
      <c r="M116" s="325"/>
      <c r="N116" s="326"/>
      <c r="O116" s="326"/>
      <c r="P116" s="326"/>
      <c r="Q116" s="325"/>
      <c r="R116" s="325"/>
      <c r="S116" s="325"/>
      <c r="T116" s="326"/>
      <c r="U116" s="325"/>
      <c r="V116" s="326"/>
      <c r="W116" s="325"/>
      <c r="X116" s="326"/>
      <c r="Y116" s="325"/>
      <c r="Z116" s="322"/>
      <c r="AA116" s="322"/>
      <c r="AB116" s="322"/>
      <c r="AC116" s="322"/>
      <c r="AD116" s="322"/>
      <c r="AE116" s="322"/>
      <c r="AF116" s="322"/>
      <c r="AG116" s="322"/>
      <c r="AH116" s="322"/>
      <c r="AI116" s="322"/>
      <c r="AJ116" s="322"/>
      <c r="AK116" s="322"/>
      <c r="AL116" s="322"/>
      <c r="AM116" s="322"/>
      <c r="AN116" s="322"/>
      <c r="AO116" s="322"/>
      <c r="AP116" s="322"/>
    </row>
    <row r="117" spans="4:43" x14ac:dyDescent="0.25">
      <c r="D117" s="73" t="s">
        <v>1053</v>
      </c>
      <c r="G117" s="91"/>
      <c r="I117" t="s">
        <v>359</v>
      </c>
      <c r="AQ117" t="s">
        <v>691</v>
      </c>
    </row>
    <row r="118" spans="4:43" x14ac:dyDescent="0.25">
      <c r="G118" s="91"/>
    </row>
    <row r="119" spans="4:43" x14ac:dyDescent="0.25">
      <c r="E119" s="52" t="s">
        <v>1054</v>
      </c>
      <c r="G119" s="91"/>
    </row>
    <row r="120" spans="4:43" x14ac:dyDescent="0.25">
      <c r="E120" s="52"/>
      <c r="F120" s="38" t="s">
        <v>199</v>
      </c>
      <c r="G120" s="38" t="s">
        <v>120</v>
      </c>
      <c r="H120" s="80"/>
      <c r="I120" s="80"/>
      <c r="J120" s="201">
        <f t="array" ref="J120:Y120">TRANSPOSE('ARP_Inputs by customer type'!J1341:J1356)</f>
        <v>0</v>
      </c>
      <c r="K120" s="228">
        <v>0</v>
      </c>
      <c r="L120" s="228">
        <v>0</v>
      </c>
      <c r="M120" s="228">
        <v>0</v>
      </c>
      <c r="N120" s="228">
        <v>0</v>
      </c>
      <c r="O120" s="228">
        <v>0</v>
      </c>
      <c r="P120" s="228">
        <v>0</v>
      </c>
      <c r="Q120" s="201">
        <v>0</v>
      </c>
      <c r="R120" s="228">
        <v>560.25500000000011</v>
      </c>
      <c r="S120" s="228">
        <v>7.944</v>
      </c>
      <c r="T120" s="228">
        <v>0</v>
      </c>
      <c r="U120" s="201">
        <v>0</v>
      </c>
      <c r="V120" s="228">
        <v>0</v>
      </c>
      <c r="W120" s="201">
        <v>0</v>
      </c>
      <c r="X120" s="228">
        <v>0</v>
      </c>
      <c r="Y120" s="201">
        <v>0</v>
      </c>
    </row>
    <row r="121" spans="4:43" x14ac:dyDescent="0.25">
      <c r="E121" s="52"/>
      <c r="F121" s="92" t="s">
        <v>200</v>
      </c>
      <c r="G121" s="92" t="s">
        <v>120</v>
      </c>
      <c r="J121" s="234">
        <f t="array" ref="J121:Y121">TRANSPOSE('ARP_Inputs by customer type'!J1359:J1374)</f>
        <v>0</v>
      </c>
      <c r="K121" s="229">
        <v>13.045000000000002</v>
      </c>
      <c r="L121" s="229">
        <v>0</v>
      </c>
      <c r="M121" s="229">
        <v>0</v>
      </c>
      <c r="N121" s="229">
        <v>0</v>
      </c>
      <c r="O121" s="229">
        <v>0</v>
      </c>
      <c r="P121" s="229">
        <v>0</v>
      </c>
      <c r="Q121" s="234">
        <v>0</v>
      </c>
      <c r="R121" s="229">
        <v>2047.2030000000002</v>
      </c>
      <c r="S121" s="229">
        <v>28.603999999999999</v>
      </c>
      <c r="T121" s="229">
        <v>0</v>
      </c>
      <c r="U121" s="234">
        <v>0</v>
      </c>
      <c r="V121" s="229">
        <v>0</v>
      </c>
      <c r="W121" s="234">
        <v>0</v>
      </c>
      <c r="X121" s="229">
        <v>0</v>
      </c>
      <c r="Y121" s="234">
        <v>0</v>
      </c>
    </row>
    <row r="122" spans="4:43" x14ac:dyDescent="0.25">
      <c r="E122" s="52"/>
      <c r="F122" s="92" t="s">
        <v>201</v>
      </c>
      <c r="G122" s="92" t="s">
        <v>120</v>
      </c>
      <c r="J122" s="234">
        <f t="array" ref="J122:Y122">TRANSPOSE('ARP_Inputs by customer type'!J1377:J1392)</f>
        <v>0</v>
      </c>
      <c r="K122" s="229">
        <v>250.68800000000002</v>
      </c>
      <c r="L122" s="229">
        <v>0</v>
      </c>
      <c r="M122" s="229">
        <v>0</v>
      </c>
      <c r="N122" s="229">
        <v>0</v>
      </c>
      <c r="O122" s="229">
        <v>0</v>
      </c>
      <c r="P122" s="229">
        <v>0</v>
      </c>
      <c r="Q122" s="234">
        <v>0</v>
      </c>
      <c r="R122" s="229">
        <v>914.25899999999979</v>
      </c>
      <c r="S122" s="229">
        <v>13.100000000000001</v>
      </c>
      <c r="T122" s="229">
        <v>0</v>
      </c>
      <c r="U122" s="234">
        <v>0</v>
      </c>
      <c r="V122" s="229">
        <v>0</v>
      </c>
      <c r="W122" s="234">
        <v>0</v>
      </c>
      <c r="X122" s="229">
        <v>0</v>
      </c>
      <c r="Y122" s="234">
        <v>0</v>
      </c>
    </row>
    <row r="123" spans="4:43" x14ac:dyDescent="0.25">
      <c r="E123" s="52"/>
      <c r="F123" s="92" t="s">
        <v>74</v>
      </c>
      <c r="G123" s="92" t="s">
        <v>74</v>
      </c>
      <c r="J123" s="234">
        <f t="array" ref="J123:Y123">TRANSPOSE('ARP_Inputs by customer type'!J1395:J1410)</f>
        <v>0</v>
      </c>
      <c r="K123" s="229">
        <v>70</v>
      </c>
      <c r="L123" s="229">
        <v>0</v>
      </c>
      <c r="M123" s="229">
        <v>0</v>
      </c>
      <c r="N123" s="229">
        <v>0</v>
      </c>
      <c r="O123" s="229">
        <v>0</v>
      </c>
      <c r="P123" s="229">
        <v>0</v>
      </c>
      <c r="Q123" s="234">
        <v>0</v>
      </c>
      <c r="R123" s="229">
        <v>521</v>
      </c>
      <c r="S123" s="229">
        <v>1</v>
      </c>
      <c r="T123" s="229">
        <v>0</v>
      </c>
      <c r="U123" s="234">
        <v>0</v>
      </c>
      <c r="V123" s="229">
        <v>0</v>
      </c>
      <c r="W123" s="234">
        <v>0</v>
      </c>
      <c r="X123" s="229">
        <v>0</v>
      </c>
      <c r="Y123" s="234">
        <v>0</v>
      </c>
    </row>
    <row r="124" spans="4:43" x14ac:dyDescent="0.25">
      <c r="E124" s="52"/>
      <c r="F124" s="92" t="s">
        <v>202</v>
      </c>
      <c r="G124" s="92" t="s">
        <v>169</v>
      </c>
      <c r="J124" s="234">
        <f t="array" ref="J124:Y124">TRANSPOSE('ARP_Inputs by customer type'!J1413:J1428)</f>
        <v>0</v>
      </c>
      <c r="K124" s="234">
        <v>0</v>
      </c>
      <c r="L124" s="234">
        <v>0</v>
      </c>
      <c r="M124" s="234">
        <v>0</v>
      </c>
      <c r="N124" s="229">
        <v>0</v>
      </c>
      <c r="O124" s="229">
        <v>0</v>
      </c>
      <c r="P124" s="229">
        <v>0</v>
      </c>
      <c r="Q124" s="234">
        <v>0</v>
      </c>
      <c r="R124" s="234">
        <v>0</v>
      </c>
      <c r="S124" s="234">
        <v>0</v>
      </c>
      <c r="T124" s="234">
        <v>0</v>
      </c>
      <c r="U124" s="234">
        <v>0</v>
      </c>
      <c r="V124" s="234">
        <v>0</v>
      </c>
      <c r="W124" s="234">
        <v>0</v>
      </c>
      <c r="X124" s="234">
        <v>0</v>
      </c>
      <c r="Y124" s="234">
        <v>0</v>
      </c>
    </row>
    <row r="125" spans="4:43" x14ac:dyDescent="0.25">
      <c r="E125" s="52"/>
      <c r="F125" s="92" t="s">
        <v>203</v>
      </c>
      <c r="G125" s="92" t="s">
        <v>169</v>
      </c>
      <c r="J125" s="234">
        <f t="array" ref="J125:Y125">TRANSPOSE('ARP_Inputs by customer type'!J1431:J1446)</f>
        <v>0</v>
      </c>
      <c r="K125" s="234">
        <v>0</v>
      </c>
      <c r="L125" s="234">
        <v>0</v>
      </c>
      <c r="M125" s="234">
        <v>0</v>
      </c>
      <c r="N125" s="229">
        <v>0</v>
      </c>
      <c r="O125" s="229">
        <v>0</v>
      </c>
      <c r="P125" s="229">
        <v>0</v>
      </c>
      <c r="Q125" s="234">
        <v>0</v>
      </c>
      <c r="R125" s="234">
        <v>0</v>
      </c>
      <c r="S125" s="234">
        <v>0</v>
      </c>
      <c r="T125" s="234">
        <v>0</v>
      </c>
      <c r="U125" s="234">
        <v>0</v>
      </c>
      <c r="V125" s="234">
        <v>0</v>
      </c>
      <c r="W125" s="234">
        <v>0</v>
      </c>
      <c r="X125" s="234">
        <v>0</v>
      </c>
      <c r="Y125" s="234">
        <v>0</v>
      </c>
    </row>
    <row r="126" spans="4:43" x14ac:dyDescent="0.25">
      <c r="E126" s="52"/>
      <c r="F126" s="34" t="s">
        <v>204</v>
      </c>
      <c r="G126" s="34" t="s">
        <v>170</v>
      </c>
      <c r="H126" s="17"/>
      <c r="I126" s="17"/>
      <c r="J126" s="203">
        <f t="array" ref="J126:Y126">TRANSPOSE('ARP_Inputs by customer type'!J1449:J1464)</f>
        <v>0</v>
      </c>
      <c r="K126" s="203">
        <v>0</v>
      </c>
      <c r="L126" s="203">
        <v>0</v>
      </c>
      <c r="M126" s="203">
        <v>0</v>
      </c>
      <c r="N126" s="230">
        <v>0</v>
      </c>
      <c r="O126" s="230">
        <v>0</v>
      </c>
      <c r="P126" s="230">
        <v>0</v>
      </c>
      <c r="Q126" s="203">
        <v>0</v>
      </c>
      <c r="R126" s="203">
        <v>0</v>
      </c>
      <c r="S126" s="203">
        <v>0</v>
      </c>
      <c r="T126" s="230">
        <v>0</v>
      </c>
      <c r="U126" s="203">
        <v>0</v>
      </c>
      <c r="V126" s="230">
        <v>0</v>
      </c>
      <c r="W126" s="203">
        <v>0</v>
      </c>
      <c r="X126" s="230">
        <v>0</v>
      </c>
      <c r="Y126" s="203">
        <v>0</v>
      </c>
    </row>
    <row r="127" spans="4:43" x14ac:dyDescent="0.25">
      <c r="E127" s="323"/>
      <c r="F127" s="324"/>
      <c r="G127" s="324"/>
      <c r="H127" s="322"/>
      <c r="I127" s="322"/>
      <c r="J127" s="325"/>
      <c r="K127" s="325"/>
      <c r="L127" s="325"/>
      <c r="M127" s="325"/>
      <c r="N127" s="326"/>
      <c r="O127" s="326"/>
      <c r="P127" s="326"/>
      <c r="Q127" s="325"/>
      <c r="R127" s="325"/>
      <c r="S127" s="325"/>
      <c r="T127" s="326"/>
      <c r="U127" s="325"/>
      <c r="V127" s="326"/>
      <c r="W127" s="325"/>
      <c r="X127" s="326"/>
      <c r="Y127" s="325"/>
      <c r="Z127" s="322"/>
      <c r="AA127" s="322"/>
      <c r="AB127" s="322"/>
      <c r="AC127" s="322"/>
      <c r="AD127" s="322"/>
      <c r="AE127" s="322"/>
      <c r="AF127" s="322"/>
      <c r="AG127" s="322"/>
      <c r="AH127" s="322"/>
      <c r="AI127" s="322"/>
      <c r="AJ127" s="322"/>
      <c r="AK127" s="322"/>
      <c r="AL127" s="322"/>
      <c r="AM127" s="322"/>
      <c r="AN127" s="322"/>
      <c r="AO127" s="322"/>
      <c r="AP127" s="322"/>
    </row>
    <row r="128" spans="4:43" x14ac:dyDescent="0.25">
      <c r="E128" s="52" t="s">
        <v>1055</v>
      </c>
      <c r="G128" s="91"/>
    </row>
    <row r="129" spans="5:42" x14ac:dyDescent="0.25">
      <c r="E129" s="52"/>
      <c r="F129" s="38" t="s">
        <v>199</v>
      </c>
      <c r="G129" s="38" t="s">
        <v>120</v>
      </c>
      <c r="H129" s="80"/>
      <c r="I129" s="80"/>
      <c r="J129" s="228">
        <f t="array" ref="J129:Y129">TRANSPOSE('ARP_Inputs by customer type'!J1469:J1484)</f>
        <v>32626.366864146377</v>
      </c>
      <c r="K129" s="201">
        <v>0</v>
      </c>
      <c r="L129" s="228">
        <v>228.32699061290884</v>
      </c>
      <c r="M129" s="201">
        <v>0</v>
      </c>
      <c r="N129" s="228">
        <v>730.50928978556692</v>
      </c>
      <c r="O129" s="228">
        <v>0</v>
      </c>
      <c r="P129" s="228">
        <v>405.92264581550916</v>
      </c>
      <c r="Q129" s="228">
        <v>24.693411835748794</v>
      </c>
      <c r="R129" s="201">
        <v>0</v>
      </c>
      <c r="S129" s="201">
        <v>0</v>
      </c>
      <c r="T129" s="201">
        <v>0</v>
      </c>
      <c r="U129" s="201">
        <v>0</v>
      </c>
      <c r="V129" s="201">
        <v>0</v>
      </c>
      <c r="W129" s="201">
        <v>0</v>
      </c>
      <c r="X129" s="201">
        <v>0</v>
      </c>
      <c r="Y129" s="201">
        <v>0</v>
      </c>
    </row>
    <row r="130" spans="5:42" x14ac:dyDescent="0.25">
      <c r="E130" s="52"/>
      <c r="F130" s="92" t="s">
        <v>200</v>
      </c>
      <c r="G130" s="92" t="s">
        <v>120</v>
      </c>
      <c r="J130" s="229">
        <f t="array" ref="J130:Y130">TRANSPOSE('ARP_Inputs by customer type'!J1487:J1502)</f>
        <v>111734.49537012567</v>
      </c>
      <c r="K130" s="234">
        <v>0</v>
      </c>
      <c r="L130" s="229">
        <v>1184.7621059224277</v>
      </c>
      <c r="M130" s="202">
        <v>0</v>
      </c>
      <c r="N130" s="229">
        <v>3229.4664471734022</v>
      </c>
      <c r="O130" s="229">
        <v>0</v>
      </c>
      <c r="P130" s="229">
        <v>1796.7110888868503</v>
      </c>
      <c r="Q130" s="229">
        <v>294.53399033816419</v>
      </c>
      <c r="R130" s="234">
        <v>0</v>
      </c>
      <c r="S130" s="234">
        <v>0</v>
      </c>
      <c r="T130" s="234">
        <v>0</v>
      </c>
      <c r="U130" s="234">
        <v>0</v>
      </c>
      <c r="V130" s="234">
        <v>0</v>
      </c>
      <c r="W130" s="234">
        <v>0</v>
      </c>
      <c r="X130" s="234">
        <v>0</v>
      </c>
      <c r="Y130" s="234">
        <v>0</v>
      </c>
    </row>
    <row r="131" spans="5:42" x14ac:dyDescent="0.25">
      <c r="E131" s="52"/>
      <c r="F131" s="92" t="s">
        <v>201</v>
      </c>
      <c r="G131" s="92" t="s">
        <v>120</v>
      </c>
      <c r="J131" s="229">
        <f t="array" ref="J131:Y131">TRANSPOSE('ARP_Inputs by customer type'!J1505:J1520)</f>
        <v>100076.82667142931</v>
      </c>
      <c r="K131" s="234">
        <v>0</v>
      </c>
      <c r="L131" s="229">
        <v>924.10191609268861</v>
      </c>
      <c r="M131" s="202">
        <v>0</v>
      </c>
      <c r="N131" s="229">
        <v>2941.2496578870246</v>
      </c>
      <c r="O131" s="229">
        <v>0</v>
      </c>
      <c r="P131" s="229">
        <v>2105.8513088995433</v>
      </c>
      <c r="Q131" s="229">
        <v>338.79760084541061</v>
      </c>
      <c r="R131" s="234">
        <v>0</v>
      </c>
      <c r="S131" s="234">
        <v>0</v>
      </c>
      <c r="T131" s="234">
        <v>0</v>
      </c>
      <c r="U131" s="234">
        <v>0</v>
      </c>
      <c r="V131" s="234">
        <v>0</v>
      </c>
      <c r="W131" s="234">
        <v>0</v>
      </c>
      <c r="X131" s="234">
        <v>0</v>
      </c>
      <c r="Y131" s="234">
        <v>0</v>
      </c>
    </row>
    <row r="132" spans="5:42" x14ac:dyDescent="0.25">
      <c r="E132" s="52"/>
      <c r="F132" s="92" t="s">
        <v>74</v>
      </c>
      <c r="G132" s="92" t="s">
        <v>74</v>
      </c>
      <c r="J132" s="229">
        <f t="array" ref="J132:Y132">TRANSPOSE('ARP_Inputs by customer type'!J1523:J1538)</f>
        <v>84249.703927492461</v>
      </c>
      <c r="K132" s="234">
        <v>0</v>
      </c>
      <c r="L132" s="229">
        <v>587</v>
      </c>
      <c r="M132" s="202">
        <v>0</v>
      </c>
      <c r="N132" s="229">
        <v>89</v>
      </c>
      <c r="O132" s="229">
        <v>0</v>
      </c>
      <c r="P132" s="229">
        <v>9</v>
      </c>
      <c r="Q132" s="229">
        <v>71</v>
      </c>
      <c r="R132" s="234">
        <v>0</v>
      </c>
      <c r="S132" s="234">
        <v>0</v>
      </c>
      <c r="T132" s="234">
        <v>0</v>
      </c>
      <c r="U132" s="234">
        <v>0</v>
      </c>
      <c r="V132" s="234">
        <v>0</v>
      </c>
      <c r="W132" s="234">
        <v>0</v>
      </c>
      <c r="X132" s="234">
        <v>0</v>
      </c>
      <c r="Y132" s="234">
        <v>0</v>
      </c>
    </row>
    <row r="133" spans="5:42" x14ac:dyDescent="0.25">
      <c r="E133" s="52"/>
      <c r="F133" s="92" t="s">
        <v>202</v>
      </c>
      <c r="G133" s="92" t="s">
        <v>169</v>
      </c>
      <c r="J133" s="234">
        <f t="array" ref="J133:Y133">TRANSPOSE('ARP_Inputs by customer type'!J1541:J1556)</f>
        <v>0</v>
      </c>
      <c r="K133" s="234">
        <v>0</v>
      </c>
      <c r="L133" s="234">
        <v>0</v>
      </c>
      <c r="M133" s="202">
        <v>0</v>
      </c>
      <c r="N133" s="229">
        <v>4960</v>
      </c>
      <c r="O133" s="229">
        <v>0</v>
      </c>
      <c r="P133" s="229">
        <v>2743</v>
      </c>
      <c r="Q133" s="234">
        <v>0</v>
      </c>
      <c r="R133" s="234">
        <v>0</v>
      </c>
      <c r="S133" s="234">
        <v>0</v>
      </c>
      <c r="T133" s="234">
        <v>0</v>
      </c>
      <c r="U133" s="234">
        <v>0</v>
      </c>
      <c r="V133" s="234">
        <v>0</v>
      </c>
      <c r="W133" s="234">
        <v>0</v>
      </c>
      <c r="X133" s="234">
        <v>0</v>
      </c>
      <c r="Y133" s="234">
        <v>0</v>
      </c>
    </row>
    <row r="134" spans="5:42" x14ac:dyDescent="0.25">
      <c r="E134" s="52"/>
      <c r="F134" s="92" t="s">
        <v>203</v>
      </c>
      <c r="G134" s="92" t="s">
        <v>169</v>
      </c>
      <c r="J134" s="234">
        <f t="array" ref="J134:Y134">TRANSPOSE('ARP_Inputs by customer type'!J1559:J1574)</f>
        <v>0</v>
      </c>
      <c r="K134" s="234">
        <v>0</v>
      </c>
      <c r="L134" s="234">
        <v>0</v>
      </c>
      <c r="M134" s="202">
        <v>0</v>
      </c>
      <c r="N134" s="229">
        <v>12</v>
      </c>
      <c r="O134" s="229">
        <v>0</v>
      </c>
      <c r="P134" s="229">
        <v>12</v>
      </c>
      <c r="Q134" s="234">
        <v>0</v>
      </c>
      <c r="R134" s="234">
        <v>0</v>
      </c>
      <c r="S134" s="234">
        <v>0</v>
      </c>
      <c r="T134" s="234">
        <v>0</v>
      </c>
      <c r="U134" s="234">
        <v>0</v>
      </c>
      <c r="V134" s="234">
        <v>0</v>
      </c>
      <c r="W134" s="234">
        <v>0</v>
      </c>
      <c r="X134" s="234">
        <v>0</v>
      </c>
      <c r="Y134" s="234">
        <v>0</v>
      </c>
    </row>
    <row r="135" spans="5:42" x14ac:dyDescent="0.25">
      <c r="E135" s="52"/>
      <c r="F135" s="34" t="s">
        <v>204</v>
      </c>
      <c r="G135" s="34" t="s">
        <v>170</v>
      </c>
      <c r="H135" s="17"/>
      <c r="I135" s="17"/>
      <c r="J135" s="203">
        <f t="array" ref="J135:Y135">TRANSPOSE('ARP_Inputs by customer type'!J1577:J1592)</f>
        <v>0</v>
      </c>
      <c r="K135" s="203">
        <v>0</v>
      </c>
      <c r="L135" s="203">
        <v>0</v>
      </c>
      <c r="M135" s="203">
        <v>0</v>
      </c>
      <c r="N135" s="230">
        <v>335.12900000000002</v>
      </c>
      <c r="O135" s="230">
        <v>0</v>
      </c>
      <c r="P135" s="230">
        <v>139.03299999999999</v>
      </c>
      <c r="Q135" s="203">
        <v>0</v>
      </c>
      <c r="R135" s="203">
        <v>0</v>
      </c>
      <c r="S135" s="203">
        <v>0</v>
      </c>
      <c r="T135" s="203">
        <v>0</v>
      </c>
      <c r="U135" s="203">
        <v>0</v>
      </c>
      <c r="V135" s="203">
        <v>0</v>
      </c>
      <c r="W135" s="203">
        <v>0</v>
      </c>
      <c r="X135" s="203">
        <v>0</v>
      </c>
      <c r="Y135" s="203">
        <v>0</v>
      </c>
    </row>
    <row r="136" spans="5:42" x14ac:dyDescent="0.25">
      <c r="E136" s="323"/>
      <c r="F136" s="324"/>
      <c r="G136" s="324"/>
      <c r="H136" s="322"/>
      <c r="I136" s="322"/>
      <c r="J136" s="325"/>
      <c r="K136" s="325"/>
      <c r="L136" s="325"/>
      <c r="M136" s="325"/>
      <c r="N136" s="326"/>
      <c r="O136" s="326"/>
      <c r="P136" s="326"/>
      <c r="Q136" s="325"/>
      <c r="R136" s="325"/>
      <c r="S136" s="325"/>
      <c r="T136" s="326"/>
      <c r="U136" s="325"/>
      <c r="V136" s="326"/>
      <c r="W136" s="325"/>
      <c r="X136" s="326"/>
      <c r="Y136" s="325"/>
      <c r="Z136" s="322"/>
      <c r="AA136" s="322"/>
      <c r="AB136" s="322"/>
      <c r="AC136" s="322"/>
      <c r="AD136" s="322"/>
      <c r="AE136" s="322"/>
      <c r="AF136" s="322"/>
      <c r="AG136" s="322"/>
      <c r="AH136" s="322"/>
      <c r="AI136" s="322"/>
      <c r="AJ136" s="322"/>
      <c r="AK136" s="322"/>
      <c r="AL136" s="322"/>
      <c r="AM136" s="322"/>
      <c r="AN136" s="322"/>
      <c r="AO136" s="322"/>
      <c r="AP136" s="322"/>
    </row>
    <row r="137" spans="5:42" x14ac:dyDescent="0.25">
      <c r="E137" s="52" t="s">
        <v>1056</v>
      </c>
      <c r="G137" s="91"/>
    </row>
    <row r="138" spans="5:42" x14ac:dyDescent="0.25">
      <c r="E138" s="52"/>
      <c r="F138" s="38" t="s">
        <v>199</v>
      </c>
      <c r="G138" s="38" t="s">
        <v>120</v>
      </c>
      <c r="H138" s="80"/>
      <c r="I138" s="80"/>
      <c r="J138" s="201">
        <f t="array" ref="J138:Y138">TRANSPOSE('ARP_Inputs by customer type'!J1597:J1612)</f>
        <v>0</v>
      </c>
      <c r="K138" s="201">
        <v>0</v>
      </c>
      <c r="L138" s="228">
        <v>359.61296770970398</v>
      </c>
      <c r="M138" s="201">
        <v>0</v>
      </c>
      <c r="N138" s="228">
        <v>2384.6120788141361</v>
      </c>
      <c r="O138" s="228">
        <v>49.851444293283741</v>
      </c>
      <c r="P138" s="228">
        <v>546.80429321484007</v>
      </c>
      <c r="Q138" s="201">
        <v>0</v>
      </c>
      <c r="R138" s="201">
        <v>0</v>
      </c>
      <c r="S138" s="201">
        <v>0</v>
      </c>
      <c r="T138" s="201">
        <v>0</v>
      </c>
      <c r="U138" s="201">
        <v>0</v>
      </c>
      <c r="V138" s="201">
        <v>0</v>
      </c>
      <c r="W138" s="201">
        <v>0</v>
      </c>
      <c r="X138" s="201">
        <v>0</v>
      </c>
      <c r="Y138" s="201">
        <v>0</v>
      </c>
    </row>
    <row r="139" spans="5:42" x14ac:dyDescent="0.25">
      <c r="E139" s="52"/>
      <c r="F139" s="92" t="s">
        <v>200</v>
      </c>
      <c r="G139" s="92" t="s">
        <v>120</v>
      </c>
      <c r="J139" s="234">
        <f t="array" ref="J139:Y139">TRANSPOSE('ARP_Inputs by customer type'!J1615:J1630)</f>
        <v>0</v>
      </c>
      <c r="K139" s="234">
        <v>0</v>
      </c>
      <c r="L139" s="417">
        <v>1865.9897185045068</v>
      </c>
      <c r="M139" s="234">
        <v>0</v>
      </c>
      <c r="N139" s="229">
        <v>10541.994202859791</v>
      </c>
      <c r="O139" s="229">
        <v>227.46351702797563</v>
      </c>
      <c r="P139" s="229">
        <v>2420.2870847382105</v>
      </c>
      <c r="Q139" s="234">
        <v>0</v>
      </c>
      <c r="R139" s="234">
        <v>0</v>
      </c>
      <c r="S139" s="234">
        <v>0</v>
      </c>
      <c r="T139" s="234">
        <v>0</v>
      </c>
      <c r="U139" s="234">
        <v>0</v>
      </c>
      <c r="V139" s="234">
        <v>0</v>
      </c>
      <c r="W139" s="234">
        <v>0</v>
      </c>
      <c r="X139" s="234">
        <v>0</v>
      </c>
      <c r="Y139" s="234">
        <v>0</v>
      </c>
    </row>
    <row r="140" spans="5:42" x14ac:dyDescent="0.25">
      <c r="E140" s="52"/>
      <c r="F140" s="92" t="s">
        <v>201</v>
      </c>
      <c r="G140" s="92" t="s">
        <v>120</v>
      </c>
      <c r="J140" s="234">
        <f t="array" ref="J140:Y140">TRANSPOSE('ARP_Inputs by customer type'!J1633:J1648)</f>
        <v>0</v>
      </c>
      <c r="K140" s="234">
        <v>0</v>
      </c>
      <c r="L140" s="417">
        <v>1455.4522512658536</v>
      </c>
      <c r="M140" s="234">
        <v>0</v>
      </c>
      <c r="N140" s="229">
        <v>9601.1639538001637</v>
      </c>
      <c r="O140" s="229">
        <v>208.87225658450117</v>
      </c>
      <c r="P140" s="229">
        <v>2836.719134664168</v>
      </c>
      <c r="Q140" s="234">
        <v>0</v>
      </c>
      <c r="R140" s="234">
        <v>0</v>
      </c>
      <c r="S140" s="234">
        <v>0</v>
      </c>
      <c r="T140" s="234">
        <v>0</v>
      </c>
      <c r="U140" s="234">
        <v>0</v>
      </c>
      <c r="V140" s="234">
        <v>0</v>
      </c>
      <c r="W140" s="234">
        <v>0</v>
      </c>
      <c r="X140" s="234">
        <v>0</v>
      </c>
      <c r="Y140" s="234">
        <v>0</v>
      </c>
    </row>
    <row r="141" spans="5:42" x14ac:dyDescent="0.25">
      <c r="E141" s="52"/>
      <c r="F141" s="92" t="s">
        <v>74</v>
      </c>
      <c r="G141" s="92" t="s">
        <v>74</v>
      </c>
      <c r="J141" s="234">
        <f t="array" ref="J141:Y141">TRANSPOSE('ARP_Inputs by customer type'!J1651:J1666)</f>
        <v>0</v>
      </c>
      <c r="K141" s="234">
        <v>0</v>
      </c>
      <c r="L141" s="229">
        <v>497</v>
      </c>
      <c r="M141" s="234">
        <v>0</v>
      </c>
      <c r="N141" s="229">
        <v>140</v>
      </c>
      <c r="O141" s="229">
        <v>3</v>
      </c>
      <c r="P141" s="229">
        <v>6</v>
      </c>
      <c r="Q141" s="234">
        <v>0</v>
      </c>
      <c r="R141" s="234">
        <v>0</v>
      </c>
      <c r="S141" s="234">
        <v>0</v>
      </c>
      <c r="T141" s="234">
        <v>0</v>
      </c>
      <c r="U141" s="234">
        <v>0</v>
      </c>
      <c r="V141" s="234">
        <v>0</v>
      </c>
      <c r="W141" s="234">
        <v>0</v>
      </c>
      <c r="X141" s="234">
        <v>0</v>
      </c>
      <c r="Y141" s="234">
        <v>0</v>
      </c>
    </row>
    <row r="142" spans="5:42" x14ac:dyDescent="0.25">
      <c r="E142" s="52"/>
      <c r="F142" s="92" t="s">
        <v>202</v>
      </c>
      <c r="G142" s="92" t="s">
        <v>169</v>
      </c>
      <c r="J142" s="234">
        <f t="array" ref="J142:Y142">TRANSPOSE('ARP_Inputs by customer type'!J1669:J1684)</f>
        <v>0</v>
      </c>
      <c r="K142" s="234">
        <v>0</v>
      </c>
      <c r="L142" s="234">
        <v>0</v>
      </c>
      <c r="M142" s="234">
        <v>0</v>
      </c>
      <c r="N142" s="229">
        <v>16191</v>
      </c>
      <c r="O142" s="229">
        <v>327</v>
      </c>
      <c r="P142" s="229">
        <v>3695</v>
      </c>
      <c r="Q142" s="234">
        <v>0</v>
      </c>
      <c r="R142" s="234">
        <v>0</v>
      </c>
      <c r="S142" s="234">
        <v>0</v>
      </c>
      <c r="T142" s="234">
        <v>0</v>
      </c>
      <c r="U142" s="234">
        <v>0</v>
      </c>
      <c r="V142" s="234">
        <v>0</v>
      </c>
      <c r="W142" s="234">
        <v>0</v>
      </c>
      <c r="X142" s="234">
        <v>0</v>
      </c>
      <c r="Y142" s="234">
        <v>0</v>
      </c>
    </row>
    <row r="143" spans="5:42" x14ac:dyDescent="0.25">
      <c r="E143" s="52"/>
      <c r="F143" s="92" t="s">
        <v>203</v>
      </c>
      <c r="G143" s="92" t="s">
        <v>169</v>
      </c>
      <c r="J143" s="234">
        <f t="array" ref="J143:Y143">TRANSPOSE('ARP_Inputs by customer type'!J1687:J1702)</f>
        <v>0</v>
      </c>
      <c r="K143" s="234">
        <v>0</v>
      </c>
      <c r="L143" s="234">
        <v>0</v>
      </c>
      <c r="M143" s="234">
        <v>0</v>
      </c>
      <c r="N143" s="229">
        <v>39</v>
      </c>
      <c r="O143" s="229">
        <v>0</v>
      </c>
      <c r="P143" s="229">
        <v>17</v>
      </c>
      <c r="Q143" s="234">
        <v>0</v>
      </c>
      <c r="R143" s="234">
        <v>0</v>
      </c>
      <c r="S143" s="234">
        <v>0</v>
      </c>
      <c r="T143" s="234">
        <v>0</v>
      </c>
      <c r="U143" s="234">
        <v>0</v>
      </c>
      <c r="V143" s="234">
        <v>0</v>
      </c>
      <c r="W143" s="234">
        <v>0</v>
      </c>
      <c r="X143" s="234">
        <v>0</v>
      </c>
      <c r="Y143" s="234">
        <v>0</v>
      </c>
    </row>
    <row r="144" spans="5:42" x14ac:dyDescent="0.25">
      <c r="E144" s="52"/>
      <c r="F144" s="34" t="s">
        <v>204</v>
      </c>
      <c r="G144" s="34" t="s">
        <v>170</v>
      </c>
      <c r="H144" s="17"/>
      <c r="I144" s="17"/>
      <c r="J144" s="203">
        <f t="array" ref="J144:Y144">TRANSPOSE('ARP_Inputs by customer type'!J1705:J1720)</f>
        <v>0</v>
      </c>
      <c r="K144" s="203">
        <v>0</v>
      </c>
      <c r="L144" s="203">
        <v>0</v>
      </c>
      <c r="M144" s="203">
        <v>0</v>
      </c>
      <c r="N144" s="230">
        <v>1093.9659999999999</v>
      </c>
      <c r="O144" s="230">
        <v>26.922000000000001</v>
      </c>
      <c r="P144" s="230">
        <v>187.28700000000001</v>
      </c>
      <c r="Q144" s="203">
        <v>0</v>
      </c>
      <c r="R144" s="203">
        <v>0</v>
      </c>
      <c r="S144" s="203">
        <v>0</v>
      </c>
      <c r="T144" s="203">
        <v>0</v>
      </c>
      <c r="U144" s="203">
        <v>0</v>
      </c>
      <c r="V144" s="203">
        <v>0</v>
      </c>
      <c r="W144" s="203">
        <v>0</v>
      </c>
      <c r="X144" s="203">
        <v>0</v>
      </c>
      <c r="Y144" s="203">
        <v>0</v>
      </c>
    </row>
    <row r="145" spans="5:42" x14ac:dyDescent="0.25">
      <c r="E145" s="323"/>
      <c r="F145" s="324"/>
      <c r="G145" s="324"/>
      <c r="H145" s="322"/>
      <c r="I145" s="322"/>
      <c r="J145" s="325"/>
      <c r="K145" s="325"/>
      <c r="L145" s="325"/>
      <c r="M145" s="325"/>
      <c r="N145" s="326"/>
      <c r="O145" s="326"/>
      <c r="P145" s="326"/>
      <c r="Q145" s="325"/>
      <c r="R145" s="325"/>
      <c r="S145" s="325"/>
      <c r="T145" s="326"/>
      <c r="U145" s="325"/>
      <c r="V145" s="326"/>
      <c r="W145" s="325"/>
      <c r="X145" s="326"/>
      <c r="Y145" s="325"/>
      <c r="Z145" s="322"/>
      <c r="AA145" s="322"/>
      <c r="AB145" s="322"/>
      <c r="AC145" s="322"/>
      <c r="AD145" s="322"/>
      <c r="AE145" s="322"/>
      <c r="AF145" s="322"/>
      <c r="AG145" s="322"/>
      <c r="AH145" s="322"/>
      <c r="AI145" s="322"/>
      <c r="AJ145" s="322"/>
      <c r="AK145" s="322"/>
      <c r="AL145" s="322"/>
      <c r="AM145" s="322"/>
      <c r="AN145" s="322"/>
      <c r="AO145" s="322"/>
      <c r="AP145" s="322"/>
    </row>
    <row r="146" spans="5:42" x14ac:dyDescent="0.25">
      <c r="E146" s="52" t="s">
        <v>1057</v>
      </c>
      <c r="G146" s="91"/>
    </row>
    <row r="147" spans="5:42" x14ac:dyDescent="0.25">
      <c r="E147" s="52"/>
      <c r="F147" s="38" t="s">
        <v>199</v>
      </c>
      <c r="G147" s="38" t="s">
        <v>120</v>
      </c>
      <c r="H147" s="80"/>
      <c r="I147" s="80"/>
      <c r="J147" s="201">
        <f t="array" ref="J147:Y147">TRANSPOSE('ARP_Inputs by customer type'!J1725:J1740)</f>
        <v>0</v>
      </c>
      <c r="K147" s="201">
        <v>0</v>
      </c>
      <c r="L147" s="228">
        <v>568.53660376461573</v>
      </c>
      <c r="M147" s="201">
        <v>0</v>
      </c>
      <c r="N147" s="228">
        <v>2728.2165491910973</v>
      </c>
      <c r="O147" s="228">
        <v>34.301452495378719</v>
      </c>
      <c r="P147" s="228">
        <v>1687.0281306222398</v>
      </c>
      <c r="Q147" s="201">
        <v>0</v>
      </c>
      <c r="R147" s="201">
        <v>0</v>
      </c>
      <c r="S147" s="201">
        <v>0</v>
      </c>
      <c r="T147" s="201">
        <v>0</v>
      </c>
      <c r="U147" s="201">
        <v>0</v>
      </c>
      <c r="V147" s="201">
        <v>0</v>
      </c>
      <c r="W147" s="201">
        <v>0</v>
      </c>
      <c r="X147" s="201">
        <v>0</v>
      </c>
      <c r="Y147" s="201">
        <v>0</v>
      </c>
    </row>
    <row r="148" spans="5:42" x14ac:dyDescent="0.25">
      <c r="E148" s="52"/>
      <c r="F148" s="92" t="s">
        <v>200</v>
      </c>
      <c r="G148" s="92" t="s">
        <v>120</v>
      </c>
      <c r="J148" s="234">
        <f t="array" ref="J148:Y148">TRANSPOSE('ARP_Inputs by customer type'!J1743:J1758)</f>
        <v>0</v>
      </c>
      <c r="K148" s="234">
        <v>0</v>
      </c>
      <c r="L148" s="229">
        <v>2950.0700822186059</v>
      </c>
      <c r="M148" s="234">
        <v>0</v>
      </c>
      <c r="N148" s="229">
        <v>12061.015416822602</v>
      </c>
      <c r="O148" s="229">
        <v>156.51159428530434</v>
      </c>
      <c r="P148" s="229">
        <v>7467.1915469595669</v>
      </c>
      <c r="Q148" s="234">
        <v>0</v>
      </c>
      <c r="R148" s="234">
        <v>0</v>
      </c>
      <c r="S148" s="234">
        <v>0</v>
      </c>
      <c r="T148" s="234">
        <v>0</v>
      </c>
      <c r="U148" s="234">
        <v>0</v>
      </c>
      <c r="V148" s="234">
        <v>0</v>
      </c>
      <c r="W148" s="234">
        <v>0</v>
      </c>
      <c r="X148" s="234">
        <v>0</v>
      </c>
      <c r="Y148" s="234">
        <v>0</v>
      </c>
    </row>
    <row r="149" spans="5:42" x14ac:dyDescent="0.25">
      <c r="E149" s="52"/>
      <c r="F149" s="92" t="s">
        <v>201</v>
      </c>
      <c r="G149" s="92" t="s">
        <v>120</v>
      </c>
      <c r="J149" s="234">
        <f t="array" ref="J149:Y149">TRANSPOSE('ARP_Inputs by customer type'!J1761:J1776)</f>
        <v>0</v>
      </c>
      <c r="K149" s="234">
        <v>0</v>
      </c>
      <c r="L149" s="229">
        <v>2301.0234729472559</v>
      </c>
      <c r="M149" s="234">
        <v>0</v>
      </c>
      <c r="N149" s="229">
        <v>10984.618681995815</v>
      </c>
      <c r="O149" s="229">
        <v>143.71944260401457</v>
      </c>
      <c r="P149" s="229">
        <v>8751.988669870505</v>
      </c>
      <c r="Q149" s="234">
        <v>0</v>
      </c>
      <c r="R149" s="234">
        <v>0</v>
      </c>
      <c r="S149" s="234">
        <v>0</v>
      </c>
      <c r="T149" s="234">
        <v>0</v>
      </c>
      <c r="U149" s="234">
        <v>0</v>
      </c>
      <c r="V149" s="234">
        <v>0</v>
      </c>
      <c r="W149" s="234">
        <v>0</v>
      </c>
      <c r="X149" s="234">
        <v>0</v>
      </c>
      <c r="Y149" s="234">
        <v>0</v>
      </c>
    </row>
    <row r="150" spans="5:42" x14ac:dyDescent="0.25">
      <c r="E150" s="52"/>
      <c r="F150" s="92" t="s">
        <v>74</v>
      </c>
      <c r="G150" s="92" t="s">
        <v>74</v>
      </c>
      <c r="J150" s="234">
        <f t="array" ref="J150:Y150">TRANSPOSE('ARP_Inputs by customer type'!J1779:J1794)</f>
        <v>0</v>
      </c>
      <c r="K150" s="234">
        <v>0</v>
      </c>
      <c r="L150" s="229">
        <v>350</v>
      </c>
      <c r="M150" s="234">
        <v>0</v>
      </c>
      <c r="N150" s="229">
        <v>100</v>
      </c>
      <c r="O150" s="229">
        <v>1</v>
      </c>
      <c r="P150" s="229">
        <v>8</v>
      </c>
      <c r="Q150" s="234">
        <v>0</v>
      </c>
      <c r="R150" s="234">
        <v>0</v>
      </c>
      <c r="S150" s="234">
        <v>0</v>
      </c>
      <c r="T150" s="234">
        <v>0</v>
      </c>
      <c r="U150" s="234">
        <v>0</v>
      </c>
      <c r="V150" s="234">
        <v>0</v>
      </c>
      <c r="W150" s="234">
        <v>0</v>
      </c>
      <c r="X150" s="234">
        <v>0</v>
      </c>
      <c r="Y150" s="234">
        <v>0</v>
      </c>
    </row>
    <row r="151" spans="5:42" x14ac:dyDescent="0.25">
      <c r="E151" s="52"/>
      <c r="F151" s="92" t="s">
        <v>202</v>
      </c>
      <c r="G151" s="92" t="s">
        <v>169</v>
      </c>
      <c r="J151" s="234">
        <f t="array" ref="J151:Y151">TRANSPOSE('ARP_Inputs by customer type'!J1797:J1812)</f>
        <v>0</v>
      </c>
      <c r="K151" s="234">
        <v>0</v>
      </c>
      <c r="L151" s="234">
        <v>0</v>
      </c>
      <c r="M151" s="234">
        <v>0</v>
      </c>
      <c r="N151" s="229">
        <v>18524</v>
      </c>
      <c r="O151" s="229">
        <v>225</v>
      </c>
      <c r="P151" s="229">
        <v>11400</v>
      </c>
      <c r="Q151" s="234">
        <v>0</v>
      </c>
      <c r="R151" s="234">
        <v>0</v>
      </c>
      <c r="S151" s="234">
        <v>0</v>
      </c>
      <c r="T151" s="234">
        <v>0</v>
      </c>
      <c r="U151" s="234">
        <v>0</v>
      </c>
      <c r="V151" s="234">
        <v>0</v>
      </c>
      <c r="W151" s="234">
        <v>0</v>
      </c>
      <c r="X151" s="234">
        <v>0</v>
      </c>
      <c r="Y151" s="234">
        <v>0</v>
      </c>
    </row>
    <row r="152" spans="5:42" x14ac:dyDescent="0.25">
      <c r="E152" s="52"/>
      <c r="F152" s="92" t="s">
        <v>203</v>
      </c>
      <c r="G152" s="92" t="s">
        <v>169</v>
      </c>
      <c r="J152" s="234">
        <f t="array" ref="J152:Y152">TRANSPOSE('ARP_Inputs by customer type'!J1815:J1830)</f>
        <v>0</v>
      </c>
      <c r="K152" s="234">
        <v>0</v>
      </c>
      <c r="L152" s="234">
        <v>0</v>
      </c>
      <c r="M152" s="234">
        <v>0</v>
      </c>
      <c r="N152" s="229">
        <v>45</v>
      </c>
      <c r="O152" s="229">
        <v>0</v>
      </c>
      <c r="P152" s="229">
        <v>51</v>
      </c>
      <c r="Q152" s="234">
        <v>0</v>
      </c>
      <c r="R152" s="234">
        <v>0</v>
      </c>
      <c r="S152" s="234">
        <v>0</v>
      </c>
      <c r="T152" s="234">
        <v>0</v>
      </c>
      <c r="U152" s="234">
        <v>0</v>
      </c>
      <c r="V152" s="234">
        <v>0</v>
      </c>
      <c r="W152" s="234">
        <v>0</v>
      </c>
      <c r="X152" s="234">
        <v>0</v>
      </c>
      <c r="Y152" s="234">
        <v>0</v>
      </c>
    </row>
    <row r="153" spans="5:42" x14ac:dyDescent="0.25">
      <c r="E153" s="52"/>
      <c r="F153" s="34" t="s">
        <v>204</v>
      </c>
      <c r="G153" s="34" t="s">
        <v>170</v>
      </c>
      <c r="H153" s="17"/>
      <c r="I153" s="17"/>
      <c r="J153" s="203">
        <f t="array" ref="J153:Y153">TRANSPOSE('ARP_Inputs by customer type'!J1833:J1848)</f>
        <v>0</v>
      </c>
      <c r="K153" s="203">
        <v>0</v>
      </c>
      <c r="L153" s="203">
        <v>0</v>
      </c>
      <c r="M153" s="203">
        <v>0</v>
      </c>
      <c r="N153" s="230">
        <v>1251.598</v>
      </c>
      <c r="O153" s="230">
        <v>18.524000000000001</v>
      </c>
      <c r="P153" s="230">
        <v>577.82799999999997</v>
      </c>
      <c r="Q153" s="203">
        <v>0</v>
      </c>
      <c r="R153" s="203">
        <v>0</v>
      </c>
      <c r="S153" s="203">
        <v>0</v>
      </c>
      <c r="T153" s="203">
        <v>0</v>
      </c>
      <c r="U153" s="203">
        <v>0</v>
      </c>
      <c r="V153" s="203">
        <v>0</v>
      </c>
      <c r="W153" s="203">
        <v>0</v>
      </c>
      <c r="X153" s="203">
        <v>0</v>
      </c>
      <c r="Y153" s="203">
        <v>0</v>
      </c>
    </row>
    <row r="154" spans="5:42" x14ac:dyDescent="0.25">
      <c r="E154" s="323"/>
      <c r="F154" s="324"/>
      <c r="G154" s="324"/>
      <c r="H154" s="322"/>
      <c r="I154" s="322"/>
      <c r="J154" s="325"/>
      <c r="K154" s="325"/>
      <c r="L154" s="325"/>
      <c r="M154" s="325"/>
      <c r="N154" s="326"/>
      <c r="O154" s="326"/>
      <c r="P154" s="326"/>
      <c r="Q154" s="325"/>
      <c r="R154" s="325"/>
      <c r="S154" s="325"/>
      <c r="T154" s="326"/>
      <c r="U154" s="325"/>
      <c r="V154" s="326"/>
      <c r="W154" s="325"/>
      <c r="X154" s="326"/>
      <c r="Y154" s="325"/>
      <c r="Z154" s="322"/>
      <c r="AA154" s="322"/>
      <c r="AB154" s="322"/>
      <c r="AC154" s="322"/>
      <c r="AD154" s="322"/>
      <c r="AE154" s="322"/>
      <c r="AF154" s="322"/>
      <c r="AG154" s="322"/>
      <c r="AH154" s="322"/>
      <c r="AI154" s="322"/>
      <c r="AJ154" s="322"/>
      <c r="AK154" s="322"/>
      <c r="AL154" s="322"/>
      <c r="AM154" s="322"/>
      <c r="AN154" s="322"/>
      <c r="AO154" s="322"/>
      <c r="AP154" s="322"/>
    </row>
    <row r="155" spans="5:42" x14ac:dyDescent="0.25">
      <c r="E155" s="52" t="s">
        <v>1058</v>
      </c>
      <c r="G155" s="91"/>
    </row>
    <row r="156" spans="5:42" x14ac:dyDescent="0.25">
      <c r="E156" s="52"/>
      <c r="F156" s="38" t="s">
        <v>199</v>
      </c>
      <c r="G156" s="38" t="s">
        <v>120</v>
      </c>
      <c r="H156" s="80"/>
      <c r="I156" s="80"/>
      <c r="J156" s="201">
        <f t="array" ref="J156:Y156">TRANSPOSE('ARP_Inputs by customer type'!J1853:J1868)</f>
        <v>0</v>
      </c>
      <c r="K156" s="201">
        <v>0</v>
      </c>
      <c r="L156" s="228">
        <v>1205.2358848878739</v>
      </c>
      <c r="M156" s="201">
        <v>0</v>
      </c>
      <c r="N156" s="228">
        <v>10015.193994900874</v>
      </c>
      <c r="O156" s="228">
        <v>3162.4414691739385</v>
      </c>
      <c r="P156" s="228">
        <v>2811.7135510370663</v>
      </c>
      <c r="Q156" s="201">
        <v>0</v>
      </c>
      <c r="R156" s="201">
        <v>0</v>
      </c>
      <c r="S156" s="201">
        <v>0</v>
      </c>
      <c r="T156" s="201">
        <v>0</v>
      </c>
      <c r="U156" s="201">
        <v>0</v>
      </c>
      <c r="V156" s="201">
        <v>0</v>
      </c>
      <c r="W156" s="201">
        <v>0</v>
      </c>
      <c r="X156" s="201">
        <v>0</v>
      </c>
      <c r="Y156" s="201">
        <v>0</v>
      </c>
    </row>
    <row r="157" spans="5:42" x14ac:dyDescent="0.25">
      <c r="E157" s="52"/>
      <c r="F157" s="92" t="s">
        <v>200</v>
      </c>
      <c r="G157" s="92" t="s">
        <v>120</v>
      </c>
      <c r="J157" s="234">
        <f t="array" ref="J157:Y157">TRANSPOSE('ARP_Inputs by customer type'!J1871:J1886)</f>
        <v>0</v>
      </c>
      <c r="K157" s="234">
        <v>0</v>
      </c>
      <c r="L157" s="229">
        <v>6253.8283418881465</v>
      </c>
      <c r="M157" s="234">
        <v>0</v>
      </c>
      <c r="N157" s="229">
        <v>44275.594329483574</v>
      </c>
      <c r="O157" s="229">
        <v>14429.673386019347</v>
      </c>
      <c r="P157" s="229">
        <v>12445.319244932612</v>
      </c>
      <c r="Q157" s="234">
        <v>0</v>
      </c>
      <c r="R157" s="234">
        <v>0</v>
      </c>
      <c r="S157" s="234">
        <v>0</v>
      </c>
      <c r="T157" s="234">
        <v>0</v>
      </c>
      <c r="U157" s="234">
        <v>0</v>
      </c>
      <c r="V157" s="234">
        <v>0</v>
      </c>
      <c r="W157" s="234">
        <v>0</v>
      </c>
      <c r="X157" s="234">
        <v>0</v>
      </c>
      <c r="Y157" s="234">
        <v>0</v>
      </c>
    </row>
    <row r="158" spans="5:42" x14ac:dyDescent="0.25">
      <c r="E158" s="52"/>
      <c r="F158" s="92" t="s">
        <v>201</v>
      </c>
      <c r="G158" s="92" t="s">
        <v>120</v>
      </c>
      <c r="J158" s="234">
        <f t="array" ref="J158:Y158">TRANSPOSE('ARP_Inputs by customer type'!J1889:J1904)</f>
        <v>0</v>
      </c>
      <c r="K158" s="234">
        <v>0</v>
      </c>
      <c r="L158" s="229">
        <v>4877.9199847500777</v>
      </c>
      <c r="M158" s="234">
        <v>0</v>
      </c>
      <c r="N158" s="229">
        <v>40324.177013301523</v>
      </c>
      <c r="O158" s="229">
        <v>13250.293855011902</v>
      </c>
      <c r="P158" s="229">
        <v>14586.647783117507</v>
      </c>
      <c r="Q158" s="234">
        <v>0</v>
      </c>
      <c r="R158" s="234">
        <v>0</v>
      </c>
      <c r="S158" s="234">
        <v>0</v>
      </c>
      <c r="T158" s="234">
        <v>0</v>
      </c>
      <c r="U158" s="234">
        <v>0</v>
      </c>
      <c r="V158" s="234">
        <v>0</v>
      </c>
      <c r="W158" s="234">
        <v>0</v>
      </c>
      <c r="X158" s="234">
        <v>0</v>
      </c>
      <c r="Y158" s="234">
        <v>0</v>
      </c>
    </row>
    <row r="159" spans="5:42" x14ac:dyDescent="0.25">
      <c r="E159" s="52"/>
      <c r="F159" s="92" t="s">
        <v>74</v>
      </c>
      <c r="G159" s="92" t="s">
        <v>74</v>
      </c>
      <c r="J159" s="234">
        <f t="array" ref="J159:Y159">TRANSPOSE('ARP_Inputs by customer type'!J1907:J1922)</f>
        <v>0</v>
      </c>
      <c r="K159" s="234">
        <v>0</v>
      </c>
      <c r="L159" s="229">
        <v>288</v>
      </c>
      <c r="M159" s="234">
        <v>0</v>
      </c>
      <c r="N159" s="229">
        <v>152</v>
      </c>
      <c r="O159" s="229">
        <v>34</v>
      </c>
      <c r="P159" s="229">
        <v>7</v>
      </c>
      <c r="Q159" s="234">
        <v>0</v>
      </c>
      <c r="R159" s="234">
        <v>0</v>
      </c>
      <c r="S159" s="234">
        <v>0</v>
      </c>
      <c r="T159" s="234">
        <v>0</v>
      </c>
      <c r="U159" s="234">
        <v>0</v>
      </c>
      <c r="V159" s="234">
        <v>0</v>
      </c>
      <c r="W159" s="234">
        <v>0</v>
      </c>
      <c r="X159" s="234">
        <v>0</v>
      </c>
      <c r="Y159" s="234">
        <v>0</v>
      </c>
    </row>
    <row r="160" spans="5:42" x14ac:dyDescent="0.25">
      <c r="E160" s="52"/>
      <c r="F160" s="92" t="s">
        <v>202</v>
      </c>
      <c r="G160" s="92" t="s">
        <v>169</v>
      </c>
      <c r="J160" s="234">
        <f t="array" ref="J160:Y160">TRANSPOSE('ARP_Inputs by customer type'!J1925:J1940)</f>
        <v>0</v>
      </c>
      <c r="K160" s="234">
        <v>0</v>
      </c>
      <c r="L160" s="234">
        <v>0</v>
      </c>
      <c r="M160" s="234">
        <v>0</v>
      </c>
      <c r="N160" s="229">
        <v>68001</v>
      </c>
      <c r="O160" s="229">
        <v>20744</v>
      </c>
      <c r="P160" s="229">
        <v>19000</v>
      </c>
      <c r="Q160" s="234">
        <v>0</v>
      </c>
      <c r="R160" s="234">
        <v>0</v>
      </c>
      <c r="S160" s="234">
        <v>0</v>
      </c>
      <c r="T160" s="234">
        <v>0</v>
      </c>
      <c r="U160" s="234">
        <v>0</v>
      </c>
      <c r="V160" s="234">
        <v>0</v>
      </c>
      <c r="W160" s="234">
        <v>0</v>
      </c>
      <c r="X160" s="234">
        <v>0</v>
      </c>
      <c r="Y160" s="234">
        <v>0</v>
      </c>
    </row>
    <row r="161" spans="3:43" x14ac:dyDescent="0.25">
      <c r="E161" s="52"/>
      <c r="F161" s="92" t="s">
        <v>203</v>
      </c>
      <c r="G161" s="92" t="s">
        <v>169</v>
      </c>
      <c r="J161" s="234">
        <f t="array" ref="J161:Y161">TRANSPOSE('ARP_Inputs by customer type'!J1943:J1958)</f>
        <v>0</v>
      </c>
      <c r="K161" s="234">
        <v>0</v>
      </c>
      <c r="L161" s="234">
        <v>0</v>
      </c>
      <c r="M161" s="234">
        <v>0</v>
      </c>
      <c r="N161" s="229">
        <v>165</v>
      </c>
      <c r="O161" s="229">
        <v>6</v>
      </c>
      <c r="P161" s="229">
        <v>85</v>
      </c>
      <c r="Q161" s="234">
        <v>0</v>
      </c>
      <c r="R161" s="234">
        <v>0</v>
      </c>
      <c r="S161" s="234">
        <v>0</v>
      </c>
      <c r="T161" s="234">
        <v>0</v>
      </c>
      <c r="U161" s="234">
        <v>0</v>
      </c>
      <c r="V161" s="234">
        <v>0</v>
      </c>
      <c r="W161" s="234">
        <v>0</v>
      </c>
      <c r="X161" s="234">
        <v>0</v>
      </c>
      <c r="Y161" s="234">
        <v>0</v>
      </c>
    </row>
    <row r="162" spans="3:43" x14ac:dyDescent="0.25">
      <c r="E162" s="52"/>
      <c r="F162" s="34" t="s">
        <v>204</v>
      </c>
      <c r="G162" s="34" t="s">
        <v>170</v>
      </c>
      <c r="H162" s="17"/>
      <c r="I162" s="17"/>
      <c r="J162" s="203">
        <f t="array" ref="J162:Y162">TRANSPOSE('ARP_Inputs by customer type'!J1961:J1976)</f>
        <v>0</v>
      </c>
      <c r="K162" s="203">
        <v>0</v>
      </c>
      <c r="L162" s="203">
        <v>0</v>
      </c>
      <c r="M162" s="203">
        <v>0</v>
      </c>
      <c r="N162" s="230">
        <v>4594.5749999999998</v>
      </c>
      <c r="O162" s="230">
        <v>1707.8620000000001</v>
      </c>
      <c r="P162" s="230">
        <v>963.04600000000005</v>
      </c>
      <c r="Q162" s="203">
        <v>0</v>
      </c>
      <c r="R162" s="203">
        <v>0</v>
      </c>
      <c r="S162" s="203">
        <v>0</v>
      </c>
      <c r="T162" s="203">
        <v>0</v>
      </c>
      <c r="U162" s="203">
        <v>0</v>
      </c>
      <c r="V162" s="203">
        <v>0</v>
      </c>
      <c r="W162" s="203">
        <v>0</v>
      </c>
      <c r="X162" s="203">
        <v>0</v>
      </c>
      <c r="Y162" s="203">
        <v>0</v>
      </c>
    </row>
    <row r="163" spans="3:43" x14ac:dyDescent="0.25">
      <c r="E163" s="323"/>
      <c r="F163" s="324"/>
      <c r="G163" s="324"/>
      <c r="H163" s="322"/>
      <c r="I163" s="322"/>
      <c r="J163" s="325"/>
      <c r="K163" s="325"/>
      <c r="L163" s="325"/>
      <c r="M163" s="325"/>
      <c r="N163" s="326"/>
      <c r="O163" s="326"/>
      <c r="P163" s="326"/>
      <c r="Q163" s="325"/>
      <c r="R163" s="325"/>
      <c r="S163" s="325"/>
      <c r="T163" s="326"/>
      <c r="U163" s="325"/>
      <c r="V163" s="326"/>
      <c r="W163" s="325"/>
      <c r="X163" s="326"/>
      <c r="Y163" s="325"/>
      <c r="Z163" s="322"/>
      <c r="AA163" s="322"/>
      <c r="AB163" s="322"/>
      <c r="AC163" s="322"/>
      <c r="AD163" s="322"/>
      <c r="AE163" s="322"/>
      <c r="AF163" s="322"/>
      <c r="AG163" s="322"/>
      <c r="AH163" s="322"/>
      <c r="AI163" s="322"/>
      <c r="AJ163" s="322"/>
      <c r="AK163" s="322"/>
      <c r="AL163" s="322"/>
      <c r="AM163" s="322"/>
      <c r="AN163" s="322"/>
      <c r="AO163" s="322"/>
      <c r="AP163" s="322"/>
    </row>
    <row r="164" spans="3:43" x14ac:dyDescent="0.25">
      <c r="E164" s="52" t="s">
        <v>956</v>
      </c>
      <c r="G164" s="91" t="s">
        <v>74</v>
      </c>
      <c r="I164" t="s">
        <v>359</v>
      </c>
      <c r="J164" s="462">
        <f t="array" ref="J164:Y164">TRANSPOSE('ARP_Inputs by customer type'!J1981:J1996)</f>
        <v>3466.0728288547793</v>
      </c>
      <c r="K164" s="462">
        <v>0</v>
      </c>
      <c r="L164" s="462">
        <v>0</v>
      </c>
      <c r="M164" s="462">
        <v>84</v>
      </c>
      <c r="N164" s="462">
        <v>3</v>
      </c>
      <c r="O164" s="462">
        <v>31</v>
      </c>
      <c r="P164" s="462">
        <v>5</v>
      </c>
      <c r="Q164" s="462">
        <v>0</v>
      </c>
      <c r="R164" s="462">
        <v>0</v>
      </c>
      <c r="S164" s="462">
        <v>13</v>
      </c>
      <c r="T164" s="462">
        <v>16</v>
      </c>
      <c r="U164" s="462">
        <v>9</v>
      </c>
      <c r="V164" s="462">
        <v>9</v>
      </c>
      <c r="W164" s="462">
        <v>0</v>
      </c>
      <c r="X164" s="462">
        <v>0</v>
      </c>
      <c r="Y164" s="462">
        <v>0</v>
      </c>
      <c r="AQ164" t="s">
        <v>992</v>
      </c>
    </row>
    <row r="165" spans="3:43" x14ac:dyDescent="0.25">
      <c r="G165" s="91"/>
    </row>
    <row r="166" spans="3:43" x14ac:dyDescent="0.25">
      <c r="C166" s="5" t="str">
        <f ca="1">INDEX('Version control'!$H$36:$H$62,MATCH($A$1,'Version control'!$F$36:$F$62,0),1)&amp;"-C: Non-Domestic Aggregated (Related MPAN) distribution by bands"</f>
        <v>Section 501-C: Non-Domestic Aggregated (Related MPAN) distribution by bands</v>
      </c>
      <c r="D166" s="5"/>
      <c r="E166" s="5"/>
      <c r="F166" s="5"/>
      <c r="G166" s="144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</row>
    <row r="167" spans="3:43" x14ac:dyDescent="0.25">
      <c r="G167" s="91"/>
    </row>
    <row r="168" spans="3:43" x14ac:dyDescent="0.25">
      <c r="D168" s="73" t="s">
        <v>1222</v>
      </c>
      <c r="H168" s="79"/>
      <c r="I168" t="s">
        <v>359</v>
      </c>
      <c r="AQ168" t="s">
        <v>1233</v>
      </c>
    </row>
    <row r="169" spans="3:43" x14ac:dyDescent="0.25">
      <c r="D169" s="73" t="s">
        <v>1223</v>
      </c>
      <c r="H169" s="79"/>
    </row>
    <row r="170" spans="3:43" x14ac:dyDescent="0.25">
      <c r="G170" s="91"/>
    </row>
    <row r="171" spans="3:43" x14ac:dyDescent="0.25">
      <c r="E171" s="52" t="s">
        <v>1059</v>
      </c>
      <c r="G171" s="91"/>
      <c r="J171" s="9" t="s">
        <v>1060</v>
      </c>
      <c r="K171" s="9" t="s">
        <v>1061</v>
      </c>
      <c r="L171" s="9" t="s">
        <v>1062</v>
      </c>
      <c r="M171" s="9" t="s">
        <v>1063</v>
      </c>
      <c r="N171" s="9" t="s">
        <v>1064</v>
      </c>
    </row>
    <row r="172" spans="3:43" x14ac:dyDescent="0.25">
      <c r="E172" s="52"/>
      <c r="F172" s="38" t="s">
        <v>199</v>
      </c>
      <c r="G172" s="38" t="s">
        <v>94</v>
      </c>
      <c r="H172" s="416"/>
      <c r="I172" s="80"/>
      <c r="J172" s="424">
        <f t="array" ref="J172:N172">TRANSPOSE('ARP_Inputs by customer type'!J2006:J2010)</f>
        <v>0</v>
      </c>
      <c r="K172" s="424">
        <v>8.4363128002655496E-2</v>
      </c>
      <c r="L172" s="424">
        <v>0.15242182843567806</v>
      </c>
      <c r="M172" s="424">
        <v>0.18978830708420621</v>
      </c>
      <c r="N172" s="424">
        <v>0.57342673647746012</v>
      </c>
    </row>
    <row r="173" spans="3:43" x14ac:dyDescent="0.25">
      <c r="E173" s="52"/>
      <c r="F173" s="37" t="s">
        <v>200</v>
      </c>
      <c r="G173" s="37" t="s">
        <v>94</v>
      </c>
      <c r="H173" s="379"/>
      <c r="J173" s="425">
        <f t="array" ref="J173:N173">TRANSPOSE('ARP_Inputs by customer type'!J2013:J2017)</f>
        <v>0</v>
      </c>
      <c r="K173" s="425">
        <v>8.4363128002655496E-2</v>
      </c>
      <c r="L173" s="425">
        <v>0.15242182843567806</v>
      </c>
      <c r="M173" s="425">
        <v>0.18978830708420621</v>
      </c>
      <c r="N173" s="425">
        <v>0.57342673647746012</v>
      </c>
    </row>
    <row r="174" spans="3:43" x14ac:dyDescent="0.25">
      <c r="E174" s="52"/>
      <c r="F174" s="34" t="s">
        <v>201</v>
      </c>
      <c r="G174" s="34" t="s">
        <v>94</v>
      </c>
      <c r="H174" s="261"/>
      <c r="I174" s="17"/>
      <c r="J174" s="426">
        <f t="array" ref="J174:N174">TRANSPOSE('ARP_Inputs by customer type'!J2020:J2024)</f>
        <v>0</v>
      </c>
      <c r="K174" s="426">
        <v>8.4363128002655496E-2</v>
      </c>
      <c r="L174" s="426">
        <v>0.15242182843567806</v>
      </c>
      <c r="M174" s="426">
        <v>0.18978830708420621</v>
      </c>
      <c r="N174" s="426">
        <v>0.57342673647746012</v>
      </c>
    </row>
    <row r="175" spans="3:43" x14ac:dyDescent="0.25">
      <c r="E175" s="323"/>
      <c r="F175" s="324"/>
      <c r="G175" s="324"/>
      <c r="H175" s="322"/>
      <c r="I175" s="322"/>
      <c r="J175" s="325"/>
      <c r="K175" s="325"/>
      <c r="L175" s="325"/>
      <c r="M175" s="325"/>
      <c r="N175" s="325"/>
    </row>
    <row r="176" spans="3:43" x14ac:dyDescent="0.25">
      <c r="E176" s="52" t="s">
        <v>1065</v>
      </c>
      <c r="G176" s="91"/>
      <c r="J176" s="9" t="s">
        <v>1060</v>
      </c>
      <c r="K176" s="9" t="s">
        <v>1061</v>
      </c>
      <c r="L176" s="9" t="s">
        <v>1062</v>
      </c>
      <c r="M176" s="9" t="s">
        <v>1063</v>
      </c>
      <c r="N176" s="9" t="s">
        <v>1064</v>
      </c>
    </row>
    <row r="177" spans="3:43" x14ac:dyDescent="0.25">
      <c r="E177" s="52"/>
      <c r="F177" s="38" t="s">
        <v>199</v>
      </c>
      <c r="G177" s="38" t="s">
        <v>94</v>
      </c>
      <c r="H177" s="416"/>
      <c r="I177" s="80"/>
      <c r="J177" s="424">
        <f t="array" ref="J177:N177">TRANSPOSE('ARP_Inputs by customer type'!J2029:J2033)</f>
        <v>0</v>
      </c>
      <c r="K177" s="424">
        <v>0.20815298064635118</v>
      </c>
      <c r="L177" s="424">
        <v>0.27613151280383996</v>
      </c>
      <c r="M177" s="424">
        <v>0.19270967326144897</v>
      </c>
      <c r="N177" s="424">
        <v>0.32300583328835969</v>
      </c>
    </row>
    <row r="178" spans="3:43" x14ac:dyDescent="0.25">
      <c r="E178" s="52"/>
      <c r="F178" s="37" t="s">
        <v>200</v>
      </c>
      <c r="G178" s="37" t="s">
        <v>94</v>
      </c>
      <c r="H178" s="379"/>
      <c r="J178" s="425">
        <f t="array" ref="J178:N178">TRANSPOSE('ARP_Inputs by customer type'!J2036:J2040)</f>
        <v>0</v>
      </c>
      <c r="K178" s="425">
        <v>0.20815298064635118</v>
      </c>
      <c r="L178" s="425">
        <v>0.27613151280383996</v>
      </c>
      <c r="M178" s="425">
        <v>0.19270967326144897</v>
      </c>
      <c r="N178" s="425">
        <v>0.32300583328835969</v>
      </c>
    </row>
    <row r="179" spans="3:43" x14ac:dyDescent="0.25">
      <c r="E179" s="52"/>
      <c r="F179" s="34" t="s">
        <v>201</v>
      </c>
      <c r="G179" s="34" t="s">
        <v>94</v>
      </c>
      <c r="H179" s="261"/>
      <c r="I179" s="17"/>
      <c r="J179" s="426">
        <f t="array" ref="J179:N179">TRANSPOSE('ARP_Inputs by customer type'!J2043:J2047)</f>
        <v>0</v>
      </c>
      <c r="K179" s="426">
        <v>0.20815298064635118</v>
      </c>
      <c r="L179" s="426">
        <v>0.27613151280383996</v>
      </c>
      <c r="M179" s="426">
        <v>0.19270967326144897</v>
      </c>
      <c r="N179" s="426">
        <v>0.32300583328835969</v>
      </c>
    </row>
    <row r="180" spans="3:43" x14ac:dyDescent="0.25">
      <c r="E180" s="323"/>
      <c r="F180" s="324"/>
      <c r="G180" s="324"/>
      <c r="H180" s="322"/>
      <c r="I180" s="322"/>
      <c r="J180" s="325"/>
      <c r="K180" s="325"/>
      <c r="L180" s="325"/>
      <c r="M180" s="325"/>
      <c r="N180" s="325"/>
    </row>
    <row r="181" spans="3:43" x14ac:dyDescent="0.25">
      <c r="E181" s="52" t="s">
        <v>1066</v>
      </c>
      <c r="G181" s="91"/>
      <c r="J181" s="9" t="s">
        <v>1060</v>
      </c>
      <c r="K181" s="9" t="s">
        <v>1061</v>
      </c>
      <c r="L181" s="9" t="s">
        <v>1062</v>
      </c>
      <c r="M181" s="9" t="s">
        <v>1063</v>
      </c>
      <c r="N181" s="9" t="s">
        <v>1064</v>
      </c>
    </row>
    <row r="182" spans="3:43" x14ac:dyDescent="0.25">
      <c r="E182" s="52"/>
      <c r="F182" s="38" t="s">
        <v>199</v>
      </c>
      <c r="G182" s="38" t="s">
        <v>94</v>
      </c>
      <c r="H182" s="416"/>
      <c r="I182" s="80"/>
      <c r="J182" s="424">
        <f t="array" ref="J182:N182">TRANSPOSE('ARP_Inputs by customer type'!J2052:J2056)</f>
        <v>0</v>
      </c>
      <c r="K182" s="424">
        <v>9.6678573594067993E-2</v>
      </c>
      <c r="L182" s="424">
        <v>0.15226788856971082</v>
      </c>
      <c r="M182" s="424">
        <v>0.24073066324937284</v>
      </c>
      <c r="N182" s="424">
        <v>0.51032287458684833</v>
      </c>
    </row>
    <row r="183" spans="3:43" x14ac:dyDescent="0.25">
      <c r="E183" s="52"/>
      <c r="F183" s="37" t="s">
        <v>200</v>
      </c>
      <c r="G183" s="37" t="s">
        <v>94</v>
      </c>
      <c r="H183" s="379"/>
      <c r="J183" s="425">
        <f t="array" ref="J183:N183">TRANSPOSE('ARP_Inputs by customer type'!J2059:J2063)</f>
        <v>0</v>
      </c>
      <c r="K183" s="425">
        <v>9.6678573594067993E-2</v>
      </c>
      <c r="L183" s="425">
        <v>0.15226788856971082</v>
      </c>
      <c r="M183" s="425">
        <v>0.24073066324937284</v>
      </c>
      <c r="N183" s="425">
        <v>0.51032287458684833</v>
      </c>
    </row>
    <row r="184" spans="3:43" x14ac:dyDescent="0.25">
      <c r="E184" s="52"/>
      <c r="F184" s="34" t="s">
        <v>201</v>
      </c>
      <c r="G184" s="34" t="s">
        <v>94</v>
      </c>
      <c r="H184" s="261"/>
      <c r="I184" s="17"/>
      <c r="J184" s="426">
        <f t="array" ref="J184:N184">TRANSPOSE('ARP_Inputs by customer type'!J2066:J2070)</f>
        <v>0</v>
      </c>
      <c r="K184" s="426">
        <v>9.6678573594067993E-2</v>
      </c>
      <c r="L184" s="426">
        <v>0.15226788856971082</v>
      </c>
      <c r="M184" s="426">
        <v>0.24073066324937284</v>
      </c>
      <c r="N184" s="426">
        <v>0.51032287458684833</v>
      </c>
    </row>
    <row r="185" spans="3:43" x14ac:dyDescent="0.25">
      <c r="E185" s="323"/>
      <c r="F185" s="324"/>
      <c r="G185" s="324"/>
      <c r="H185" s="322"/>
      <c r="I185" s="322"/>
      <c r="J185" s="325"/>
      <c r="K185" s="325"/>
      <c r="L185" s="325"/>
      <c r="M185" s="325"/>
      <c r="N185" s="326"/>
      <c r="O185" s="326"/>
      <c r="P185" s="326"/>
      <c r="Q185" s="325"/>
      <c r="R185" s="325"/>
      <c r="S185" s="325"/>
      <c r="T185" s="326"/>
      <c r="U185" s="325"/>
      <c r="V185" s="326"/>
      <c r="W185" s="325"/>
      <c r="X185" s="326"/>
      <c r="Y185" s="325"/>
      <c r="Z185" s="322"/>
      <c r="AA185" s="322"/>
      <c r="AB185" s="322"/>
      <c r="AC185" s="322"/>
      <c r="AD185" s="322"/>
      <c r="AE185" s="322"/>
      <c r="AF185" s="322"/>
      <c r="AG185" s="322"/>
      <c r="AH185" s="322"/>
      <c r="AI185" s="322"/>
      <c r="AJ185" s="322"/>
      <c r="AK185" s="322"/>
      <c r="AL185" s="322"/>
      <c r="AM185" s="322"/>
      <c r="AN185" s="322"/>
      <c r="AO185" s="322"/>
      <c r="AP185" s="322"/>
    </row>
    <row r="186" spans="3:43" x14ac:dyDescent="0.25">
      <c r="C186" s="5" t="str">
        <f ca="1">INDEX('Version control'!$H$36:$H$62,MATCH($A$1,'Version control'!$F$36:$F$62,0),1)&amp;"-D: Service model asset values"</f>
        <v>Section 501-D: Service model asset values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</row>
    <row r="187" spans="3:43" x14ac:dyDescent="0.25">
      <c r="G187" s="91"/>
    </row>
    <row r="188" spans="3:43" x14ac:dyDescent="0.25">
      <c r="D188" s="73" t="s">
        <v>636</v>
      </c>
      <c r="H188" s="79"/>
    </row>
    <row r="189" spans="3:43" x14ac:dyDescent="0.25">
      <c r="G189" s="91"/>
      <c r="I189" t="s">
        <v>359</v>
      </c>
      <c r="AQ189" t="s">
        <v>815</v>
      </c>
    </row>
    <row r="190" spans="3:43" x14ac:dyDescent="0.25">
      <c r="D190" s="76"/>
      <c r="E190" t="s">
        <v>637</v>
      </c>
      <c r="G190" t="s">
        <v>509</v>
      </c>
      <c r="H190" s="327"/>
      <c r="J190" s="461">
        <f t="array" ref="J190:Y190">TRANSPOSE('ARP_Inputs by customer type'!J2079:J2094)</f>
        <v>377.70000000000005</v>
      </c>
      <c r="K190" s="400">
        <v>0</v>
      </c>
      <c r="L190" s="461">
        <v>508.75</v>
      </c>
      <c r="M190" s="400">
        <v>0</v>
      </c>
      <c r="N190" s="461">
        <v>2380</v>
      </c>
      <c r="O190" s="461">
        <v>840</v>
      </c>
      <c r="P190" s="400">
        <v>0</v>
      </c>
      <c r="Q190" s="400">
        <v>0</v>
      </c>
      <c r="R190" s="461">
        <v>0</v>
      </c>
      <c r="S190" s="461">
        <v>0</v>
      </c>
      <c r="T190" s="461">
        <v>0</v>
      </c>
      <c r="U190" s="461">
        <v>0</v>
      </c>
      <c r="V190" s="461">
        <v>0</v>
      </c>
      <c r="W190" s="461">
        <v>0</v>
      </c>
      <c r="X190" s="400">
        <v>0</v>
      </c>
      <c r="Y190" s="400">
        <v>0</v>
      </c>
    </row>
    <row r="191" spans="3:43" x14ac:dyDescent="0.25">
      <c r="D191" s="76"/>
      <c r="E191" t="s">
        <v>638</v>
      </c>
      <c r="G191" t="s">
        <v>509</v>
      </c>
      <c r="H191" s="327"/>
      <c r="J191" s="400">
        <f t="array" ref="J191:Y191">TRANSPOSE('ARP_Inputs by customer type'!J2099:J2114)</f>
        <v>0</v>
      </c>
      <c r="K191" s="400">
        <v>0</v>
      </c>
      <c r="L191" s="400">
        <v>0</v>
      </c>
      <c r="M191" s="400">
        <v>0</v>
      </c>
      <c r="N191" s="400">
        <v>0</v>
      </c>
      <c r="O191" s="400">
        <v>0</v>
      </c>
      <c r="P191" s="461">
        <v>12718.10554</v>
      </c>
      <c r="Q191" s="400">
        <v>0</v>
      </c>
      <c r="R191" s="400">
        <v>0</v>
      </c>
      <c r="S191" s="400">
        <v>0</v>
      </c>
      <c r="T191" s="400">
        <v>0</v>
      </c>
      <c r="U191" s="400">
        <v>0</v>
      </c>
      <c r="V191" s="400">
        <v>0</v>
      </c>
      <c r="W191" s="400">
        <v>0</v>
      </c>
      <c r="X191" s="461">
        <v>9287</v>
      </c>
      <c r="Y191" s="461">
        <v>9287</v>
      </c>
    </row>
    <row r="192" spans="3:43" x14ac:dyDescent="0.25">
      <c r="G192" s="91"/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</row>
    <row r="193" spans="2:43" x14ac:dyDescent="0.25">
      <c r="D193" s="76"/>
      <c r="E193" t="s">
        <v>639</v>
      </c>
      <c r="G193" t="s">
        <v>271</v>
      </c>
      <c r="I193" t="s">
        <v>359</v>
      </c>
      <c r="J193" s="400">
        <f t="array" ref="J193:Y193">TRANSPOSE('ARP_Inputs by customer type'!J2119:J2134)</f>
        <v>0</v>
      </c>
      <c r="K193" s="400">
        <v>0</v>
      </c>
      <c r="L193" s="400">
        <v>0</v>
      </c>
      <c r="M193" s="400">
        <v>0</v>
      </c>
      <c r="N193" s="400">
        <v>0</v>
      </c>
      <c r="O193" s="400">
        <v>0</v>
      </c>
      <c r="P193" s="400">
        <v>0</v>
      </c>
      <c r="Q193" s="461">
        <v>120.51</v>
      </c>
      <c r="R193" s="400">
        <v>0</v>
      </c>
      <c r="S193" s="400">
        <v>0</v>
      </c>
      <c r="T193" s="400">
        <v>0</v>
      </c>
      <c r="U193" s="400">
        <v>0</v>
      </c>
      <c r="V193" s="400">
        <v>0</v>
      </c>
      <c r="W193" s="400">
        <v>0</v>
      </c>
      <c r="X193" s="400">
        <v>0</v>
      </c>
      <c r="Y193" s="400">
        <v>0</v>
      </c>
      <c r="AQ193" t="s">
        <v>704</v>
      </c>
    </row>
    <row r="194" spans="2:43" x14ac:dyDescent="0.25">
      <c r="D194" s="76"/>
      <c r="J194" s="211"/>
      <c r="K194" s="211"/>
      <c r="L194" s="211"/>
      <c r="M194" s="211"/>
      <c r="N194" s="211"/>
      <c r="O194" s="211"/>
      <c r="P194" s="211"/>
      <c r="Q194" s="211"/>
      <c r="R194" s="211"/>
      <c r="S194" s="211"/>
      <c r="T194" s="211"/>
      <c r="U194" s="211"/>
      <c r="V194" s="211"/>
      <c r="W194" s="211"/>
      <c r="X194" s="211"/>
      <c r="Y194" s="211"/>
    </row>
    <row r="195" spans="2:43" x14ac:dyDescent="0.25">
      <c r="B195" s="82" t="s">
        <v>109</v>
      </c>
      <c r="C195" s="82"/>
      <c r="D195" s="82"/>
      <c r="E195" s="82"/>
      <c r="F195" s="82"/>
      <c r="G195" s="107"/>
      <c r="H195" s="82"/>
      <c r="I195" s="82"/>
      <c r="J195" s="82"/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  <c r="AC195" s="82"/>
      <c r="AD195" s="82"/>
      <c r="AE195" s="82"/>
      <c r="AF195" s="82"/>
      <c r="AG195" s="82"/>
      <c r="AH195" s="82"/>
      <c r="AI195" s="82"/>
      <c r="AJ195" s="82"/>
      <c r="AK195" s="82"/>
      <c r="AL195" s="82"/>
      <c r="AM195" s="82"/>
      <c r="AN195" s="82"/>
      <c r="AO195" s="82"/>
      <c r="AP195" s="82"/>
      <c r="AQ195" s="82"/>
    </row>
    <row r="196" spans="2:43" x14ac:dyDescent="0.25">
      <c r="G196" s="91"/>
    </row>
    <row r="197" spans="2:43" x14ac:dyDescent="0.25">
      <c r="E197" s="52" t="s">
        <v>1067</v>
      </c>
      <c r="G197" s="91"/>
    </row>
    <row r="198" spans="2:43" x14ac:dyDescent="0.25">
      <c r="E198" s="52"/>
      <c r="F198" s="38" t="s">
        <v>199</v>
      </c>
      <c r="G198" s="38" t="s">
        <v>174</v>
      </c>
      <c r="H198" s="416" t="b">
        <f>SUM(J172:N172)=1</f>
        <v>1</v>
      </c>
    </row>
    <row r="199" spans="2:43" x14ac:dyDescent="0.25">
      <c r="E199" s="52"/>
      <c r="F199" s="37" t="s">
        <v>200</v>
      </c>
      <c r="G199" s="37" t="s">
        <v>174</v>
      </c>
      <c r="H199" s="379" t="b">
        <f t="shared" ref="H199:H200" si="0">SUM(J173:N173)=1</f>
        <v>1</v>
      </c>
    </row>
    <row r="200" spans="2:43" x14ac:dyDescent="0.25">
      <c r="E200" s="52"/>
      <c r="F200" s="34" t="s">
        <v>201</v>
      </c>
      <c r="G200" s="34" t="s">
        <v>174</v>
      </c>
      <c r="H200" s="261" t="b">
        <f t="shared" si="0"/>
        <v>1</v>
      </c>
    </row>
    <row r="201" spans="2:43" x14ac:dyDescent="0.25">
      <c r="E201" s="323"/>
      <c r="F201" s="324"/>
      <c r="G201" s="324"/>
      <c r="H201" s="322"/>
    </row>
    <row r="202" spans="2:43" x14ac:dyDescent="0.25">
      <c r="E202" s="52" t="s">
        <v>1068</v>
      </c>
      <c r="G202" s="91"/>
    </row>
    <row r="203" spans="2:43" x14ac:dyDescent="0.25">
      <c r="E203" s="52"/>
      <c r="F203" s="38" t="s">
        <v>199</v>
      </c>
      <c r="G203" s="38" t="s">
        <v>174</v>
      </c>
      <c r="H203" s="416" t="b">
        <f>SUM(J177:N177)=1</f>
        <v>1</v>
      </c>
    </row>
    <row r="204" spans="2:43" x14ac:dyDescent="0.25">
      <c r="E204" s="52"/>
      <c r="F204" s="37" t="s">
        <v>200</v>
      </c>
      <c r="G204" s="37" t="s">
        <v>174</v>
      </c>
      <c r="H204" s="379" t="b">
        <f t="shared" ref="H204:H205" si="1">SUM(J178:N178)=1</f>
        <v>1</v>
      </c>
    </row>
    <row r="205" spans="2:43" x14ac:dyDescent="0.25">
      <c r="E205" s="52"/>
      <c r="F205" s="34" t="s">
        <v>201</v>
      </c>
      <c r="G205" s="34" t="s">
        <v>174</v>
      </c>
      <c r="H205" s="261" t="b">
        <f t="shared" si="1"/>
        <v>1</v>
      </c>
    </row>
    <row r="206" spans="2:43" x14ac:dyDescent="0.25">
      <c r="E206" s="323"/>
      <c r="F206" s="324"/>
      <c r="G206" s="324"/>
      <c r="H206" s="322"/>
    </row>
    <row r="207" spans="2:43" x14ac:dyDescent="0.25">
      <c r="E207" s="52" t="s">
        <v>1069</v>
      </c>
      <c r="G207" s="91"/>
    </row>
    <row r="208" spans="2:43" x14ac:dyDescent="0.25">
      <c r="E208" s="52"/>
      <c r="F208" s="38" t="s">
        <v>199</v>
      </c>
      <c r="G208" s="38" t="s">
        <v>174</v>
      </c>
      <c r="H208" s="416" t="b">
        <f>SUM(J182:N182)=1</f>
        <v>1</v>
      </c>
    </row>
    <row r="209" spans="2:43" x14ac:dyDescent="0.25">
      <c r="E209" s="52"/>
      <c r="F209" s="37" t="s">
        <v>200</v>
      </c>
      <c r="G209" s="37" t="s">
        <v>174</v>
      </c>
      <c r="H209" s="379" t="b">
        <f t="shared" ref="H209:H210" si="2">SUM(J183:N183)=1</f>
        <v>1</v>
      </c>
    </row>
    <row r="210" spans="2:43" x14ac:dyDescent="0.25">
      <c r="E210" s="52"/>
      <c r="F210" s="34" t="s">
        <v>201</v>
      </c>
      <c r="G210" s="34" t="s">
        <v>174</v>
      </c>
      <c r="H210" s="261" t="b">
        <f t="shared" si="2"/>
        <v>1</v>
      </c>
    </row>
    <row r="211" spans="2:43" x14ac:dyDescent="0.25">
      <c r="G211" s="91"/>
    </row>
    <row r="212" spans="2:43" x14ac:dyDescent="0.25">
      <c r="E212" t="s">
        <v>1070</v>
      </c>
      <c r="G212" s="46" t="s">
        <v>588</v>
      </c>
      <c r="H212" s="320">
        <f>COUNTIF(H198:H210,FALSE)</f>
        <v>0</v>
      </c>
    </row>
    <row r="213" spans="2:43" x14ac:dyDescent="0.25">
      <c r="G213" s="91"/>
    </row>
    <row r="214" spans="2:43" x14ac:dyDescent="0.25">
      <c r="E214" t="s">
        <v>415</v>
      </c>
      <c r="G214" s="46" t="s">
        <v>588</v>
      </c>
      <c r="H214" s="320">
        <f t="array" ref="H214">SUM(IF(ISERROR(H16:Y194), 1))</f>
        <v>0</v>
      </c>
    </row>
    <row r="215" spans="2:43" x14ac:dyDescent="0.25">
      <c r="G215" s="91"/>
    </row>
    <row r="216" spans="2:43" x14ac:dyDescent="0.25">
      <c r="E216" t="s">
        <v>374</v>
      </c>
      <c r="G216" s="46" t="s">
        <v>588</v>
      </c>
      <c r="H216" s="263">
        <f xml:space="preserve"> H212 + H214</f>
        <v>0</v>
      </c>
    </row>
    <row r="218" spans="2:43" x14ac:dyDescent="0.25">
      <c r="B218" s="82" t="s">
        <v>110</v>
      </c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82"/>
      <c r="AM218" s="82"/>
      <c r="AN218" s="82"/>
      <c r="AO218" s="82"/>
      <c r="AP218" s="82"/>
      <c r="AQ218" s="82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9" width="17" customWidth="1"/>
    <col min="20" max="20" width="2.42578125" customWidth="1"/>
    <col min="21" max="21" width="50.5703125" customWidth="1"/>
    <col min="22" max="22" width="2.42578125" customWidth="1"/>
    <col min="23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8" customFormat="1" x14ac:dyDescent="0.25">
      <c r="A1" s="8" t="str">
        <f ca="1">MID(CELL("filename",A1),FIND("]",CELL("filename",A1))+1,255)</f>
        <v>Inputs by network level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H59 &amp; IF(H59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x14ac:dyDescent="0.25">
      <c r="B5" s="314" t="s">
        <v>451</v>
      </c>
      <c r="C5" s="315"/>
      <c r="D5" s="315"/>
      <c r="E5" s="315"/>
      <c r="F5" s="315"/>
      <c r="G5" s="8" t="s">
        <v>91</v>
      </c>
      <c r="H5" s="6" t="s">
        <v>92</v>
      </c>
      <c r="I5" s="59"/>
      <c r="J5" s="6" t="s">
        <v>267</v>
      </c>
      <c r="K5" s="6" t="s">
        <v>43</v>
      </c>
      <c r="L5" s="6" t="s">
        <v>44</v>
      </c>
      <c r="M5" s="6" t="s">
        <v>45</v>
      </c>
      <c r="N5" s="6" t="s">
        <v>46</v>
      </c>
      <c r="O5" s="6" t="s">
        <v>47</v>
      </c>
      <c r="P5" s="6" t="s">
        <v>51</v>
      </c>
      <c r="Q5" s="6" t="s">
        <v>48</v>
      </c>
      <c r="R5" s="6" t="s">
        <v>49</v>
      </c>
      <c r="S5" s="6" t="s">
        <v>50</v>
      </c>
      <c r="U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W7" s="82"/>
      <c r="X7" s="82"/>
      <c r="Y7" s="82"/>
      <c r="Z7" s="82"/>
      <c r="AA7" s="82"/>
    </row>
    <row r="9" spans="1:27" x14ac:dyDescent="0.25">
      <c r="C9" s="73" t="s">
        <v>785</v>
      </c>
    </row>
    <row r="11" spans="1:27" x14ac:dyDescent="0.25">
      <c r="C11" s="73"/>
      <c r="E11" t="s">
        <v>481</v>
      </c>
      <c r="G11" t="s">
        <v>482</v>
      </c>
      <c r="H11" s="344" t="str">
        <f>charging_year_selected</f>
        <v>2024/25</v>
      </c>
    </row>
    <row r="12" spans="1:27" x14ac:dyDescent="0.25">
      <c r="C12" s="73"/>
      <c r="E12" t="s">
        <v>466</v>
      </c>
      <c r="G12" t="s">
        <v>312</v>
      </c>
      <c r="H12" s="391" t="str">
        <f>'ARP_User control'!$H$36</f>
        <v>Current</v>
      </c>
    </row>
    <row r="14" spans="1:27" x14ac:dyDescent="0.25">
      <c r="B14" s="82" t="s">
        <v>195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Y14" s="82"/>
      <c r="Z14" s="82"/>
      <c r="AA14" s="82"/>
    </row>
    <row r="16" spans="1:27" x14ac:dyDescent="0.25">
      <c r="C16" s="5" t="str">
        <f ca="1">INDEX('Version control'!$H$36:$H$62,MATCH($A$1,'Version control'!$F$36:$F$62,0),1)&amp;"-A: Network and load inputs"</f>
        <v>Section 502-A: Network and load inputs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W16" s="82"/>
      <c r="X16" s="82"/>
      <c r="Y16" s="82"/>
      <c r="Z16" s="82"/>
      <c r="AA16" s="82"/>
    </row>
    <row r="18" spans="3:27" x14ac:dyDescent="0.25">
      <c r="E18" s="12" t="s">
        <v>42</v>
      </c>
      <c r="G18" s="12" t="s">
        <v>94</v>
      </c>
      <c r="I18" t="s">
        <v>359</v>
      </c>
      <c r="J18" s="328"/>
      <c r="K18" s="331">
        <f>'ARP_Inputs by network level'!J20</f>
        <v>0.11600000000000001</v>
      </c>
      <c r="L18" s="331">
        <f>'ARP_Inputs by network level'!J21</f>
        <v>0</v>
      </c>
      <c r="M18" s="328"/>
      <c r="N18" s="331">
        <f>'ARP_Inputs by network level'!J23</f>
        <v>0.13</v>
      </c>
      <c r="O18" s="328"/>
      <c r="P18" s="321"/>
      <c r="Q18" s="331">
        <f>'ARP_Inputs by network level'!J26</f>
        <v>0.25</v>
      </c>
      <c r="R18" s="71"/>
      <c r="S18" s="71"/>
      <c r="U18" s="79" t="s">
        <v>808</v>
      </c>
    </row>
    <row r="20" spans="3:27" x14ac:dyDescent="0.25">
      <c r="E20" s="12" t="s">
        <v>538</v>
      </c>
      <c r="G20" s="12" t="s">
        <v>94</v>
      </c>
      <c r="H20" s="12"/>
      <c r="I20" s="389"/>
      <c r="J20" s="328"/>
      <c r="K20" s="71"/>
      <c r="L20" s="71"/>
      <c r="M20" s="71"/>
      <c r="N20" s="71"/>
      <c r="O20" s="71"/>
      <c r="P20" s="331">
        <f>'ARP_Inputs by network level'!J39</f>
        <v>0</v>
      </c>
      <c r="Q20" s="71"/>
      <c r="R20" s="71"/>
      <c r="S20" s="71"/>
    </row>
    <row r="22" spans="3:27" x14ac:dyDescent="0.25">
      <c r="E22" s="12" t="s">
        <v>196</v>
      </c>
      <c r="G22" s="12" t="s">
        <v>427</v>
      </c>
      <c r="I22" t="s">
        <v>359</v>
      </c>
      <c r="J22" s="234"/>
      <c r="K22" s="229">
        <f>'ARP_Inputs by network level'!J48</f>
        <v>1</v>
      </c>
      <c r="L22" s="229">
        <f>'ARP_Inputs by network level'!J49</f>
        <v>1</v>
      </c>
      <c r="M22" s="229">
        <f>'ARP_Inputs by network level'!J50</f>
        <v>1</v>
      </c>
      <c r="N22" s="229">
        <f>'ARP_Inputs by network level'!J51</f>
        <v>1.002</v>
      </c>
      <c r="O22" s="229">
        <f>'ARP_Inputs by network level'!J52</f>
        <v>1.0129999999999999</v>
      </c>
      <c r="P22" s="234"/>
      <c r="Q22" s="229">
        <f>'ARP_Inputs by network level'!J54</f>
        <v>1.024</v>
      </c>
      <c r="R22" s="229">
        <f>'ARP_Inputs by network level'!J55</f>
        <v>1.044</v>
      </c>
      <c r="S22" s="229">
        <f>'ARP_Inputs by network level'!J56</f>
        <v>1.105</v>
      </c>
      <c r="U22" s="79" t="s">
        <v>692</v>
      </c>
    </row>
    <row r="23" spans="3:27" x14ac:dyDescent="0.25">
      <c r="J23" s="211"/>
      <c r="K23" s="211"/>
      <c r="L23" s="211"/>
      <c r="M23" s="211"/>
      <c r="N23" s="211"/>
      <c r="O23" s="211"/>
      <c r="P23" s="211"/>
      <c r="Q23" s="211"/>
      <c r="R23" s="211"/>
      <c r="S23" s="211"/>
    </row>
    <row r="24" spans="3:27" x14ac:dyDescent="0.25">
      <c r="E24" s="12" t="s">
        <v>89</v>
      </c>
      <c r="G24" s="12" t="s">
        <v>507</v>
      </c>
      <c r="I24" t="s">
        <v>359</v>
      </c>
      <c r="J24" s="234"/>
      <c r="K24" s="229">
        <f>'ARP_Inputs by network level'!J62</f>
        <v>0.13760822365485234</v>
      </c>
      <c r="L24" s="229">
        <f>'ARP_Inputs by network level'!J63</f>
        <v>0</v>
      </c>
      <c r="M24" s="229">
        <f>'ARP_Inputs by network level'!J64</f>
        <v>0</v>
      </c>
      <c r="N24" s="229">
        <f>'ARP_Inputs by network level'!J65</f>
        <v>0.13760822365485234</v>
      </c>
      <c r="O24" s="229">
        <f>'ARP_Inputs by network level'!J66</f>
        <v>0.15699594310556997</v>
      </c>
      <c r="P24" s="229">
        <f>'ARP_Inputs by network level'!J67</f>
        <v>0</v>
      </c>
      <c r="Q24" s="229">
        <f>'ARP_Inputs by network level'!J68</f>
        <v>0.15699594310556997</v>
      </c>
      <c r="R24" s="229">
        <f>'ARP_Inputs by network level'!J69</f>
        <v>0.15699594310556997</v>
      </c>
      <c r="S24" s="229">
        <f>'ARP_Inputs by network level'!J70</f>
        <v>0.15699594310556997</v>
      </c>
      <c r="U24" s="79" t="s">
        <v>809</v>
      </c>
    </row>
    <row r="26" spans="3:27" x14ac:dyDescent="0.25">
      <c r="C26" s="5" t="str">
        <f ca="1">INDEX('Version control'!$H$36:$H$62,MATCH($A$1,'Version control'!$F$36:$F$62,0),1)&amp;"-B: Customer contributions under current connection charging policy"</f>
        <v>Section 502-B: Customer contributions under current connection charging policy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W26" s="82"/>
      <c r="X26" s="82"/>
      <c r="Y26" s="82"/>
      <c r="Z26" s="82"/>
      <c r="AA26" s="82"/>
    </row>
    <row r="27" spans="3:27" x14ac:dyDescent="0.25">
      <c r="C27" s="52"/>
      <c r="I27" t="s">
        <v>359</v>
      </c>
      <c r="U27" t="s">
        <v>810</v>
      </c>
    </row>
    <row r="28" spans="3:27" x14ac:dyDescent="0.25">
      <c r="C28" s="52"/>
      <c r="E28" s="52" t="s">
        <v>205</v>
      </c>
    </row>
    <row r="29" spans="3:27" x14ac:dyDescent="0.25">
      <c r="F29" s="14" t="s">
        <v>80</v>
      </c>
      <c r="G29" s="14" t="s">
        <v>94</v>
      </c>
      <c r="H29" s="80"/>
      <c r="I29" s="80"/>
      <c r="J29" s="89"/>
      <c r="K29" s="89"/>
      <c r="L29" s="114">
        <f>'ARP_Inputs by network level'!J78</f>
        <v>0</v>
      </c>
      <c r="M29" s="114">
        <f>'ARP_Inputs by network level'!J79</f>
        <v>0</v>
      </c>
      <c r="N29" s="114">
        <f>'ARP_Inputs by network level'!J80</f>
        <v>0</v>
      </c>
      <c r="O29" s="114">
        <f>'ARP_Inputs by network level'!J81</f>
        <v>0</v>
      </c>
      <c r="P29" s="114">
        <f>'ARP_Inputs by network level'!J82</f>
        <v>0</v>
      </c>
      <c r="Q29" s="114">
        <f>'ARP_Inputs by network level'!J83</f>
        <v>0.20065197841726601</v>
      </c>
      <c r="R29" s="114">
        <f>'ARP_Inputs by network level'!J84</f>
        <v>0.26968503937007898</v>
      </c>
      <c r="S29" s="114">
        <f>'ARP_Inputs by network level'!J85</f>
        <v>0.92371773930088197</v>
      </c>
    </row>
    <row r="30" spans="3:27" x14ac:dyDescent="0.25">
      <c r="F30" s="12" t="s">
        <v>81</v>
      </c>
      <c r="G30" s="12" t="s">
        <v>94</v>
      </c>
      <c r="J30" s="71"/>
      <c r="K30" s="71"/>
      <c r="L30" s="120">
        <f>'ARP_Inputs by network level'!J89</f>
        <v>0</v>
      </c>
      <c r="M30" s="120">
        <f>'ARP_Inputs by network level'!J90</f>
        <v>0</v>
      </c>
      <c r="N30" s="120">
        <f>'ARP_Inputs by network level'!J91</f>
        <v>0</v>
      </c>
      <c r="O30" s="120">
        <f>'ARP_Inputs by network level'!J92</f>
        <v>0</v>
      </c>
      <c r="P30" s="120">
        <f>'ARP_Inputs by network level'!J93</f>
        <v>0</v>
      </c>
      <c r="Q30" s="120">
        <f>'ARP_Inputs by network level'!J94</f>
        <v>0.20065197841726601</v>
      </c>
      <c r="R30" s="120">
        <f>'ARP_Inputs by network level'!J95</f>
        <v>0.26968503937007898</v>
      </c>
      <c r="S30" s="317"/>
    </row>
    <row r="31" spans="3:27" x14ac:dyDescent="0.25">
      <c r="F31" s="12" t="s">
        <v>82</v>
      </c>
      <c r="G31" s="12" t="s">
        <v>94</v>
      </c>
      <c r="J31" s="71"/>
      <c r="K31" s="71"/>
      <c r="L31" s="120">
        <f>'ARP_Inputs by network level'!J100</f>
        <v>0</v>
      </c>
      <c r="M31" s="120">
        <f>'ARP_Inputs by network level'!J101</f>
        <v>0</v>
      </c>
      <c r="N31" s="120">
        <f>'ARP_Inputs by network level'!J102</f>
        <v>3.11004784688995E-2</v>
      </c>
      <c r="O31" s="120">
        <f>'ARP_Inputs by network level'!J103</f>
        <v>0.14212259371833799</v>
      </c>
      <c r="P31" s="120">
        <f>'ARP_Inputs by network level'!J104</f>
        <v>0</v>
      </c>
      <c r="Q31" s="120">
        <f>'ARP_Inputs by network level'!J105</f>
        <v>0.45146695143884902</v>
      </c>
      <c r="R31" s="317"/>
      <c r="S31" s="317"/>
    </row>
    <row r="32" spans="3:27" x14ac:dyDescent="0.25">
      <c r="F32" s="13" t="s">
        <v>83</v>
      </c>
      <c r="G32" s="13" t="s">
        <v>94</v>
      </c>
      <c r="H32" s="17"/>
      <c r="I32" s="17"/>
      <c r="J32" s="86"/>
      <c r="K32" s="86"/>
      <c r="L32" s="337">
        <f>'ARP_Inputs by network level'!J111</f>
        <v>0</v>
      </c>
      <c r="M32" s="337">
        <f>'ARP_Inputs by network level'!J112</f>
        <v>0</v>
      </c>
      <c r="N32" s="337">
        <f>'ARP_Inputs by network level'!J113</f>
        <v>3.11004784688995E-2</v>
      </c>
      <c r="O32" s="337">
        <f>'ARP_Inputs by network level'!J114</f>
        <v>0.14212259371833799</v>
      </c>
      <c r="P32" s="36"/>
      <c r="Q32" s="36"/>
      <c r="R32" s="36"/>
      <c r="S32" s="36"/>
    </row>
    <row r="34" spans="2:27" x14ac:dyDescent="0.25">
      <c r="C34" s="5" t="str">
        <f ca="1">INDEX('Version control'!$H$36:$H$62,MATCH($A$1,'Version control'!$F$36:$F$62,0),1)&amp;"-C: DRM asset costs"</f>
        <v>Section 502-C: DRM asset costs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W34" s="82"/>
      <c r="X34" s="82"/>
      <c r="Y34" s="82"/>
      <c r="Z34" s="82"/>
      <c r="AA34" s="82"/>
    </row>
    <row r="36" spans="2:27" x14ac:dyDescent="0.25">
      <c r="E36" s="12" t="s">
        <v>194</v>
      </c>
      <c r="G36" s="12" t="s">
        <v>107</v>
      </c>
      <c r="I36" t="s">
        <v>359</v>
      </c>
      <c r="J36" s="234"/>
      <c r="K36" s="234"/>
      <c r="L36" s="229">
        <f>'ARP_Inputs by network level'!J125</f>
        <v>0</v>
      </c>
      <c r="M36" s="229">
        <f>'ARP_Inputs by network level'!J126</f>
        <v>0</v>
      </c>
      <c r="N36" s="229">
        <f>'ARP_Inputs by network level'!J127</f>
        <v>136991665.09249207</v>
      </c>
      <c r="O36" s="229">
        <f>'ARP_Inputs by network level'!J128</f>
        <v>35103417.342067286</v>
      </c>
      <c r="P36" s="229">
        <f>'ARP_Inputs by network level'!J129</f>
        <v>0</v>
      </c>
      <c r="Q36" s="229">
        <f>'ARP_Inputs by network level'!J130</f>
        <v>151015884.81289625</v>
      </c>
      <c r="R36" s="229">
        <f>'ARP_Inputs by network level'!J131</f>
        <v>37954567.932507738</v>
      </c>
      <c r="S36" s="229">
        <f>'ARP_Inputs by network level'!J132</f>
        <v>63840783.232054584</v>
      </c>
    </row>
    <row r="38" spans="2:27" x14ac:dyDescent="0.25">
      <c r="C38" s="5" t="str">
        <f ca="1">INDEX('Version control'!$H$36:$H$62,MATCH($A$1,'Version control'!$F$36:$F$62,0),1)&amp;"-D: Peaking probabilities by network level"</f>
        <v>Section 502-D: Peaking probabilities by network level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W38" s="82"/>
      <c r="X38" s="82"/>
      <c r="Y38" s="82"/>
      <c r="Z38" s="82"/>
      <c r="AA38" s="82"/>
    </row>
    <row r="40" spans="2:27" x14ac:dyDescent="0.25">
      <c r="D40" s="73" t="s">
        <v>623</v>
      </c>
    </row>
    <row r="41" spans="2:27" x14ac:dyDescent="0.25">
      <c r="C41" s="73"/>
    </row>
    <row r="42" spans="2:27" x14ac:dyDescent="0.25">
      <c r="D42" s="52"/>
      <c r="E42" s="52" t="s">
        <v>786</v>
      </c>
      <c r="I42" t="s">
        <v>359</v>
      </c>
      <c r="U42" t="s">
        <v>811</v>
      </c>
    </row>
    <row r="43" spans="2:27" x14ac:dyDescent="0.25">
      <c r="F43" s="80" t="s">
        <v>84</v>
      </c>
      <c r="G43" s="38" t="s">
        <v>94</v>
      </c>
      <c r="H43" s="80"/>
      <c r="I43" s="80"/>
      <c r="J43" s="89"/>
      <c r="K43" s="114">
        <f>'ARP_Inputs by network level'!J140</f>
        <v>0.73908767276423848</v>
      </c>
      <c r="L43" s="114">
        <f>'ARP_Inputs by network level'!J141</f>
        <v>0</v>
      </c>
      <c r="M43" s="114">
        <f>'ARP_Inputs by network level'!J142</f>
        <v>0</v>
      </c>
      <c r="N43" s="114">
        <f>'ARP_Inputs by network level'!J143</f>
        <v>0.73908767276423848</v>
      </c>
      <c r="O43" s="114">
        <f>'ARP_Inputs by network level'!J144</f>
        <v>0.59550355516188336</v>
      </c>
      <c r="P43" s="114">
        <f>'ARP_Inputs by network level'!J145</f>
        <v>0</v>
      </c>
      <c r="Q43" s="114">
        <f>'ARP_Inputs by network level'!J146</f>
        <v>0.59550355516188336</v>
      </c>
      <c r="R43" s="114">
        <f>'ARP_Inputs by network level'!J147</f>
        <v>0.59550355516188336</v>
      </c>
      <c r="S43" s="114">
        <f>'ARP_Inputs by network level'!J148</f>
        <v>0.59550355516188336</v>
      </c>
    </row>
    <row r="44" spans="2:27" x14ac:dyDescent="0.25">
      <c r="F44" t="s">
        <v>85</v>
      </c>
      <c r="G44" s="92" t="s">
        <v>94</v>
      </c>
      <c r="J44" s="71"/>
      <c r="K44" s="120">
        <f>'ARP_Inputs by network level'!J152</f>
        <v>0.25617846550417606</v>
      </c>
      <c r="L44" s="120">
        <f>'ARP_Inputs by network level'!J153</f>
        <v>0</v>
      </c>
      <c r="M44" s="120">
        <f>'ARP_Inputs by network level'!J154</f>
        <v>0</v>
      </c>
      <c r="N44" s="120">
        <f>'ARP_Inputs by network level'!J155</f>
        <v>0.25617846550417606</v>
      </c>
      <c r="O44" s="120">
        <f>'ARP_Inputs by network level'!J156</f>
        <v>0.39398042542826833</v>
      </c>
      <c r="P44" s="120">
        <f>'ARP_Inputs by network level'!J157</f>
        <v>0</v>
      </c>
      <c r="Q44" s="120">
        <f>'ARP_Inputs by network level'!J158</f>
        <v>0.39398042542826833</v>
      </c>
      <c r="R44" s="120">
        <f>'ARP_Inputs by network level'!J159</f>
        <v>0.39398042542826833</v>
      </c>
      <c r="S44" s="120">
        <f>'ARP_Inputs by network level'!J160</f>
        <v>0.39398042542826833</v>
      </c>
    </row>
    <row r="45" spans="2:27" x14ac:dyDescent="0.25">
      <c r="F45" s="17" t="s">
        <v>86</v>
      </c>
      <c r="G45" s="34" t="s">
        <v>94</v>
      </c>
      <c r="H45" s="17"/>
      <c r="I45" s="17"/>
      <c r="J45" s="86"/>
      <c r="K45" s="337">
        <f>'ARP_Inputs by network level'!J164</f>
        <v>4.7341428587617208E-3</v>
      </c>
      <c r="L45" s="337">
        <f>'ARP_Inputs by network level'!J165</f>
        <v>0</v>
      </c>
      <c r="M45" s="337">
        <f>'ARP_Inputs by network level'!J166</f>
        <v>0</v>
      </c>
      <c r="N45" s="337">
        <f>'ARP_Inputs by network level'!J167</f>
        <v>4.7341428587617208E-3</v>
      </c>
      <c r="O45" s="337">
        <f>'ARP_Inputs by network level'!J168</f>
        <v>1.051601940984799E-2</v>
      </c>
      <c r="P45" s="337">
        <f>'ARP_Inputs by network level'!J169</f>
        <v>0</v>
      </c>
      <c r="Q45" s="337">
        <f>'ARP_Inputs by network level'!J170</f>
        <v>1.051601940984799E-2</v>
      </c>
      <c r="R45" s="337">
        <f>'ARP_Inputs by network level'!J171</f>
        <v>1.051601940984799E-2</v>
      </c>
      <c r="S45" s="337">
        <f>'ARP_Inputs by network level'!J172</f>
        <v>1.051601940984799E-2</v>
      </c>
    </row>
    <row r="46" spans="2:27" x14ac:dyDescent="0.25">
      <c r="F46" s="17" t="s">
        <v>87</v>
      </c>
      <c r="G46" s="34" t="s">
        <v>94</v>
      </c>
      <c r="H46" s="17"/>
      <c r="I46" s="17"/>
      <c r="J46" s="86"/>
      <c r="K46" s="337">
        <f>'ARP_Inputs by network level'!J176</f>
        <v>0.66927169570754697</v>
      </c>
      <c r="L46" s="337">
        <f>'ARP_Inputs by network level'!J177</f>
        <v>0</v>
      </c>
      <c r="M46" s="337">
        <f>'ARP_Inputs by network level'!J178</f>
        <v>0</v>
      </c>
      <c r="N46" s="337">
        <f>'ARP_Inputs by network level'!J179</f>
        <v>0.66927169570754697</v>
      </c>
      <c r="O46" s="337">
        <f>'ARP_Inputs by network level'!J180</f>
        <v>0.56487110652622663</v>
      </c>
      <c r="P46" s="337">
        <f>'ARP_Inputs by network level'!J181</f>
        <v>0</v>
      </c>
      <c r="Q46" s="337">
        <f>'ARP_Inputs by network level'!J182</f>
        <v>0.56487110652622663</v>
      </c>
      <c r="R46" s="337">
        <f>'ARP_Inputs by network level'!J183</f>
        <v>0.56487110652622663</v>
      </c>
      <c r="S46" s="337">
        <f>'ARP_Inputs by network level'!J184</f>
        <v>0.56487110652622663</v>
      </c>
    </row>
    <row r="48" spans="2:27" x14ac:dyDescent="0.25">
      <c r="B48" s="82" t="s">
        <v>109</v>
      </c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W48" s="82"/>
      <c r="X48" s="82"/>
      <c r="Y48" s="82"/>
      <c r="Z48" s="82"/>
      <c r="AA48" s="82"/>
    </row>
    <row r="50" spans="2:27" x14ac:dyDescent="0.25">
      <c r="E50" t="s">
        <v>415</v>
      </c>
      <c r="G50" s="46" t="s">
        <v>588</v>
      </c>
      <c r="H50" s="320">
        <f t="array" ref="H50">SUM(IF(ISERROR(H18:AA47), 1))</f>
        <v>0</v>
      </c>
    </row>
    <row r="52" spans="2:27" x14ac:dyDescent="0.25">
      <c r="E52" t="s">
        <v>643</v>
      </c>
      <c r="G52" s="46" t="s">
        <v>588</v>
      </c>
      <c r="H52" s="320">
        <f>IF(K22 = 1, 0, 1)</f>
        <v>0</v>
      </c>
    </row>
    <row r="54" spans="2:27" x14ac:dyDescent="0.25">
      <c r="E54" s="52" t="s">
        <v>787</v>
      </c>
    </row>
    <row r="55" spans="2:27" x14ac:dyDescent="0.25">
      <c r="E55" s="73" t="s">
        <v>624</v>
      </c>
    </row>
    <row r="56" spans="2:27" x14ac:dyDescent="0.25">
      <c r="F56" s="80" t="s">
        <v>788</v>
      </c>
      <c r="G56" s="53" t="s">
        <v>588</v>
      </c>
      <c r="H56" s="149">
        <f>SUM(K56:S56)</f>
        <v>0</v>
      </c>
      <c r="I56" s="80"/>
      <c r="J56" s="89"/>
      <c r="K56" s="149">
        <f>IF(ABS(SUM(K43:K45) - 1) &lt; 10^-check_decimals, 0, 1)</f>
        <v>0</v>
      </c>
      <c r="L56" s="89"/>
      <c r="M56" s="89"/>
      <c r="N56" s="149">
        <f>IF(ABS(SUM(N43:N45) - 1) &lt; 10^-check_decimals, 0, 1)</f>
        <v>0</v>
      </c>
      <c r="O56" s="149">
        <f>IF(ABS(SUM(O43:O45) - 1) &lt; 10^-check_decimals, 0, 1)</f>
        <v>0</v>
      </c>
      <c r="P56" s="89"/>
      <c r="Q56" s="149">
        <f>IF(ABS(SUM(Q43:Q45) - 1) &lt; 10^-check_decimals, 0, 1)</f>
        <v>0</v>
      </c>
      <c r="R56" s="149">
        <f>IF(ABS(SUM(R43:R45) - 1) &lt; 10^-check_decimals, 0, 1)</f>
        <v>0</v>
      </c>
      <c r="S56" s="149">
        <f>IF(ABS(SUM(S43:S45) - 1) &lt; 10^-check_decimals, 0, 1)</f>
        <v>0</v>
      </c>
    </row>
    <row r="57" spans="2:27" x14ac:dyDescent="0.25">
      <c r="F57" s="17" t="s">
        <v>44</v>
      </c>
      <c r="G57" s="54" t="s">
        <v>588</v>
      </c>
      <c r="H57" s="151">
        <f>SUM(K57:S57)</f>
        <v>0</v>
      </c>
      <c r="I57" s="17"/>
      <c r="J57" s="86"/>
      <c r="K57" s="86"/>
      <c r="L57" s="151">
        <f>IF(OR(ABS(SUM(L43:L45) - 1) &lt; 10^-check_decimals, ABS(SUM(L43:L45) - 0) &lt; 10^-check_decimals), 0, 1)</f>
        <v>0</v>
      </c>
      <c r="M57" s="151">
        <f>IF(OR(ABS(SUM(M43:M45) - 1) &lt; 10^-check_decimals, ABS(SUM(M43:M45) - 0) &lt; 10^-check_decimals), 0, 1)</f>
        <v>0</v>
      </c>
      <c r="N57" s="86"/>
      <c r="O57" s="86"/>
      <c r="P57" s="151">
        <f>IF(OR(ABS(SUM(P43:P45) - 1) &lt; 10^-check_decimals, ABS(SUM(P43:P45) - 0) &lt; 10^-check_decimals), 0, 1)</f>
        <v>0</v>
      </c>
      <c r="Q57" s="86"/>
      <c r="R57" s="86"/>
      <c r="S57" s="86"/>
    </row>
    <row r="59" spans="2:27" x14ac:dyDescent="0.25">
      <c r="E59" t="s">
        <v>374</v>
      </c>
      <c r="G59" s="46" t="s">
        <v>588</v>
      </c>
      <c r="H59" s="263">
        <f>SUM(H50:H57)</f>
        <v>0</v>
      </c>
    </row>
    <row r="61" spans="2:27" x14ac:dyDescent="0.25">
      <c r="B61" s="82" t="s">
        <v>110</v>
      </c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W61" s="82"/>
      <c r="X61" s="82"/>
      <c r="Y61" s="82"/>
      <c r="Z61" s="82"/>
      <c r="AA61" s="82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scale="25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0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10" width="50.5703125" customWidth="1"/>
    <col min="11" max="11" width="2.42578125" customWidth="1"/>
    <col min="12" max="17" width="15.42578125" hidden="1" customWidth="1"/>
    <col min="18" max="27" width="20.5703125" hidden="1" customWidth="1"/>
    <col min="28" max="28" width="2.5703125" hidden="1" customWidth="1"/>
    <col min="29" max="256" width="20.5703125" hidden="1" customWidth="1"/>
    <col min="257" max="16384" width="9.42578125" hidden="1"/>
  </cols>
  <sheetData>
    <row r="1" spans="1:27" s="8" customFormat="1" x14ac:dyDescent="0.25">
      <c r="A1" s="8" t="str">
        <f ca="1">MID(CELL("filename",A1),FIND("]",CELL("filename",A1))+1,255)</f>
        <v>General inputs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H118 &amp; IF(H118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x14ac:dyDescent="0.25">
      <c r="B5" s="314" t="s">
        <v>451</v>
      </c>
      <c r="C5" s="315"/>
      <c r="D5" s="315"/>
      <c r="E5" s="315"/>
      <c r="F5" s="315"/>
      <c r="G5" s="160" t="s">
        <v>91</v>
      </c>
      <c r="H5" s="6" t="s">
        <v>92</v>
      </c>
      <c r="J5" s="1" t="s">
        <v>93</v>
      </c>
    </row>
    <row r="6" spans="1:27" x14ac:dyDescent="0.25">
      <c r="G6" s="91"/>
    </row>
    <row r="7" spans="1:27" x14ac:dyDescent="0.25">
      <c r="B7" s="82" t="s">
        <v>90</v>
      </c>
      <c r="C7" s="82"/>
      <c r="D7" s="82"/>
      <c r="E7" s="82"/>
      <c r="F7" s="82"/>
      <c r="G7" s="107"/>
      <c r="H7" s="82"/>
      <c r="I7" s="82"/>
      <c r="J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8" spans="1:27" x14ac:dyDescent="0.25">
      <c r="G8" s="91"/>
    </row>
    <row r="9" spans="1:27" x14ac:dyDescent="0.25">
      <c r="C9" s="73" t="s">
        <v>438</v>
      </c>
      <c r="G9" s="91"/>
    </row>
    <row r="10" spans="1:27" x14ac:dyDescent="0.25">
      <c r="G10" s="91"/>
    </row>
    <row r="11" spans="1:27" x14ac:dyDescent="0.25">
      <c r="C11" s="73"/>
      <c r="E11" t="s">
        <v>481</v>
      </c>
      <c r="G11" t="s">
        <v>482</v>
      </c>
      <c r="H11" s="344" t="str">
        <f>charging_year_selected</f>
        <v>2024/25</v>
      </c>
    </row>
    <row r="12" spans="1:27" x14ac:dyDescent="0.25">
      <c r="C12" s="73"/>
      <c r="E12" t="s">
        <v>466</v>
      </c>
      <c r="G12" t="s">
        <v>312</v>
      </c>
      <c r="H12" s="391" t="str">
        <f>'ARP_User control'!$H$36</f>
        <v>Current</v>
      </c>
    </row>
    <row r="13" spans="1:27" x14ac:dyDescent="0.25">
      <c r="G13" s="91"/>
    </row>
    <row r="14" spans="1:27" x14ac:dyDescent="0.25">
      <c r="B14" s="82" t="s">
        <v>552</v>
      </c>
      <c r="C14" s="82"/>
      <c r="D14" s="82"/>
      <c r="E14" s="82"/>
      <c r="F14" s="82"/>
      <c r="G14" s="107"/>
      <c r="H14" s="82"/>
      <c r="I14" s="82"/>
      <c r="J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</row>
    <row r="15" spans="1:27" x14ac:dyDescent="0.25">
      <c r="G15" s="91"/>
    </row>
    <row r="16" spans="1:27" x14ac:dyDescent="0.25">
      <c r="C16" s="5" t="str">
        <f ca="1">INDEX('Version control'!$H$36:$H$62,MATCH($A$1,'Version control'!$F$36:$F$62,0),1)&amp;"-A: Inputs by distribution timeband"</f>
        <v>Section 503-A: Inputs by distribution timeband</v>
      </c>
      <c r="D16" s="5"/>
      <c r="E16" s="5"/>
      <c r="F16" s="5"/>
      <c r="G16" s="144"/>
      <c r="H16" s="5"/>
      <c r="I16" s="5"/>
      <c r="J16" s="5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</row>
    <row r="17" spans="3:27" x14ac:dyDescent="0.25">
      <c r="G17" s="91"/>
    </row>
    <row r="18" spans="3:27" x14ac:dyDescent="0.25">
      <c r="D18" s="52" t="s">
        <v>206</v>
      </c>
      <c r="E18" s="52"/>
      <c r="G18" s="91"/>
      <c r="I18" t="s">
        <v>359</v>
      </c>
      <c r="J18" t="s">
        <v>812</v>
      </c>
    </row>
    <row r="19" spans="3:27" x14ac:dyDescent="0.25">
      <c r="E19" s="14" t="s">
        <v>87</v>
      </c>
      <c r="F19" s="14"/>
      <c r="G19" s="108" t="s">
        <v>506</v>
      </c>
      <c r="H19" s="228">
        <f>'ARP_General inputs'!J19</f>
        <v>258</v>
      </c>
    </row>
    <row r="20" spans="3:27" x14ac:dyDescent="0.25">
      <c r="E20" s="12" t="s">
        <v>88</v>
      </c>
      <c r="F20" s="12"/>
      <c r="G20" s="91" t="s">
        <v>506</v>
      </c>
      <c r="H20" s="229">
        <f>'ARP_General inputs'!J20</f>
        <v>3942.5</v>
      </c>
    </row>
    <row r="21" spans="3:27" x14ac:dyDescent="0.25">
      <c r="E21" s="13" t="s">
        <v>86</v>
      </c>
      <c r="F21" s="13"/>
      <c r="G21" s="109" t="s">
        <v>506</v>
      </c>
      <c r="H21" s="230">
        <f>'ARP_General inputs'!J21</f>
        <v>4559.5</v>
      </c>
    </row>
    <row r="22" spans="3:27" x14ac:dyDescent="0.25">
      <c r="G22" s="91"/>
      <c r="H22" s="211"/>
    </row>
    <row r="23" spans="3:27" x14ac:dyDescent="0.25">
      <c r="D23" s="52" t="s">
        <v>207</v>
      </c>
      <c r="E23" s="52"/>
      <c r="G23" s="91"/>
      <c r="H23" s="211"/>
      <c r="I23" t="s">
        <v>359</v>
      </c>
      <c r="J23" t="s">
        <v>812</v>
      </c>
    </row>
    <row r="24" spans="3:27" x14ac:dyDescent="0.25">
      <c r="E24" s="80" t="s">
        <v>84</v>
      </c>
      <c r="F24" s="80"/>
      <c r="G24" s="108" t="s">
        <v>506</v>
      </c>
      <c r="H24" s="228">
        <f>'ARP_General inputs'!J24</f>
        <v>783</v>
      </c>
    </row>
    <row r="25" spans="3:27" x14ac:dyDescent="0.25">
      <c r="E25" t="s">
        <v>85</v>
      </c>
      <c r="G25" s="91" t="s">
        <v>506</v>
      </c>
      <c r="H25" s="229">
        <f>'ARP_General inputs'!J25</f>
        <v>3417.5</v>
      </c>
    </row>
    <row r="26" spans="3:27" x14ac:dyDescent="0.25">
      <c r="E26" s="17" t="s">
        <v>86</v>
      </c>
      <c r="F26" s="17"/>
      <c r="G26" s="109" t="s">
        <v>506</v>
      </c>
      <c r="H26" s="230">
        <f>'ARP_General inputs'!J26</f>
        <v>4559.5</v>
      </c>
    </row>
    <row r="27" spans="3:27" x14ac:dyDescent="0.25">
      <c r="G27" s="91"/>
    </row>
    <row r="28" spans="3:27" x14ac:dyDescent="0.25">
      <c r="C28" s="5" t="str">
        <f ca="1">INDEX('Version control'!$H$36:$H$62,MATCH($A$1,'Version control'!$F$36:$F$62,0),1)&amp;"-B: LDNO discount inputs"</f>
        <v>Section 503-B: LDNO discount inputs</v>
      </c>
      <c r="D28" s="5"/>
      <c r="E28" s="5"/>
      <c r="F28" s="5"/>
      <c r="G28" s="144"/>
      <c r="H28" s="5"/>
      <c r="I28" s="5"/>
      <c r="J28" s="5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</row>
    <row r="29" spans="3:27" x14ac:dyDescent="0.25">
      <c r="G29" s="91"/>
    </row>
    <row r="30" spans="3:27" x14ac:dyDescent="0.25">
      <c r="D30" s="73" t="s">
        <v>789</v>
      </c>
      <c r="E30" s="73"/>
      <c r="G30" s="91"/>
    </row>
    <row r="31" spans="3:27" x14ac:dyDescent="0.25">
      <c r="D31" s="73"/>
      <c r="E31" s="73"/>
      <c r="G31" s="91"/>
    </row>
    <row r="32" spans="3:27" x14ac:dyDescent="0.25">
      <c r="D32" s="52" t="s">
        <v>198</v>
      </c>
      <c r="E32" s="52"/>
      <c r="G32" s="91"/>
      <c r="I32" t="s">
        <v>359</v>
      </c>
      <c r="J32" t="s">
        <v>693</v>
      </c>
    </row>
    <row r="33" spans="3:27" x14ac:dyDescent="0.25">
      <c r="E33" s="14" t="s">
        <v>66</v>
      </c>
      <c r="F33" s="80"/>
      <c r="G33" s="38" t="s">
        <v>94</v>
      </c>
      <c r="H33" s="114">
        <f>'ARP_General inputs'!J33</f>
        <v>0.40624392198207837</v>
      </c>
    </row>
    <row r="34" spans="3:27" x14ac:dyDescent="0.25">
      <c r="E34" s="12" t="s">
        <v>67</v>
      </c>
      <c r="G34" s="92" t="s">
        <v>94</v>
      </c>
      <c r="H34" s="120">
        <f>'ARP_General inputs'!J34</f>
        <v>0.60699642425647604</v>
      </c>
    </row>
    <row r="35" spans="3:27" x14ac:dyDescent="0.25">
      <c r="E35" s="12" t="s">
        <v>68</v>
      </c>
      <c r="G35" s="92" t="s">
        <v>94</v>
      </c>
      <c r="H35" s="120">
        <f>'ARP_General inputs'!J35</f>
        <v>0.33703941159411843</v>
      </c>
    </row>
    <row r="36" spans="3:27" x14ac:dyDescent="0.25">
      <c r="E36" s="13" t="s">
        <v>69</v>
      </c>
      <c r="F36" s="17"/>
      <c r="G36" s="34" t="s">
        <v>94</v>
      </c>
      <c r="H36" s="337">
        <f>'ARP_General inputs'!J36</f>
        <v>0.23936190643348279</v>
      </c>
    </row>
    <row r="37" spans="3:27" x14ac:dyDescent="0.25">
      <c r="G37" s="91"/>
    </row>
    <row r="38" spans="3:27" x14ac:dyDescent="0.25">
      <c r="C38" s="5" t="str">
        <f ca="1">INDEX('Version control'!$H$36:$H$62,MATCH($A$1,'Version control'!$F$36:$F$62,0),1)&amp;"-C: CDCM target revenue"</f>
        <v>Section 503-C: CDCM target revenue</v>
      </c>
      <c r="D38" s="5"/>
      <c r="E38" s="5"/>
      <c r="F38" s="5"/>
      <c r="G38" s="144"/>
      <c r="H38" s="5"/>
      <c r="I38" s="5"/>
      <c r="J38" s="5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</row>
    <row r="40" spans="3:27" x14ac:dyDescent="0.25">
      <c r="D40" s="73" t="s">
        <v>694</v>
      </c>
      <c r="E40" s="73"/>
      <c r="G40" s="91"/>
      <c r="H40" s="91"/>
      <c r="I40" t="s">
        <v>359</v>
      </c>
      <c r="J40" t="s">
        <v>1253</v>
      </c>
      <c r="K40" s="91"/>
      <c r="L40" s="91"/>
      <c r="M40" s="91"/>
      <c r="N40" s="91"/>
      <c r="O40" s="91"/>
      <c r="P40" s="91"/>
      <c r="Q40" s="91"/>
      <c r="R40" s="91"/>
      <c r="S40" s="91"/>
    </row>
    <row r="41" spans="3:27" x14ac:dyDescent="0.25">
      <c r="D41" s="73" t="s">
        <v>1249</v>
      </c>
      <c r="E41" s="73"/>
      <c r="G41" s="91"/>
      <c r="H41" s="91"/>
      <c r="I41" s="91"/>
      <c r="J41" s="127"/>
      <c r="K41" s="91"/>
      <c r="L41" s="91"/>
      <c r="M41" s="91"/>
      <c r="N41" s="91"/>
      <c r="O41" s="91"/>
      <c r="P41" s="91"/>
      <c r="Q41" s="91"/>
      <c r="R41" s="91"/>
      <c r="S41" s="91"/>
    </row>
    <row r="42" spans="3:27" x14ac:dyDescent="0.25">
      <c r="E42" s="52"/>
    </row>
    <row r="43" spans="3:27" x14ac:dyDescent="0.25">
      <c r="E43" t="s">
        <v>0</v>
      </c>
      <c r="G43" t="s">
        <v>107</v>
      </c>
      <c r="H43" s="229">
        <f>'ARP_General inputs'!J43</f>
        <v>450557107.84395891</v>
      </c>
    </row>
    <row r="44" spans="3:27" x14ac:dyDescent="0.25">
      <c r="E44" t="s">
        <v>1</v>
      </c>
      <c r="G44" t="s">
        <v>107</v>
      </c>
      <c r="H44" s="229">
        <f>'ARP_General inputs'!J44</f>
        <v>525349.70002657233</v>
      </c>
    </row>
    <row r="45" spans="3:27" x14ac:dyDescent="0.25">
      <c r="E45" t="s">
        <v>2</v>
      </c>
      <c r="G45" t="s">
        <v>107</v>
      </c>
      <c r="H45" s="229">
        <f>'ARP_General inputs'!J45</f>
        <v>28355781.064506602</v>
      </c>
    </row>
    <row r="46" spans="3:27" x14ac:dyDescent="0.25">
      <c r="E46" s="17" t="s">
        <v>3</v>
      </c>
      <c r="F46" s="17"/>
      <c r="G46" s="17" t="s">
        <v>427</v>
      </c>
      <c r="H46" s="230">
        <f>'ARP_General inputs'!J46</f>
        <v>1.2487116883061693</v>
      </c>
    </row>
    <row r="47" spans="3:27" x14ac:dyDescent="0.25">
      <c r="E47" t="s">
        <v>4</v>
      </c>
      <c r="G47" t="s">
        <v>107</v>
      </c>
      <c r="H47" s="231">
        <f>SUM(H43:H45)</f>
        <v>479438238.60849208</v>
      </c>
    </row>
    <row r="48" spans="3:27" x14ac:dyDescent="0.25">
      <c r="E48" t="s">
        <v>437</v>
      </c>
      <c r="G48" t="s">
        <v>107</v>
      </c>
      <c r="H48" s="231">
        <f>H47 * (H46 - 1)</f>
        <v>119241893.7628541</v>
      </c>
    </row>
    <row r="49" spans="5:8" x14ac:dyDescent="0.25">
      <c r="H49" s="211"/>
    </row>
    <row r="50" spans="5:8" x14ac:dyDescent="0.25">
      <c r="E50" t="s">
        <v>5</v>
      </c>
      <c r="G50" t="s">
        <v>107</v>
      </c>
      <c r="H50" s="229">
        <f>'ARP_General inputs'!J50</f>
        <v>834652.05185373442</v>
      </c>
    </row>
    <row r="51" spans="5:8" x14ac:dyDescent="0.25">
      <c r="E51" t="s">
        <v>6</v>
      </c>
      <c r="G51" t="s">
        <v>107</v>
      </c>
      <c r="H51" s="229">
        <f>'ARP_General inputs'!J51</f>
        <v>-21154633.724595405</v>
      </c>
    </row>
    <row r="52" spans="5:8" x14ac:dyDescent="0.25">
      <c r="E52" t="s">
        <v>7</v>
      </c>
      <c r="G52" t="s">
        <v>107</v>
      </c>
      <c r="H52" s="229">
        <f>'ARP_General inputs'!J52</f>
        <v>-9685295.8031321373</v>
      </c>
    </row>
    <row r="53" spans="5:8" x14ac:dyDescent="0.25">
      <c r="E53" t="s">
        <v>8</v>
      </c>
      <c r="G53" t="s">
        <v>107</v>
      </c>
      <c r="H53" s="229">
        <f>'ARP_General inputs'!J53</f>
        <v>7193797.8841172177</v>
      </c>
    </row>
    <row r="54" spans="5:8" x14ac:dyDescent="0.25">
      <c r="E54" t="s">
        <v>9</v>
      </c>
      <c r="G54" t="s">
        <v>107</v>
      </c>
      <c r="H54" s="229">
        <f>'ARP_General inputs'!J54</f>
        <v>531282.04280333244</v>
      </c>
    </row>
    <row r="55" spans="5:8" x14ac:dyDescent="0.25">
      <c r="E55" t="s">
        <v>10</v>
      </c>
      <c r="G55" t="s">
        <v>107</v>
      </c>
      <c r="H55" s="229">
        <f>'ARP_General inputs'!J55</f>
        <v>0</v>
      </c>
    </row>
    <row r="56" spans="5:8" x14ac:dyDescent="0.25">
      <c r="E56" t="s">
        <v>957</v>
      </c>
      <c r="G56" t="s">
        <v>107</v>
      </c>
      <c r="H56" s="229">
        <f>'ARP_General inputs'!J56</f>
        <v>1211184.4474688924</v>
      </c>
    </row>
    <row r="57" spans="5:8" x14ac:dyDescent="0.25">
      <c r="E57" t="s">
        <v>958</v>
      </c>
      <c r="G57" t="s">
        <v>107</v>
      </c>
      <c r="H57" s="229">
        <f>'ARP_General inputs'!J57</f>
        <v>2435630.7059293278</v>
      </c>
    </row>
    <row r="58" spans="5:8" x14ac:dyDescent="0.25">
      <c r="E58" t="s">
        <v>1247</v>
      </c>
      <c r="G58" t="s">
        <v>107</v>
      </c>
      <c r="H58" s="229">
        <f>'ARP_General inputs'!J58</f>
        <v>0</v>
      </c>
    </row>
    <row r="59" spans="5:8" x14ac:dyDescent="0.25">
      <c r="E59" s="17" t="s">
        <v>11</v>
      </c>
      <c r="F59" s="17"/>
      <c r="G59" s="17" t="s">
        <v>107</v>
      </c>
      <c r="H59" s="230">
        <f>'ARP_General inputs'!J59</f>
        <v>0</v>
      </c>
    </row>
    <row r="60" spans="5:8" x14ac:dyDescent="0.25">
      <c r="E60" t="s">
        <v>12</v>
      </c>
      <c r="G60" t="s">
        <v>107</v>
      </c>
      <c r="H60" s="226">
        <f>SUM(H50:H59)</f>
        <v>-18633382.395555038</v>
      </c>
    </row>
    <row r="61" spans="5:8" x14ac:dyDescent="0.25">
      <c r="H61" s="211"/>
    </row>
    <row r="62" spans="5:8" x14ac:dyDescent="0.25">
      <c r="E62" t="s">
        <v>13</v>
      </c>
      <c r="G62" t="s">
        <v>107</v>
      </c>
      <c r="H62" s="229">
        <f>'ARP_General inputs'!J62</f>
        <v>4391971.4560801601</v>
      </c>
    </row>
    <row r="63" spans="5:8" x14ac:dyDescent="0.25">
      <c r="E63" t="s">
        <v>14</v>
      </c>
      <c r="G63" t="s">
        <v>107</v>
      </c>
      <c r="H63" s="229">
        <f>'ARP_General inputs'!J63</f>
        <v>14475034.535485072</v>
      </c>
    </row>
    <row r="64" spans="5:8" x14ac:dyDescent="0.25">
      <c r="E64" t="s">
        <v>15</v>
      </c>
      <c r="G64" t="s">
        <v>107</v>
      </c>
      <c r="H64" s="229">
        <f>'ARP_General inputs'!J64</f>
        <v>0</v>
      </c>
    </row>
    <row r="65" spans="5:8" x14ac:dyDescent="0.25">
      <c r="E65" t="s">
        <v>16</v>
      </c>
      <c r="G65" t="s">
        <v>107</v>
      </c>
      <c r="H65" s="229">
        <f>'ARP_General inputs'!J65</f>
        <v>850058.9914993858</v>
      </c>
    </row>
    <row r="66" spans="5:8" x14ac:dyDescent="0.25">
      <c r="E66" t="s">
        <v>17</v>
      </c>
      <c r="G66" t="s">
        <v>107</v>
      </c>
      <c r="H66" s="229">
        <f>'ARP_General inputs'!J66</f>
        <v>0</v>
      </c>
    </row>
    <row r="67" spans="5:8" x14ac:dyDescent="0.25">
      <c r="E67" t="s">
        <v>18</v>
      </c>
      <c r="G67" t="s">
        <v>107</v>
      </c>
      <c r="H67" s="229">
        <f>'ARP_General inputs'!J67</f>
        <v>0</v>
      </c>
    </row>
    <row r="68" spans="5:8" x14ac:dyDescent="0.25">
      <c r="E68" t="s">
        <v>19</v>
      </c>
      <c r="G68" t="s">
        <v>107</v>
      </c>
      <c r="H68" s="229">
        <f>'ARP_General inputs'!J68</f>
        <v>0</v>
      </c>
    </row>
    <row r="69" spans="5:8" x14ac:dyDescent="0.25">
      <c r="E69" t="s">
        <v>20</v>
      </c>
      <c r="G69" t="s">
        <v>107</v>
      </c>
      <c r="H69" s="229">
        <f>'ARP_General inputs'!J69</f>
        <v>0</v>
      </c>
    </row>
    <row r="70" spans="5:8" x14ac:dyDescent="0.25">
      <c r="E70" t="s">
        <v>21</v>
      </c>
      <c r="G70" t="s">
        <v>107</v>
      </c>
      <c r="H70" s="229">
        <f>'ARP_General inputs'!J70</f>
        <v>0</v>
      </c>
    </row>
    <row r="71" spans="5:8" x14ac:dyDescent="0.25">
      <c r="E71" t="s">
        <v>22</v>
      </c>
      <c r="G71" t="s">
        <v>107</v>
      </c>
      <c r="H71" s="229">
        <f>'ARP_General inputs'!J71</f>
        <v>0</v>
      </c>
    </row>
    <row r="72" spans="5:8" x14ac:dyDescent="0.25">
      <c r="E72" s="17" t="s">
        <v>23</v>
      </c>
      <c r="F72" s="17"/>
      <c r="G72" s="17" t="s">
        <v>107</v>
      </c>
      <c r="H72" s="230">
        <f>'ARP_General inputs'!J72</f>
        <v>0</v>
      </c>
    </row>
    <row r="73" spans="5:8" x14ac:dyDescent="0.25">
      <c r="E73" t="s">
        <v>24</v>
      </c>
      <c r="G73" t="s">
        <v>107</v>
      </c>
      <c r="H73" s="231">
        <f>SUM(H62:H72)</f>
        <v>19717064.983064618</v>
      </c>
    </row>
    <row r="74" spans="5:8" x14ac:dyDescent="0.25">
      <c r="H74" s="211"/>
    </row>
    <row r="75" spans="5:8" x14ac:dyDescent="0.25">
      <c r="E75" s="17" t="s">
        <v>25</v>
      </c>
      <c r="F75" s="17"/>
      <c r="G75" s="17" t="s">
        <v>107</v>
      </c>
      <c r="H75" s="230">
        <f>'ARP_General inputs'!J75</f>
        <v>0</v>
      </c>
    </row>
    <row r="76" spans="5:8" x14ac:dyDescent="0.25">
      <c r="E76" t="s">
        <v>26</v>
      </c>
      <c r="G76" t="s">
        <v>107</v>
      </c>
      <c r="H76" s="231">
        <f>H75 + H73 + H60 + H48 + H47</f>
        <v>599763814.95885575</v>
      </c>
    </row>
    <row r="77" spans="5:8" x14ac:dyDescent="0.25">
      <c r="H77" s="211"/>
    </row>
    <row r="78" spans="5:8" x14ac:dyDescent="0.25">
      <c r="E78" t="s">
        <v>27</v>
      </c>
      <c r="G78" t="s">
        <v>107</v>
      </c>
      <c r="H78" s="229">
        <f>'ARP_General inputs'!J78</f>
        <v>0</v>
      </c>
    </row>
    <row r="79" spans="5:8" x14ac:dyDescent="0.25">
      <c r="E79" t="s">
        <v>28</v>
      </c>
      <c r="G79" t="s">
        <v>107</v>
      </c>
      <c r="H79" s="229">
        <f>'ARP_General inputs'!J79</f>
        <v>889433.55570979044</v>
      </c>
    </row>
    <row r="80" spans="5:8" x14ac:dyDescent="0.25">
      <c r="E80" t="s">
        <v>29</v>
      </c>
      <c r="G80" t="s">
        <v>107</v>
      </c>
      <c r="H80" s="229">
        <f>'ARP_General inputs'!J80</f>
        <v>0</v>
      </c>
    </row>
    <row r="81" spans="3:27" x14ac:dyDescent="0.25">
      <c r="E81" t="s">
        <v>30</v>
      </c>
      <c r="G81" t="s">
        <v>107</v>
      </c>
      <c r="H81" s="229">
        <f>'ARP_General inputs'!J81</f>
        <v>0</v>
      </c>
    </row>
    <row r="82" spans="3:27" x14ac:dyDescent="0.25">
      <c r="E82" s="17" t="s">
        <v>31</v>
      </c>
      <c r="F82" s="17"/>
      <c r="G82" s="17" t="s">
        <v>107</v>
      </c>
      <c r="H82" s="230">
        <f>'ARP_General inputs'!J82</f>
        <v>0</v>
      </c>
    </row>
    <row r="83" spans="3:27" x14ac:dyDescent="0.25">
      <c r="E83" s="17" t="s">
        <v>32</v>
      </c>
      <c r="F83" s="17"/>
      <c r="G83" s="17" t="s">
        <v>107</v>
      </c>
      <c r="H83" s="225">
        <f>SUM(H78:H82)</f>
        <v>889433.55570979044</v>
      </c>
    </row>
    <row r="84" spans="3:27" x14ac:dyDescent="0.25">
      <c r="E84" t="s">
        <v>33</v>
      </c>
      <c r="G84" t="s">
        <v>107</v>
      </c>
      <c r="H84" s="226">
        <f>H76+H83</f>
        <v>600653248.51456559</v>
      </c>
    </row>
    <row r="85" spans="3:27" x14ac:dyDescent="0.25">
      <c r="H85" s="211"/>
    </row>
    <row r="86" spans="3:27" x14ac:dyDescent="0.25">
      <c r="E86" t="s">
        <v>34</v>
      </c>
      <c r="G86" t="s">
        <v>107</v>
      </c>
      <c r="H86" s="229">
        <f>'ARP_General inputs'!J86</f>
        <v>10162887.099556599</v>
      </c>
    </row>
    <row r="87" spans="3:27" x14ac:dyDescent="0.25">
      <c r="E87" t="s">
        <v>35</v>
      </c>
      <c r="G87" t="s">
        <v>107</v>
      </c>
      <c r="H87" s="229">
        <f>'ARP_General inputs'!J87</f>
        <v>0</v>
      </c>
    </row>
    <row r="88" spans="3:27" x14ac:dyDescent="0.25">
      <c r="E88" t="s">
        <v>36</v>
      </c>
      <c r="G88" t="s">
        <v>107</v>
      </c>
      <c r="H88" s="229">
        <f>'ARP_General inputs'!J88</f>
        <v>0</v>
      </c>
    </row>
    <row r="89" spans="3:27" x14ac:dyDescent="0.25">
      <c r="E89" s="17" t="s">
        <v>37</v>
      </c>
      <c r="F89" s="17"/>
      <c r="G89" s="17" t="s">
        <v>107</v>
      </c>
      <c r="H89" s="230">
        <f>'ARP_General inputs'!J89</f>
        <v>0</v>
      </c>
    </row>
    <row r="90" spans="3:27" x14ac:dyDescent="0.25">
      <c r="E90" t="s">
        <v>38</v>
      </c>
      <c r="G90" t="s">
        <v>107</v>
      </c>
      <c r="H90" s="231">
        <f>SUM(H86:H89)</f>
        <v>10162887.099556599</v>
      </c>
    </row>
    <row r="91" spans="3:27" x14ac:dyDescent="0.25">
      <c r="E91" s="80" t="s">
        <v>39</v>
      </c>
      <c r="F91" s="80"/>
      <c r="G91" s="80" t="s">
        <v>107</v>
      </c>
      <c r="H91" s="213">
        <f>H84-H90</f>
        <v>590490361.41500902</v>
      </c>
    </row>
    <row r="92" spans="3:27" x14ac:dyDescent="0.25">
      <c r="H92" s="329"/>
    </row>
    <row r="93" spans="3:27" x14ac:dyDescent="0.25">
      <c r="C93" s="5" t="str">
        <f ca="1">INDEX('Version control'!$H$36:$H$62,MATCH($A$1,'Version control'!$F$36:$F$62,0),1)&amp;"-D: Financial and general assumptions"</f>
        <v>Section 503-D: Financial and general assumptions</v>
      </c>
      <c r="D93" s="5"/>
      <c r="E93" s="5"/>
      <c r="F93" s="5"/>
      <c r="G93" s="144"/>
      <c r="H93" s="5"/>
      <c r="I93" s="5"/>
      <c r="J93" s="5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</row>
    <row r="95" spans="3:27" x14ac:dyDescent="0.25">
      <c r="E95" s="12" t="s">
        <v>615</v>
      </c>
      <c r="G95" t="s">
        <v>94</v>
      </c>
      <c r="H95" s="331">
        <f>'ARP_General inputs'!J101</f>
        <v>3.7400000000000003E-2</v>
      </c>
      <c r="I95" t="s">
        <v>359</v>
      </c>
      <c r="J95" s="19" t="s">
        <v>695</v>
      </c>
    </row>
    <row r="96" spans="3:27" x14ac:dyDescent="0.25">
      <c r="E96" s="12" t="s">
        <v>41</v>
      </c>
      <c r="G96" s="12" t="s">
        <v>504</v>
      </c>
      <c r="H96" s="327">
        <f>'ARP_General inputs'!J102</f>
        <v>365</v>
      </c>
    </row>
    <row r="97" spans="2:27" x14ac:dyDescent="0.25">
      <c r="E97" t="s">
        <v>439</v>
      </c>
      <c r="G97" t="s">
        <v>210</v>
      </c>
      <c r="H97" s="263">
        <f>days_in_year * hours_in_day</f>
        <v>8760</v>
      </c>
    </row>
    <row r="99" spans="2:27" x14ac:dyDescent="0.25">
      <c r="C99" s="5" t="str">
        <f ca="1">INDEX('Version control'!$H$36:$H$62,MATCH($A$1,'Version control'!$F$36:$F$62,0),1)&amp;"-E: Transmission exit charges"</f>
        <v>Section 503-E: Transmission exit charges</v>
      </c>
      <c r="D99" s="5"/>
      <c r="E99" s="5"/>
      <c r="F99" s="5"/>
      <c r="G99" s="144"/>
      <c r="H99" s="5"/>
      <c r="I99" s="5"/>
      <c r="J99" s="5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</row>
    <row r="101" spans="2:27" x14ac:dyDescent="0.25">
      <c r="E101" s="12" t="s">
        <v>117</v>
      </c>
      <c r="G101" t="s">
        <v>505</v>
      </c>
      <c r="H101" s="229">
        <f>'ARP_General inputs'!J106</f>
        <v>14659010.308792224</v>
      </c>
      <c r="I101" t="s">
        <v>359</v>
      </c>
      <c r="J101" t="s">
        <v>696</v>
      </c>
    </row>
    <row r="102" spans="2:27" x14ac:dyDescent="0.25">
      <c r="H102" s="211"/>
    </row>
    <row r="103" spans="2:27" x14ac:dyDescent="0.25">
      <c r="C103" s="5" t="str">
        <f ca="1">INDEX('Version control'!$H$36:$H$62,MATCH($A$1,'Version control'!$F$36:$F$62,0),1)&amp;"-F: Other expenditure"</f>
        <v>Section 503-F: Other expenditure</v>
      </c>
      <c r="D103" s="5"/>
      <c r="E103" s="5"/>
      <c r="F103" s="5"/>
      <c r="G103" s="144"/>
      <c r="H103" s="205"/>
      <c r="I103" s="5"/>
      <c r="J103" s="5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</row>
    <row r="104" spans="2:27" x14ac:dyDescent="0.25">
      <c r="H104" s="211"/>
    </row>
    <row r="105" spans="2:27" x14ac:dyDescent="0.25">
      <c r="E105" s="52" t="s">
        <v>79</v>
      </c>
      <c r="F105" s="52"/>
      <c r="H105" s="211"/>
      <c r="I105" t="s">
        <v>359</v>
      </c>
      <c r="J105" t="s">
        <v>697</v>
      </c>
    </row>
    <row r="106" spans="2:27" x14ac:dyDescent="0.25">
      <c r="F106" s="14" t="s">
        <v>128</v>
      </c>
      <c r="G106" s="80" t="s">
        <v>505</v>
      </c>
      <c r="H106" s="228">
        <f>'ARP_General inputs'!J111</f>
        <v>24267804.289142318</v>
      </c>
    </row>
    <row r="107" spans="2:27" x14ac:dyDescent="0.25">
      <c r="F107" s="12" t="s">
        <v>129</v>
      </c>
      <c r="G107" t="s">
        <v>505</v>
      </c>
      <c r="H107" s="229">
        <f>'ARP_General inputs'!J112</f>
        <v>136953285.08491027</v>
      </c>
      <c r="R107" s="76"/>
      <c r="S107" s="76"/>
    </row>
    <row r="108" spans="2:27" x14ac:dyDescent="0.25">
      <c r="F108" s="13" t="s">
        <v>130</v>
      </c>
      <c r="G108" s="17" t="s">
        <v>505</v>
      </c>
      <c r="H108" s="230">
        <f>'ARP_General inputs'!J113</f>
        <v>21848366.6978046</v>
      </c>
      <c r="R108" s="76"/>
      <c r="S108" s="76"/>
    </row>
    <row r="110" spans="2:27" x14ac:dyDescent="0.25">
      <c r="B110" s="82" t="s">
        <v>109</v>
      </c>
      <c r="C110" s="82"/>
      <c r="D110" s="82"/>
      <c r="E110" s="82"/>
      <c r="F110" s="82"/>
      <c r="G110" s="82"/>
      <c r="H110" s="82"/>
      <c r="I110" s="82"/>
      <c r="J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</row>
    <row r="112" spans="2:27" x14ac:dyDescent="0.25">
      <c r="E112" t="s">
        <v>415</v>
      </c>
      <c r="G112" s="46" t="s">
        <v>588</v>
      </c>
      <c r="H112" s="320">
        <f t="array" ref="H112">SUM(IF(ISERROR(H6:H109), 1))</f>
        <v>0</v>
      </c>
    </row>
    <row r="114" spans="2:27" x14ac:dyDescent="0.25">
      <c r="E114" s="52" t="s">
        <v>782</v>
      </c>
    </row>
    <row r="115" spans="2:27" x14ac:dyDescent="0.25">
      <c r="F115" s="80" t="s">
        <v>440</v>
      </c>
      <c r="G115" s="53" t="s">
        <v>588</v>
      </c>
      <c r="H115" s="149">
        <f>IF(SUM(H19:H21) = hours_in_year, 0, 1)</f>
        <v>0</v>
      </c>
    </row>
    <row r="116" spans="2:27" x14ac:dyDescent="0.25">
      <c r="F116" s="17" t="s">
        <v>441</v>
      </c>
      <c r="G116" s="54" t="s">
        <v>588</v>
      </c>
      <c r="H116" s="151">
        <f>IF(SUM(H24:H26) = hours_in_year, 0, 1)</f>
        <v>0</v>
      </c>
    </row>
    <row r="118" spans="2:27" x14ac:dyDescent="0.25">
      <c r="E118" t="s">
        <v>374</v>
      </c>
      <c r="G118" s="46" t="s">
        <v>588</v>
      </c>
      <c r="H118" s="263">
        <f>SUM(H112,H115:H116)</f>
        <v>0</v>
      </c>
    </row>
    <row r="120" spans="2:27" x14ac:dyDescent="0.25">
      <c r="B120" s="82" t="s">
        <v>110</v>
      </c>
      <c r="C120" s="82"/>
      <c r="D120" s="82"/>
      <c r="E120" s="82"/>
      <c r="F120" s="82"/>
      <c r="G120" s="82"/>
      <c r="H120" s="82"/>
      <c r="I120" s="82"/>
      <c r="J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</row>
  </sheetData>
  <sheetProtection sheet="1" objects="1" formatCells="0" formatColumns="0" formatRows="0" sort="0" autoFilter="0"/>
  <conditionalFormatting sqref="H112">
    <cfRule type="cellIs" dxfId="184" priority="4" operator="greaterThan">
      <formula>0</formula>
    </cfRule>
  </conditionalFormatting>
  <conditionalFormatting sqref="H115:H117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8">
    <cfRule type="cellIs" dxfId="181" priority="1" operator="greaterThan">
      <formula>0</formula>
    </cfRule>
  </conditionalFormatting>
  <dataValidations count="5">
    <dataValidation type="whole" allowBlank="1" showInputMessage="1" showErrorMessage="1" sqref="H97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5" xr:uid="{28903D23-0946-4AC2-8028-14E322C75D52}">
      <formula1>0</formula1>
    </dataValidation>
    <dataValidation type="decimal" operator="greaterThanOrEqual" allowBlank="1" showInputMessage="1" showErrorMessage="1" sqref="H19:H21 H24:H26 H106:H108 H101" xr:uid="{B0ED83C4-FC1B-48AF-8FD9-176A823A8199}">
      <formula1>0</formula1>
    </dataValidation>
    <dataValidation type="decimal" allowBlank="1" showInputMessage="1" showErrorMessage="1" sqref="H96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scale="5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Standing charge factors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H58 &amp; IF(H58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65"/>
      <c r="D7" s="72"/>
      <c r="E7" s="72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</row>
    <row r="9" spans="1:27" x14ac:dyDescent="0.25">
      <c r="C9" s="73" t="s">
        <v>705</v>
      </c>
      <c r="E9"/>
    </row>
    <row r="10" spans="1:27" x14ac:dyDescent="0.25">
      <c r="C10" s="73" t="s">
        <v>512</v>
      </c>
      <c r="E10"/>
    </row>
    <row r="11" spans="1:27" x14ac:dyDescent="0.25">
      <c r="C11" s="73" t="s">
        <v>513</v>
      </c>
      <c r="E11"/>
    </row>
    <row r="12" spans="1:27" x14ac:dyDescent="0.25">
      <c r="C12" s="73" t="s">
        <v>514</v>
      </c>
      <c r="E12"/>
    </row>
    <row r="13" spans="1:27" x14ac:dyDescent="0.25">
      <c r="C13" s="73"/>
      <c r="E13"/>
    </row>
    <row r="14" spans="1:27" x14ac:dyDescent="0.25">
      <c r="C14" s="73" t="s">
        <v>327</v>
      </c>
      <c r="E14"/>
    </row>
    <row r="15" spans="1:27" x14ac:dyDescent="0.25">
      <c r="C15" s="73" t="s">
        <v>268</v>
      </c>
      <c r="E15"/>
    </row>
    <row r="17" spans="2:27" x14ac:dyDescent="0.25">
      <c r="B17" s="82" t="s">
        <v>367</v>
      </c>
      <c r="C17" s="65"/>
      <c r="D17" s="72"/>
      <c r="E17" s="72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</row>
    <row r="18" spans="2:27" x14ac:dyDescent="0.25">
      <c r="C18" s="76"/>
    </row>
    <row r="19" spans="2:27" x14ac:dyDescent="0.25">
      <c r="C19" s="5" t="str">
        <f ca="1">INDEX('Version control'!$H$36:$H$62,MATCH($A$1,'Version control'!$F$36:$F$62,0),1)&amp;"-A: Adjustments to standing charges"</f>
        <v>Section 504-A: Adjustments to standing charges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2:27" x14ac:dyDescent="0.25">
      <c r="C20" s="76"/>
    </row>
    <row r="21" spans="2:27" x14ac:dyDescent="0.25">
      <c r="D21" s="73" t="s">
        <v>423</v>
      </c>
      <c r="F21" s="84"/>
    </row>
    <row r="22" spans="2:27" x14ac:dyDescent="0.25">
      <c r="D22" s="76"/>
      <c r="F22" s="84"/>
    </row>
    <row r="23" spans="2:27" x14ac:dyDescent="0.25">
      <c r="D23"/>
      <c r="E23" s="52" t="s">
        <v>516</v>
      </c>
      <c r="F23" s="52"/>
      <c r="I23" t="s">
        <v>359</v>
      </c>
      <c r="AA23" t="s">
        <v>702</v>
      </c>
    </row>
    <row r="24" spans="2:27" x14ac:dyDescent="0.25">
      <c r="D24"/>
      <c r="E24" s="73" t="s">
        <v>706</v>
      </c>
    </row>
    <row r="25" spans="2:27" x14ac:dyDescent="0.25">
      <c r="D25" s="76"/>
      <c r="F25" s="80" t="s">
        <v>267</v>
      </c>
      <c r="G25" s="80" t="s">
        <v>94</v>
      </c>
      <c r="H25" s="80"/>
      <c r="I25" s="80"/>
      <c r="J25" s="114">
        <f>'Fixed inputs'!J88</f>
        <v>0</v>
      </c>
      <c r="K25" s="114">
        <f>'Fixed inputs'!K88</f>
        <v>0</v>
      </c>
      <c r="L25" s="114">
        <f>'Fixed inputs'!L88</f>
        <v>0</v>
      </c>
      <c r="M25" s="114">
        <f>'Fixed inputs'!M88</f>
        <v>0</v>
      </c>
      <c r="N25" s="114">
        <f>'Fixed inputs'!N88</f>
        <v>0</v>
      </c>
      <c r="O25" s="114">
        <f>'Fixed inputs'!O88</f>
        <v>0</v>
      </c>
      <c r="P25" s="114">
        <f>'Fixed inputs'!P88</f>
        <v>0</v>
      </c>
      <c r="Q25" s="114">
        <f>'Fixed inputs'!Q88</f>
        <v>0</v>
      </c>
      <c r="R25" s="89"/>
      <c r="S25" s="89"/>
      <c r="T25" s="89"/>
      <c r="U25" s="89"/>
      <c r="V25" s="89"/>
      <c r="W25" s="89"/>
      <c r="X25" s="89"/>
      <c r="Y25" s="89"/>
    </row>
    <row r="26" spans="2:27" x14ac:dyDescent="0.25">
      <c r="D26" s="76"/>
      <c r="F26" t="s">
        <v>43</v>
      </c>
      <c r="G26" t="s">
        <v>94</v>
      </c>
      <c r="J26" s="120">
        <f>'Fixed inputs'!J89</f>
        <v>0</v>
      </c>
      <c r="K26" s="120">
        <f>'Fixed inputs'!K89</f>
        <v>0</v>
      </c>
      <c r="L26" s="120">
        <f>'Fixed inputs'!L89</f>
        <v>0</v>
      </c>
      <c r="M26" s="120">
        <f>'Fixed inputs'!M89</f>
        <v>0</v>
      </c>
      <c r="N26" s="120">
        <f>'Fixed inputs'!N89</f>
        <v>0</v>
      </c>
      <c r="O26" s="120">
        <f>'Fixed inputs'!O89</f>
        <v>0</v>
      </c>
      <c r="P26" s="120">
        <f>'Fixed inputs'!P89</f>
        <v>0</v>
      </c>
      <c r="Q26" s="120">
        <f>'Fixed inputs'!Q89</f>
        <v>0</v>
      </c>
      <c r="R26" s="71"/>
      <c r="S26" s="71"/>
      <c r="T26" s="71"/>
      <c r="U26" s="71"/>
      <c r="V26" s="71"/>
      <c r="W26" s="71"/>
      <c r="X26" s="71"/>
      <c r="Y26" s="71"/>
    </row>
    <row r="27" spans="2:27" x14ac:dyDescent="0.25">
      <c r="D27" s="76"/>
      <c r="F27" t="s">
        <v>44</v>
      </c>
      <c r="G27" t="s">
        <v>94</v>
      </c>
      <c r="J27" s="120">
        <f>'Fixed inputs'!J90</f>
        <v>0</v>
      </c>
      <c r="K27" s="120">
        <f>'Fixed inputs'!K90</f>
        <v>0</v>
      </c>
      <c r="L27" s="120">
        <f>'Fixed inputs'!L90</f>
        <v>0</v>
      </c>
      <c r="M27" s="120">
        <f>'Fixed inputs'!M90</f>
        <v>0</v>
      </c>
      <c r="N27" s="120">
        <f>'Fixed inputs'!N90</f>
        <v>0</v>
      </c>
      <c r="O27" s="120">
        <f>'Fixed inputs'!O90</f>
        <v>0</v>
      </c>
      <c r="P27" s="120">
        <f>'Fixed inputs'!P90</f>
        <v>0</v>
      </c>
      <c r="Q27" s="120">
        <f>'Fixed inputs'!Q90</f>
        <v>0</v>
      </c>
      <c r="R27" s="71"/>
      <c r="S27" s="71"/>
      <c r="T27" s="71"/>
      <c r="U27" s="71"/>
      <c r="V27" s="71"/>
      <c r="W27" s="71"/>
      <c r="X27" s="71"/>
      <c r="Y27" s="71"/>
    </row>
    <row r="28" spans="2:27" x14ac:dyDescent="0.25">
      <c r="D28" s="76"/>
      <c r="F28" t="s">
        <v>45</v>
      </c>
      <c r="G28" t="s">
        <v>94</v>
      </c>
      <c r="J28" s="120">
        <f>'Fixed inputs'!J91</f>
        <v>0</v>
      </c>
      <c r="K28" s="120">
        <f>'Fixed inputs'!K91</f>
        <v>0</v>
      </c>
      <c r="L28" s="120">
        <f>'Fixed inputs'!L91</f>
        <v>0</v>
      </c>
      <c r="M28" s="120">
        <f>'Fixed inputs'!M91</f>
        <v>0</v>
      </c>
      <c r="N28" s="120">
        <f>'Fixed inputs'!N91</f>
        <v>0</v>
      </c>
      <c r="O28" s="120">
        <f>'Fixed inputs'!O91</f>
        <v>0</v>
      </c>
      <c r="P28" s="120">
        <f>'Fixed inputs'!P91</f>
        <v>0</v>
      </c>
      <c r="Q28" s="120">
        <f>'Fixed inputs'!Q91</f>
        <v>0</v>
      </c>
      <c r="R28" s="71"/>
      <c r="S28" s="71"/>
      <c r="T28" s="71"/>
      <c r="U28" s="71"/>
      <c r="V28" s="71"/>
      <c r="W28" s="71"/>
      <c r="X28" s="71"/>
      <c r="Y28" s="71"/>
    </row>
    <row r="29" spans="2:27" x14ac:dyDescent="0.25">
      <c r="D29" s="76"/>
      <c r="F29" t="s">
        <v>46</v>
      </c>
      <c r="G29" t="s">
        <v>94</v>
      </c>
      <c r="J29" s="120">
        <f>'Fixed inputs'!J92</f>
        <v>0</v>
      </c>
      <c r="K29" s="120">
        <f>'Fixed inputs'!K92</f>
        <v>0</v>
      </c>
      <c r="L29" s="120">
        <f>'Fixed inputs'!L92</f>
        <v>0</v>
      </c>
      <c r="M29" s="120">
        <f>'Fixed inputs'!M92</f>
        <v>0</v>
      </c>
      <c r="N29" s="120">
        <f>'Fixed inputs'!N92</f>
        <v>0</v>
      </c>
      <c r="O29" s="120">
        <f>'Fixed inputs'!O92</f>
        <v>0</v>
      </c>
      <c r="P29" s="120">
        <f>'Fixed inputs'!P92</f>
        <v>0.2</v>
      </c>
      <c r="Q29" s="120">
        <f>'Fixed inputs'!Q92</f>
        <v>0</v>
      </c>
      <c r="R29" s="71"/>
      <c r="S29" s="71"/>
      <c r="T29" s="71"/>
      <c r="U29" s="71"/>
      <c r="V29" s="71"/>
      <c r="W29" s="71"/>
      <c r="X29" s="71"/>
      <c r="Y29" s="71"/>
    </row>
    <row r="30" spans="2:27" x14ac:dyDescent="0.25">
      <c r="D30" s="76"/>
      <c r="F30" t="s">
        <v>47</v>
      </c>
      <c r="G30" t="s">
        <v>94</v>
      </c>
      <c r="J30" s="120">
        <f>'Fixed inputs'!J93</f>
        <v>0</v>
      </c>
      <c r="K30" s="120">
        <f>'Fixed inputs'!K93</f>
        <v>0</v>
      </c>
      <c r="L30" s="120">
        <f>'Fixed inputs'!L93</f>
        <v>0</v>
      </c>
      <c r="M30" s="120">
        <f>'Fixed inputs'!M93</f>
        <v>0</v>
      </c>
      <c r="N30" s="120">
        <f>'Fixed inputs'!N93</f>
        <v>0</v>
      </c>
      <c r="O30" s="120">
        <f>'Fixed inputs'!O93</f>
        <v>0</v>
      </c>
      <c r="P30" s="120">
        <f>'Fixed inputs'!P93</f>
        <v>1</v>
      </c>
      <c r="Q30" s="120">
        <f>'Fixed inputs'!Q93</f>
        <v>0</v>
      </c>
      <c r="R30" s="71"/>
      <c r="S30" s="71"/>
      <c r="T30" s="71"/>
      <c r="U30" s="71"/>
      <c r="V30" s="71"/>
      <c r="W30" s="71"/>
      <c r="X30" s="71"/>
      <c r="Y30" s="71"/>
    </row>
    <row r="31" spans="2:27" x14ac:dyDescent="0.25">
      <c r="D31" s="76"/>
      <c r="F31" t="s">
        <v>51</v>
      </c>
      <c r="G31" t="s">
        <v>94</v>
      </c>
      <c r="J31" s="120">
        <f>'Fixed inputs'!J94</f>
        <v>0</v>
      </c>
      <c r="K31" s="120">
        <f>'Fixed inputs'!K94</f>
        <v>0</v>
      </c>
      <c r="L31" s="120">
        <f>'Fixed inputs'!L94</f>
        <v>0</v>
      </c>
      <c r="M31" s="120">
        <f>'Fixed inputs'!M94</f>
        <v>0</v>
      </c>
      <c r="N31" s="120">
        <f>'Fixed inputs'!N94</f>
        <v>0</v>
      </c>
      <c r="O31" s="120">
        <f>'Fixed inputs'!O94</f>
        <v>0</v>
      </c>
      <c r="P31" s="120">
        <f>'Fixed inputs'!P94</f>
        <v>0</v>
      </c>
      <c r="Q31" s="120">
        <f>'Fixed inputs'!Q94</f>
        <v>0</v>
      </c>
      <c r="R31" s="71"/>
      <c r="S31" s="71"/>
      <c r="T31" s="71"/>
      <c r="U31" s="71"/>
      <c r="V31" s="71"/>
      <c r="W31" s="71"/>
      <c r="X31" s="71"/>
      <c r="Y31" s="71"/>
    </row>
    <row r="32" spans="2:27" x14ac:dyDescent="0.25">
      <c r="D32" s="76"/>
      <c r="F32" t="s">
        <v>48</v>
      </c>
      <c r="G32" t="s">
        <v>94</v>
      </c>
      <c r="J32" s="120">
        <f>'Fixed inputs'!J95</f>
        <v>0</v>
      </c>
      <c r="K32" s="120">
        <f>'Fixed inputs'!K95</f>
        <v>0</v>
      </c>
      <c r="L32" s="120">
        <f>'Fixed inputs'!L95</f>
        <v>0</v>
      </c>
      <c r="M32" s="120">
        <f>'Fixed inputs'!M95</f>
        <v>0</v>
      </c>
      <c r="N32" s="120">
        <f>'Fixed inputs'!N95</f>
        <v>0.2</v>
      </c>
      <c r="O32" s="120">
        <f>'Fixed inputs'!O95</f>
        <v>1</v>
      </c>
      <c r="P32" s="120">
        <f>'Fixed inputs'!P95</f>
        <v>1</v>
      </c>
      <c r="Q32" s="120">
        <f>'Fixed inputs'!Q95</f>
        <v>0</v>
      </c>
      <c r="R32" s="71"/>
      <c r="S32" s="71"/>
      <c r="T32" s="71"/>
      <c r="U32" s="71"/>
      <c r="V32" s="71"/>
      <c r="W32" s="71"/>
      <c r="X32" s="71"/>
      <c r="Y32" s="71"/>
    </row>
    <row r="33" spans="4:27" x14ac:dyDescent="0.25">
      <c r="D33" s="76"/>
      <c r="F33" t="s">
        <v>49</v>
      </c>
      <c r="G33" t="s">
        <v>94</v>
      </c>
      <c r="J33" s="120">
        <f>'Fixed inputs'!J96</f>
        <v>0</v>
      </c>
      <c r="K33" s="120">
        <f>'Fixed inputs'!K96</f>
        <v>0</v>
      </c>
      <c r="L33" s="120">
        <f>'Fixed inputs'!L96</f>
        <v>0</v>
      </c>
      <c r="M33" s="120">
        <f>'Fixed inputs'!M96</f>
        <v>0</v>
      </c>
      <c r="N33" s="120">
        <f>'Fixed inputs'!N96</f>
        <v>1</v>
      </c>
      <c r="O33" s="120">
        <f>'Fixed inputs'!O96</f>
        <v>1</v>
      </c>
      <c r="P33" s="120">
        <f>'Fixed inputs'!P96</f>
        <v>0</v>
      </c>
      <c r="Q33" s="120">
        <f>'Fixed inputs'!Q96</f>
        <v>0</v>
      </c>
      <c r="R33" s="71"/>
      <c r="S33" s="71"/>
      <c r="T33" s="71"/>
      <c r="U33" s="71"/>
      <c r="V33" s="71"/>
      <c r="W33" s="71"/>
      <c r="X33" s="71"/>
      <c r="Y33" s="71"/>
    </row>
    <row r="34" spans="4:27" x14ac:dyDescent="0.25">
      <c r="D34" s="76"/>
      <c r="F34" t="s">
        <v>50</v>
      </c>
      <c r="G34" t="s">
        <v>94</v>
      </c>
      <c r="J34" s="120">
        <f>'Fixed inputs'!J97</f>
        <v>1</v>
      </c>
      <c r="K34" s="120">
        <f>'Fixed inputs'!K97</f>
        <v>1</v>
      </c>
      <c r="L34" s="120">
        <f>'Fixed inputs'!L97</f>
        <v>1</v>
      </c>
      <c r="M34" s="120">
        <f>'Fixed inputs'!M97</f>
        <v>1</v>
      </c>
      <c r="N34" s="120">
        <f>'Fixed inputs'!N97</f>
        <v>1</v>
      </c>
      <c r="O34" s="120">
        <f>'Fixed inputs'!O97</f>
        <v>0</v>
      </c>
      <c r="P34" s="120">
        <f>'Fixed inputs'!P97</f>
        <v>0</v>
      </c>
      <c r="Q34" s="120">
        <f>'Fixed inputs'!Q97</f>
        <v>0</v>
      </c>
      <c r="R34" s="71"/>
      <c r="S34" s="71"/>
      <c r="T34" s="71"/>
      <c r="U34" s="71"/>
      <c r="V34" s="71"/>
      <c r="W34" s="71"/>
      <c r="X34" s="71"/>
      <c r="Y34" s="71"/>
    </row>
    <row r="35" spans="4:27" x14ac:dyDescent="0.25">
      <c r="D35" s="76"/>
      <c r="F35" t="s">
        <v>124</v>
      </c>
      <c r="G35" t="s">
        <v>94</v>
      </c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</row>
    <row r="36" spans="4:27" x14ac:dyDescent="0.25">
      <c r="D36" s="76"/>
      <c r="F36" s="17" t="s">
        <v>123</v>
      </c>
      <c r="G36" s="17" t="s">
        <v>94</v>
      </c>
      <c r="H36" s="17"/>
      <c r="I36" s="17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</row>
    <row r="37" spans="4:27" x14ac:dyDescent="0.25">
      <c r="D37" s="76"/>
      <c r="F37" s="84"/>
    </row>
    <row r="38" spans="4:27" x14ac:dyDescent="0.25">
      <c r="D38"/>
      <c r="E38" s="52" t="s">
        <v>538</v>
      </c>
      <c r="F38" s="84"/>
    </row>
    <row r="39" spans="4:27" x14ac:dyDescent="0.25">
      <c r="D39" s="76"/>
      <c r="E39"/>
      <c r="F39" s="12" t="s">
        <v>538</v>
      </c>
      <c r="G39" s="12" t="s">
        <v>94</v>
      </c>
      <c r="H39" s="120">
        <f>'Inputs by network level'!P20</f>
        <v>0</v>
      </c>
    </row>
    <row r="40" spans="4:27" x14ac:dyDescent="0.25">
      <c r="D40" s="76"/>
      <c r="F40" s="84"/>
    </row>
    <row r="41" spans="4:27" x14ac:dyDescent="0.25">
      <c r="D41"/>
      <c r="E41" s="52" t="s">
        <v>517</v>
      </c>
      <c r="F41" s="52"/>
    </row>
    <row r="42" spans="4:27" x14ac:dyDescent="0.25">
      <c r="D42"/>
      <c r="E42" s="73" t="s">
        <v>707</v>
      </c>
    </row>
    <row r="43" spans="4:27" x14ac:dyDescent="0.25">
      <c r="D43" s="76"/>
      <c r="F43" s="80" t="s">
        <v>267</v>
      </c>
      <c r="G43" s="80" t="s">
        <v>94</v>
      </c>
      <c r="H43" s="80"/>
      <c r="I43" s="80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</row>
    <row r="44" spans="4:27" x14ac:dyDescent="0.25">
      <c r="D44" s="76"/>
      <c r="F44" t="s">
        <v>43</v>
      </c>
      <c r="G44" t="s">
        <v>94</v>
      </c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</row>
    <row r="45" spans="4:27" x14ac:dyDescent="0.25">
      <c r="D45" s="76"/>
      <c r="F45" s="66" t="s">
        <v>44</v>
      </c>
      <c r="G45" s="66" t="s">
        <v>94</v>
      </c>
      <c r="H45" s="66"/>
      <c r="I45" s="66" t="s">
        <v>359</v>
      </c>
      <c r="J45" s="100">
        <f>IF($H$39 = 0, J27, J29 * $H$39)</f>
        <v>0</v>
      </c>
      <c r="K45" s="100">
        <f t="shared" ref="K45:Q45" si="0">IF($H$39 = 0, K27, K29 * $H$39)</f>
        <v>0</v>
      </c>
      <c r="L45" s="100">
        <f t="shared" si="0"/>
        <v>0</v>
      </c>
      <c r="M45" s="100">
        <f t="shared" si="0"/>
        <v>0</v>
      </c>
      <c r="N45" s="100">
        <f t="shared" si="0"/>
        <v>0</v>
      </c>
      <c r="O45" s="100">
        <f t="shared" si="0"/>
        <v>0</v>
      </c>
      <c r="P45" s="100">
        <f t="shared" si="0"/>
        <v>0</v>
      </c>
      <c r="Q45" s="100">
        <f t="shared" si="0"/>
        <v>0</v>
      </c>
      <c r="R45" s="55"/>
      <c r="S45" s="55"/>
      <c r="T45" s="55"/>
      <c r="U45" s="55"/>
      <c r="V45" s="55"/>
      <c r="W45" s="55"/>
      <c r="X45" s="55"/>
      <c r="Y45" s="55"/>
      <c r="AA45" t="s">
        <v>708</v>
      </c>
    </row>
    <row r="46" spans="4:27" x14ac:dyDescent="0.25">
      <c r="D46" s="76"/>
      <c r="F46" t="s">
        <v>45</v>
      </c>
      <c r="G46" t="s">
        <v>94</v>
      </c>
      <c r="J46" s="15">
        <f t="shared" ref="J46:Q48" si="1">J28</f>
        <v>0</v>
      </c>
      <c r="K46" s="15">
        <f t="shared" si="1"/>
        <v>0</v>
      </c>
      <c r="L46" s="15">
        <f t="shared" si="1"/>
        <v>0</v>
      </c>
      <c r="M46" s="15">
        <f t="shared" si="1"/>
        <v>0</v>
      </c>
      <c r="N46" s="15">
        <f t="shared" si="1"/>
        <v>0</v>
      </c>
      <c r="O46" s="15">
        <f t="shared" si="1"/>
        <v>0</v>
      </c>
      <c r="P46" s="15">
        <f t="shared" si="1"/>
        <v>0</v>
      </c>
      <c r="Q46" s="15">
        <f t="shared" si="1"/>
        <v>0</v>
      </c>
      <c r="R46" s="71"/>
      <c r="S46" s="71"/>
      <c r="T46" s="71"/>
      <c r="U46" s="71"/>
      <c r="V46" s="71"/>
      <c r="W46" s="71"/>
      <c r="X46" s="71"/>
      <c r="Y46" s="71"/>
    </row>
    <row r="47" spans="4:27" x14ac:dyDescent="0.25">
      <c r="D47" s="76"/>
      <c r="F47" t="s">
        <v>46</v>
      </c>
      <c r="G47" t="s">
        <v>94</v>
      </c>
      <c r="J47" s="15">
        <f t="shared" si="1"/>
        <v>0</v>
      </c>
      <c r="K47" s="15">
        <f t="shared" si="1"/>
        <v>0</v>
      </c>
      <c r="L47" s="15">
        <f t="shared" si="1"/>
        <v>0</v>
      </c>
      <c r="M47" s="15">
        <f t="shared" si="1"/>
        <v>0</v>
      </c>
      <c r="N47" s="15">
        <f t="shared" si="1"/>
        <v>0</v>
      </c>
      <c r="O47" s="15">
        <f t="shared" si="1"/>
        <v>0</v>
      </c>
      <c r="P47" s="15">
        <f t="shared" si="1"/>
        <v>0.2</v>
      </c>
      <c r="Q47" s="15">
        <f t="shared" si="1"/>
        <v>0</v>
      </c>
      <c r="R47" s="71"/>
      <c r="S47" s="71"/>
      <c r="T47" s="71"/>
      <c r="U47" s="71"/>
      <c r="V47" s="71"/>
      <c r="W47" s="71"/>
      <c r="X47" s="71"/>
      <c r="Y47" s="71"/>
    </row>
    <row r="48" spans="4:27" x14ac:dyDescent="0.25">
      <c r="D48" s="76"/>
      <c r="F48" t="s">
        <v>47</v>
      </c>
      <c r="G48" t="s">
        <v>94</v>
      </c>
      <c r="J48" s="15">
        <f t="shared" si="1"/>
        <v>0</v>
      </c>
      <c r="K48" s="15">
        <f t="shared" si="1"/>
        <v>0</v>
      </c>
      <c r="L48" s="15">
        <f t="shared" si="1"/>
        <v>0</v>
      </c>
      <c r="M48" s="15">
        <f t="shared" si="1"/>
        <v>0</v>
      </c>
      <c r="N48" s="15">
        <f t="shared" si="1"/>
        <v>0</v>
      </c>
      <c r="O48" s="15">
        <f t="shared" si="1"/>
        <v>0</v>
      </c>
      <c r="P48" s="15">
        <f t="shared" si="1"/>
        <v>1</v>
      </c>
      <c r="Q48" s="15">
        <f t="shared" si="1"/>
        <v>0</v>
      </c>
      <c r="R48" s="71"/>
      <c r="S48" s="71"/>
      <c r="T48" s="71"/>
      <c r="U48" s="71"/>
      <c r="V48" s="71"/>
      <c r="W48" s="71"/>
      <c r="X48" s="71"/>
      <c r="Y48" s="71"/>
    </row>
    <row r="49" spans="2:27" x14ac:dyDescent="0.25">
      <c r="D49" s="76"/>
      <c r="F49" s="66" t="s">
        <v>51</v>
      </c>
      <c r="G49" s="66" t="s">
        <v>94</v>
      </c>
      <c r="H49" s="66"/>
      <c r="I49" s="66" t="s">
        <v>359</v>
      </c>
      <c r="J49" s="100">
        <f t="shared" ref="J49:Q49" si="2">J30</f>
        <v>0</v>
      </c>
      <c r="K49" s="100">
        <f t="shared" si="2"/>
        <v>0</v>
      </c>
      <c r="L49" s="100">
        <f t="shared" si="2"/>
        <v>0</v>
      </c>
      <c r="M49" s="100">
        <f t="shared" si="2"/>
        <v>0</v>
      </c>
      <c r="N49" s="100">
        <f t="shared" si="2"/>
        <v>0</v>
      </c>
      <c r="O49" s="100">
        <f t="shared" si="2"/>
        <v>0</v>
      </c>
      <c r="P49" s="100">
        <f t="shared" si="2"/>
        <v>1</v>
      </c>
      <c r="Q49" s="100">
        <f t="shared" si="2"/>
        <v>0</v>
      </c>
      <c r="R49" s="55"/>
      <c r="S49" s="55"/>
      <c r="T49" s="55"/>
      <c r="U49" s="55"/>
      <c r="V49" s="55"/>
      <c r="W49" s="55"/>
      <c r="X49" s="55"/>
      <c r="Y49" s="55"/>
      <c r="AA49" t="s">
        <v>709</v>
      </c>
    </row>
    <row r="50" spans="2:27" x14ac:dyDescent="0.25">
      <c r="D50" s="76"/>
      <c r="F50" t="s">
        <v>48</v>
      </c>
      <c r="G50" t="s">
        <v>94</v>
      </c>
      <c r="J50" s="15">
        <f t="shared" ref="J50:Q52" si="3">J32</f>
        <v>0</v>
      </c>
      <c r="K50" s="15">
        <f t="shared" si="3"/>
        <v>0</v>
      </c>
      <c r="L50" s="15">
        <f t="shared" si="3"/>
        <v>0</v>
      </c>
      <c r="M50" s="15">
        <f t="shared" si="3"/>
        <v>0</v>
      </c>
      <c r="N50" s="15">
        <f t="shared" si="3"/>
        <v>0.2</v>
      </c>
      <c r="O50" s="15">
        <f t="shared" si="3"/>
        <v>1</v>
      </c>
      <c r="P50" s="15">
        <f t="shared" si="3"/>
        <v>1</v>
      </c>
      <c r="Q50" s="15">
        <f t="shared" si="3"/>
        <v>0</v>
      </c>
      <c r="R50" s="71"/>
      <c r="S50" s="71"/>
      <c r="T50" s="71"/>
      <c r="U50" s="71"/>
      <c r="V50" s="71"/>
      <c r="W50" s="71"/>
      <c r="X50" s="71"/>
      <c r="Y50" s="71"/>
    </row>
    <row r="51" spans="2:27" x14ac:dyDescent="0.25">
      <c r="D51" s="76"/>
      <c r="F51" t="s">
        <v>49</v>
      </c>
      <c r="G51" t="s">
        <v>94</v>
      </c>
      <c r="J51" s="15">
        <f t="shared" si="3"/>
        <v>0</v>
      </c>
      <c r="K51" s="15">
        <f t="shared" si="3"/>
        <v>0</v>
      </c>
      <c r="L51" s="15">
        <f t="shared" si="3"/>
        <v>0</v>
      </c>
      <c r="M51" s="15">
        <f t="shared" si="3"/>
        <v>0</v>
      </c>
      <c r="N51" s="15">
        <f t="shared" si="3"/>
        <v>1</v>
      </c>
      <c r="O51" s="15">
        <f t="shared" si="3"/>
        <v>1</v>
      </c>
      <c r="P51" s="15">
        <f t="shared" si="3"/>
        <v>0</v>
      </c>
      <c r="Q51" s="15">
        <f t="shared" si="3"/>
        <v>0</v>
      </c>
      <c r="R51" s="71"/>
      <c r="S51" s="71"/>
      <c r="T51" s="71"/>
      <c r="U51" s="71"/>
      <c r="V51" s="71"/>
      <c r="W51" s="71"/>
      <c r="X51" s="71"/>
      <c r="Y51" s="71"/>
    </row>
    <row r="52" spans="2:27" x14ac:dyDescent="0.25">
      <c r="D52" s="76"/>
      <c r="F52" t="s">
        <v>50</v>
      </c>
      <c r="G52" t="s">
        <v>94</v>
      </c>
      <c r="J52" s="15">
        <f t="shared" si="3"/>
        <v>1</v>
      </c>
      <c r="K52" s="15">
        <f t="shared" si="3"/>
        <v>1</v>
      </c>
      <c r="L52" s="15">
        <f t="shared" si="3"/>
        <v>1</v>
      </c>
      <c r="M52" s="15">
        <f t="shared" si="3"/>
        <v>1</v>
      </c>
      <c r="N52" s="15">
        <f t="shared" si="3"/>
        <v>1</v>
      </c>
      <c r="O52" s="15">
        <f t="shared" si="3"/>
        <v>0</v>
      </c>
      <c r="P52" s="15">
        <f t="shared" si="3"/>
        <v>0</v>
      </c>
      <c r="Q52" s="15">
        <f t="shared" si="3"/>
        <v>0</v>
      </c>
      <c r="R52" s="71"/>
      <c r="S52" s="71"/>
      <c r="T52" s="71"/>
      <c r="U52" s="71"/>
      <c r="V52" s="71"/>
      <c r="W52" s="71"/>
      <c r="X52" s="71"/>
      <c r="Y52" s="71"/>
    </row>
    <row r="53" spans="2:27" x14ac:dyDescent="0.25">
      <c r="D53" s="76"/>
      <c r="F53" t="s">
        <v>124</v>
      </c>
      <c r="G53" t="s">
        <v>94</v>
      </c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</row>
    <row r="54" spans="2:27" x14ac:dyDescent="0.25">
      <c r="D54" s="76"/>
      <c r="F54" s="17" t="s">
        <v>123</v>
      </c>
      <c r="G54" s="17" t="s">
        <v>94</v>
      </c>
      <c r="H54" s="17"/>
      <c r="I54" s="17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</row>
    <row r="55" spans="2:27" x14ac:dyDescent="0.25">
      <c r="C55" s="76"/>
    </row>
    <row r="56" spans="2:27" x14ac:dyDescent="0.25">
      <c r="B56" s="82" t="s">
        <v>109</v>
      </c>
      <c r="C56" s="82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</row>
    <row r="57" spans="2:27" x14ac:dyDescent="0.25">
      <c r="D57"/>
      <c r="E57"/>
    </row>
    <row r="58" spans="2:27" x14ac:dyDescent="0.25">
      <c r="D58"/>
      <c r="E58" t="s">
        <v>415</v>
      </c>
      <c r="G58" s="46" t="s">
        <v>588</v>
      </c>
      <c r="H58" s="263">
        <f t="array" ref="H58">SUM(IF(ISERROR(H25:Y54), 1))</f>
        <v>0</v>
      </c>
    </row>
    <row r="59" spans="2:27" x14ac:dyDescent="0.25">
      <c r="D59"/>
      <c r="E59"/>
    </row>
    <row r="60" spans="2:27" x14ac:dyDescent="0.25">
      <c r="B60" s="82" t="s">
        <v>110</v>
      </c>
      <c r="C60" s="64"/>
      <c r="D60" s="70"/>
      <c r="E60" s="70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5"/>
      <c r="AA60" s="65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16384" width="8.5703125" hidden="1"/>
  </cols>
  <sheetData>
    <row r="1" spans="1:23" s="8" customFormat="1" x14ac:dyDescent="0.25">
      <c r="A1" s="8" t="str">
        <f ca="1">MID(CELL("filename",A1),FIND("]",CELL("filename",A1))+1,255)</f>
        <v>Load &amp; loss characteristics</v>
      </c>
    </row>
    <row r="2" spans="1:23" s="8" customFormat="1" x14ac:dyDescent="0.25">
      <c r="A2" s="8" t="str">
        <f>Cover!D21&amp;" - "&amp;Cover!D23</f>
        <v>SP Distribution - One</v>
      </c>
    </row>
    <row r="3" spans="1:2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3" x14ac:dyDescent="0.25">
      <c r="A4" s="194" t="str">
        <f>H183 &amp; IF(H183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3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4"/>
      <c r="J5" s="330" t="s">
        <v>267</v>
      </c>
      <c r="K5" s="330" t="s">
        <v>43</v>
      </c>
      <c r="L5" s="330" t="s">
        <v>44</v>
      </c>
      <c r="M5" s="330" t="s">
        <v>45</v>
      </c>
      <c r="N5" s="330" t="s">
        <v>46</v>
      </c>
      <c r="O5" s="330" t="s">
        <v>47</v>
      </c>
      <c r="P5" s="330" t="s">
        <v>51</v>
      </c>
      <c r="Q5" s="330" t="s">
        <v>48</v>
      </c>
      <c r="R5" s="330" t="s">
        <v>49</v>
      </c>
      <c r="S5" s="330" t="s">
        <v>50</v>
      </c>
      <c r="T5" s="330" t="s">
        <v>124</v>
      </c>
      <c r="U5" s="330" t="s">
        <v>123</v>
      </c>
      <c r="W5" s="315" t="s">
        <v>93</v>
      </c>
    </row>
    <row r="6" spans="1:23" x14ac:dyDescent="0.25">
      <c r="H6" s="19"/>
      <c r="I6" s="73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W6" s="19"/>
    </row>
    <row r="7" spans="1:2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</row>
    <row r="9" spans="1:23" x14ac:dyDescent="0.25">
      <c r="C9" s="73" t="s">
        <v>328</v>
      </c>
    </row>
    <row r="10" spans="1:23" x14ac:dyDescent="0.25">
      <c r="C10" s="73" t="s">
        <v>329</v>
      </c>
    </row>
    <row r="11" spans="1:23" x14ac:dyDescent="0.25">
      <c r="C11" s="73" t="s">
        <v>678</v>
      </c>
    </row>
    <row r="13" spans="1:23" x14ac:dyDescent="0.25">
      <c r="B13" s="82" t="s">
        <v>671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</row>
    <row r="14" spans="1:23" x14ac:dyDescent="0.25"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W14" s="19"/>
    </row>
    <row r="15" spans="1:23" x14ac:dyDescent="0.25">
      <c r="C15" s="73" t="s">
        <v>424</v>
      </c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W15" s="19"/>
    </row>
    <row r="16" spans="1:23" x14ac:dyDescent="0.25"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W16" s="19"/>
    </row>
    <row r="17" spans="2:23" x14ac:dyDescent="0.25">
      <c r="C17" s="5" t="str">
        <f ca="1">INDEX('Version control'!$H$36:$H$62,MATCH($A$1,'Version control'!$F$36:$F$62,0),1)&amp;"-A: Load characteristics"</f>
        <v>Section 505-A: Load characteristics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2:23" x14ac:dyDescent="0.25"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W18" s="19"/>
    </row>
    <row r="19" spans="2:23" x14ac:dyDescent="0.25">
      <c r="E19" t="s">
        <v>317</v>
      </c>
      <c r="F19" s="77"/>
      <c r="G19" s="91" t="s">
        <v>94</v>
      </c>
      <c r="H19" s="19"/>
      <c r="I19" s="19"/>
      <c r="J19" s="328"/>
      <c r="K19" s="331">
        <f>'Inputs by network level'!K18</f>
        <v>0.11600000000000001</v>
      </c>
      <c r="L19" s="331">
        <f>'Inputs by network level'!L18</f>
        <v>0</v>
      </c>
      <c r="M19" s="328"/>
      <c r="N19" s="331">
        <f>'Inputs by network level'!N18</f>
        <v>0.13</v>
      </c>
      <c r="O19" s="328"/>
      <c r="P19" s="328"/>
      <c r="Q19" s="331">
        <f>'Inputs by network level'!Q18</f>
        <v>0.25</v>
      </c>
      <c r="R19" s="328"/>
      <c r="S19" s="328"/>
      <c r="T19" s="71"/>
      <c r="U19" s="71"/>
    </row>
    <row r="20" spans="2:23" x14ac:dyDescent="0.25">
      <c r="E20" t="s">
        <v>70</v>
      </c>
      <c r="F20" s="77"/>
      <c r="G20" s="91" t="s">
        <v>94</v>
      </c>
      <c r="H20" s="19"/>
      <c r="I20" s="19"/>
      <c r="J20" s="332">
        <f t="shared" ref="J20" si="0">IF(I20 = "", 1, I20 / (1 + J19))</f>
        <v>1</v>
      </c>
      <c r="K20" s="332">
        <f>IF(J20 = "", 1, J20 / (1 + K19))</f>
        <v>0.8960573476702508</v>
      </c>
      <c r="L20" s="332">
        <f t="shared" ref="L20:S20" si="1">IF(K20 = "", 1, K20 / (1 + L19))</f>
        <v>0.8960573476702508</v>
      </c>
      <c r="M20" s="332">
        <f t="shared" si="1"/>
        <v>0.8960573476702508</v>
      </c>
      <c r="N20" s="332">
        <f t="shared" si="1"/>
        <v>0.79297110413296534</v>
      </c>
      <c r="O20" s="332">
        <f t="shared" si="1"/>
        <v>0.79297110413296534</v>
      </c>
      <c r="P20" s="332">
        <f t="shared" si="1"/>
        <v>0.79297110413296534</v>
      </c>
      <c r="Q20" s="332">
        <f t="shared" si="1"/>
        <v>0.63437688330637232</v>
      </c>
      <c r="R20" s="332">
        <f t="shared" si="1"/>
        <v>0.63437688330637232</v>
      </c>
      <c r="S20" s="332">
        <f t="shared" si="1"/>
        <v>0.63437688330637232</v>
      </c>
      <c r="T20" s="71"/>
      <c r="U20" s="71"/>
    </row>
    <row r="21" spans="2:23" x14ac:dyDescent="0.25">
      <c r="E21" t="s">
        <v>318</v>
      </c>
      <c r="F21" s="77"/>
      <c r="G21" s="91" t="s">
        <v>94</v>
      </c>
      <c r="H21" s="19"/>
      <c r="I21" s="19"/>
      <c r="J21" s="332">
        <f>1 / J20 - 1</f>
        <v>0</v>
      </c>
      <c r="K21" s="332">
        <f t="shared" ref="K21:S21" si="2">1 / K20 - 1</f>
        <v>0.1160000000000001</v>
      </c>
      <c r="L21" s="332">
        <f t="shared" si="2"/>
        <v>0.1160000000000001</v>
      </c>
      <c r="M21" s="332">
        <f t="shared" si="2"/>
        <v>0.1160000000000001</v>
      </c>
      <c r="N21" s="332">
        <f t="shared" si="2"/>
        <v>0.26107999999999998</v>
      </c>
      <c r="O21" s="332">
        <f t="shared" si="2"/>
        <v>0.26107999999999998</v>
      </c>
      <c r="P21" s="332">
        <f t="shared" si="2"/>
        <v>0.26107999999999998</v>
      </c>
      <c r="Q21" s="332">
        <f t="shared" si="2"/>
        <v>0.57634999999999992</v>
      </c>
      <c r="R21" s="332">
        <f t="shared" si="2"/>
        <v>0.57634999999999992</v>
      </c>
      <c r="S21" s="332">
        <f t="shared" si="2"/>
        <v>0.57634999999999992</v>
      </c>
      <c r="T21" s="71"/>
      <c r="U21" s="71"/>
    </row>
    <row r="22" spans="2:23" x14ac:dyDescent="0.25">
      <c r="E22" t="s">
        <v>320</v>
      </c>
      <c r="F22" s="77"/>
      <c r="G22" s="91" t="s">
        <v>94</v>
      </c>
      <c r="H22" s="19"/>
      <c r="I22" s="19"/>
      <c r="J22" s="328"/>
      <c r="K22" s="328"/>
      <c r="L22" s="328"/>
      <c r="M22" s="328"/>
      <c r="N22" s="328"/>
      <c r="O22" s="328"/>
      <c r="P22" s="332">
        <f>M21</f>
        <v>0.1160000000000001</v>
      </c>
      <c r="Q22" s="328"/>
      <c r="R22" s="328"/>
      <c r="S22" s="328"/>
      <c r="T22" s="71"/>
      <c r="U22" s="71"/>
    </row>
    <row r="23" spans="2:23" x14ac:dyDescent="0.25">
      <c r="E23" t="s">
        <v>319</v>
      </c>
      <c r="F23" s="77"/>
      <c r="G23" s="91" t="s">
        <v>94</v>
      </c>
      <c r="H23" s="19"/>
      <c r="I23" s="19" t="s">
        <v>359</v>
      </c>
      <c r="J23" s="264">
        <f t="shared" ref="J23:S23" si="3">IF(J22 = "", J21, J22)</f>
        <v>0</v>
      </c>
      <c r="K23" s="264">
        <f t="shared" si="3"/>
        <v>0.1160000000000001</v>
      </c>
      <c r="L23" s="264">
        <f t="shared" si="3"/>
        <v>0.1160000000000001</v>
      </c>
      <c r="M23" s="264">
        <f t="shared" si="3"/>
        <v>0.1160000000000001</v>
      </c>
      <c r="N23" s="264">
        <f t="shared" si="3"/>
        <v>0.26107999999999998</v>
      </c>
      <c r="O23" s="264">
        <f t="shared" si="3"/>
        <v>0.26107999999999998</v>
      </c>
      <c r="P23" s="264">
        <f t="shared" si="3"/>
        <v>0.1160000000000001</v>
      </c>
      <c r="Q23" s="264">
        <f t="shared" si="3"/>
        <v>0.57634999999999992</v>
      </c>
      <c r="R23" s="264">
        <f t="shared" si="3"/>
        <v>0.57634999999999992</v>
      </c>
      <c r="S23" s="264">
        <f t="shared" si="3"/>
        <v>0.57634999999999992</v>
      </c>
      <c r="T23" s="71"/>
      <c r="U23" s="71"/>
      <c r="W23" s="79" t="s">
        <v>790</v>
      </c>
    </row>
    <row r="24" spans="2:23" x14ac:dyDescent="0.25">
      <c r="F24" s="77"/>
      <c r="G24" s="91"/>
      <c r="H24" s="19"/>
      <c r="I24" s="19"/>
      <c r="J24" s="332"/>
      <c r="K24" s="332"/>
      <c r="L24" s="332"/>
      <c r="M24" s="332"/>
      <c r="N24" s="332"/>
      <c r="O24" s="332"/>
      <c r="P24" s="332"/>
      <c r="Q24" s="332"/>
      <c r="R24" s="332"/>
      <c r="S24" s="332"/>
      <c r="T24" s="19"/>
      <c r="U24" s="19"/>
    </row>
    <row r="25" spans="2:23" x14ac:dyDescent="0.25">
      <c r="C25" s="5" t="str">
        <f ca="1">INDEX('Version control'!$H$36:$H$62,MATCH($A$1,'Version control'!$F$36:$F$62,0),1)&amp;"-B: Loss adjustment factors"</f>
        <v>Section 505-B: Loss adjustment factors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2:23" x14ac:dyDescent="0.25"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W26" s="19"/>
    </row>
    <row r="27" spans="2:23" x14ac:dyDescent="0.25">
      <c r="E27" t="s">
        <v>98</v>
      </c>
      <c r="F27" s="333"/>
      <c r="G27" s="92" t="s">
        <v>427</v>
      </c>
      <c r="H27" s="19"/>
      <c r="I27" s="19"/>
      <c r="J27" s="234"/>
      <c r="K27" s="229">
        <f>'Inputs by network level'!K22</f>
        <v>1</v>
      </c>
      <c r="L27" s="229">
        <f>'Inputs by network level'!L22</f>
        <v>1</v>
      </c>
      <c r="M27" s="229">
        <f>'Inputs by network level'!M22</f>
        <v>1</v>
      </c>
      <c r="N27" s="229">
        <f>'Inputs by network level'!N22</f>
        <v>1.002</v>
      </c>
      <c r="O27" s="229">
        <f>'Inputs by network level'!O22</f>
        <v>1.0129999999999999</v>
      </c>
      <c r="P27" s="234"/>
      <c r="Q27" s="229">
        <f>'Inputs by network level'!Q22</f>
        <v>1.024</v>
      </c>
      <c r="R27" s="229">
        <f>'Inputs by network level'!R22</f>
        <v>1.044</v>
      </c>
      <c r="S27" s="229">
        <f>'Inputs by network level'!S22</f>
        <v>1.105</v>
      </c>
      <c r="T27" s="234"/>
      <c r="U27" s="234"/>
    </row>
    <row r="28" spans="2:23" x14ac:dyDescent="0.25">
      <c r="E28" t="s">
        <v>171</v>
      </c>
      <c r="F28" s="333"/>
      <c r="G28" s="92" t="s">
        <v>427</v>
      </c>
      <c r="H28" s="19"/>
      <c r="I28" s="19"/>
      <c r="J28" s="231">
        <f>K27</f>
        <v>1</v>
      </c>
      <c r="K28" s="234"/>
      <c r="L28" s="234"/>
      <c r="M28" s="234"/>
      <c r="N28" s="234"/>
      <c r="O28" s="234"/>
      <c r="P28" s="231">
        <f>O27</f>
        <v>1.0129999999999999</v>
      </c>
      <c r="Q28" s="234"/>
      <c r="R28" s="234"/>
      <c r="S28" s="234"/>
      <c r="T28" s="234"/>
      <c r="U28" s="234"/>
    </row>
    <row r="29" spans="2:23" x14ac:dyDescent="0.25">
      <c r="E29" t="s">
        <v>100</v>
      </c>
      <c r="F29" s="333"/>
      <c r="G29" s="92" t="s">
        <v>427</v>
      </c>
      <c r="H29" s="19"/>
      <c r="I29" s="19" t="s">
        <v>359</v>
      </c>
      <c r="J29" s="215">
        <f t="shared" ref="J29:S29" si="4">J27 + J28</f>
        <v>1</v>
      </c>
      <c r="K29" s="215">
        <f t="shared" si="4"/>
        <v>1</v>
      </c>
      <c r="L29" s="215">
        <f t="shared" si="4"/>
        <v>1</v>
      </c>
      <c r="M29" s="215">
        <f t="shared" si="4"/>
        <v>1</v>
      </c>
      <c r="N29" s="215">
        <f t="shared" si="4"/>
        <v>1.002</v>
      </c>
      <c r="O29" s="215">
        <f t="shared" si="4"/>
        <v>1.0129999999999999</v>
      </c>
      <c r="P29" s="215">
        <f t="shared" si="4"/>
        <v>1.0129999999999999</v>
      </c>
      <c r="Q29" s="215">
        <f t="shared" si="4"/>
        <v>1.024</v>
      </c>
      <c r="R29" s="215">
        <f t="shared" si="4"/>
        <v>1.044</v>
      </c>
      <c r="S29" s="215">
        <f t="shared" si="4"/>
        <v>1.105</v>
      </c>
      <c r="T29" s="234"/>
      <c r="U29" s="234"/>
      <c r="W29" s="79" t="s">
        <v>692</v>
      </c>
    </row>
    <row r="30" spans="2:23" x14ac:dyDescent="0.25">
      <c r="F30" s="77"/>
      <c r="G30" s="91"/>
      <c r="H30" s="19"/>
      <c r="I30" s="19"/>
      <c r="J30" s="19"/>
      <c r="K30" s="19"/>
      <c r="L30" s="19"/>
      <c r="M30" s="19"/>
      <c r="N30" s="19"/>
      <c r="O30" s="19"/>
      <c r="Q30" s="19"/>
      <c r="R30" s="19"/>
      <c r="S30" s="19"/>
      <c r="T30" s="19"/>
      <c r="U30" s="19"/>
    </row>
    <row r="31" spans="2:23" x14ac:dyDescent="0.25">
      <c r="B31" s="82" t="s">
        <v>670</v>
      </c>
      <c r="C31" s="82"/>
      <c r="D31" s="82"/>
      <c r="E31" s="82"/>
      <c r="F31" s="82"/>
      <c r="G31" s="107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</row>
    <row r="32" spans="2:23" x14ac:dyDescent="0.25">
      <c r="F32" s="77"/>
      <c r="G32" s="91"/>
      <c r="H32" s="19"/>
      <c r="I32" s="19"/>
      <c r="J32" s="19"/>
      <c r="K32" s="19"/>
      <c r="L32" s="19"/>
      <c r="M32" s="19"/>
      <c r="N32" s="19"/>
      <c r="O32" s="19"/>
      <c r="Q32" s="19"/>
      <c r="R32" s="19"/>
      <c r="S32" s="19"/>
      <c r="T32" s="19"/>
      <c r="U32" s="19"/>
    </row>
    <row r="33" spans="3:23" x14ac:dyDescent="0.25">
      <c r="C33" s="73" t="s">
        <v>669</v>
      </c>
      <c r="F33" s="77"/>
      <c r="G33" s="91"/>
      <c r="H33" s="19"/>
      <c r="I33" s="19"/>
      <c r="J33" s="19"/>
      <c r="K33" s="19"/>
      <c r="L33" s="19"/>
      <c r="M33" s="19"/>
      <c r="N33" s="19"/>
      <c r="O33" s="19"/>
      <c r="Q33" s="19"/>
      <c r="R33" s="19"/>
      <c r="S33" s="19"/>
      <c r="T33" s="19"/>
      <c r="U33" s="19"/>
    </row>
    <row r="34" spans="3:23" x14ac:dyDescent="0.25">
      <c r="F34" s="77"/>
      <c r="G34" s="91"/>
      <c r="H34" s="19"/>
      <c r="I34" s="19"/>
      <c r="J34" s="19"/>
      <c r="K34" s="19"/>
      <c r="L34" s="19"/>
      <c r="M34" s="19"/>
      <c r="N34" s="19"/>
      <c r="O34" s="19"/>
      <c r="Q34" s="19"/>
      <c r="R34" s="19"/>
      <c r="S34" s="19"/>
      <c r="T34" s="19"/>
      <c r="U34" s="19"/>
    </row>
    <row r="35" spans="3:23" x14ac:dyDescent="0.25">
      <c r="C35" s="5" t="str">
        <f ca="1">INDEX('Version control'!$H$36:$H$62,MATCH($A$1,'Version control'!$F$36:$F$62,0),1)&amp;"-C: Proportion of relevant load going through 132kV/HV direct transformation"</f>
        <v>Section 505-C: Proportion of relevant load going through 132kV/HV direct transformation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3:23" x14ac:dyDescent="0.25"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W36" s="19"/>
    </row>
    <row r="37" spans="3:23" x14ac:dyDescent="0.25">
      <c r="E37" t="s">
        <v>51</v>
      </c>
      <c r="F37" s="12"/>
      <c r="G37" s="92" t="s">
        <v>94</v>
      </c>
      <c r="H37" s="331">
        <f>'Inputs by network level'!P20</f>
        <v>0</v>
      </c>
      <c r="I37" s="19"/>
    </row>
    <row r="38" spans="3:23" x14ac:dyDescent="0.25">
      <c r="E38" t="s">
        <v>324</v>
      </c>
      <c r="F38" s="77"/>
      <c r="G38" s="91" t="s">
        <v>94</v>
      </c>
      <c r="H38" s="19"/>
      <c r="I38" s="19"/>
      <c r="J38" s="71"/>
      <c r="K38" s="71"/>
      <c r="L38" s="71"/>
      <c r="M38" s="334">
        <f>1 - $H$37</f>
        <v>1</v>
      </c>
      <c r="N38" s="334">
        <f>1 - $H$37</f>
        <v>1</v>
      </c>
      <c r="O38" s="334">
        <f>1 - $H$37</f>
        <v>1</v>
      </c>
      <c r="P38" s="335">
        <f>H37</f>
        <v>0</v>
      </c>
      <c r="Q38" s="71"/>
      <c r="R38" s="71"/>
      <c r="S38" s="71"/>
      <c r="T38" s="71"/>
      <c r="U38" s="71"/>
    </row>
    <row r="39" spans="3:23" x14ac:dyDescent="0.25">
      <c r="F39" s="77"/>
      <c r="G39" s="91"/>
      <c r="H39" s="19"/>
      <c r="I39" s="19"/>
      <c r="J39" s="19"/>
      <c r="K39" s="19"/>
      <c r="L39" s="19"/>
      <c r="M39" s="19"/>
      <c r="N39" s="19"/>
      <c r="O39" s="19"/>
      <c r="Q39" s="19"/>
      <c r="R39" s="19"/>
      <c r="S39" s="19"/>
      <c r="T39" s="19"/>
      <c r="U39" s="19"/>
    </row>
    <row r="40" spans="3:23" x14ac:dyDescent="0.25">
      <c r="C40" s="5" t="str">
        <f ca="1">INDEX('Version control'!$H$36:$H$62,MATCH($A$1,'Version control'!$F$36:$F$62,0),1)&amp;"-D: Network use factors"</f>
        <v>Section 505-D: Network use factors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3:23" x14ac:dyDescent="0.25"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W41" s="19"/>
    </row>
    <row r="42" spans="3:23" x14ac:dyDescent="0.25">
      <c r="D42" s="73" t="s">
        <v>791</v>
      </c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W42" s="19"/>
    </row>
    <row r="43" spans="3:23" x14ac:dyDescent="0.25">
      <c r="D43" s="73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W43" s="19"/>
    </row>
    <row r="44" spans="3:23" x14ac:dyDescent="0.25">
      <c r="E44" s="52" t="s">
        <v>331</v>
      </c>
      <c r="G44" s="91"/>
    </row>
    <row r="45" spans="3:23" x14ac:dyDescent="0.25">
      <c r="E45" s="73" t="s">
        <v>792</v>
      </c>
      <c r="G45" s="91"/>
    </row>
    <row r="46" spans="3:23" x14ac:dyDescent="0.25">
      <c r="F46" s="80" t="s">
        <v>925</v>
      </c>
      <c r="G46" s="38" t="s">
        <v>141</v>
      </c>
      <c r="H46" s="80"/>
      <c r="I46" s="80"/>
      <c r="J46" s="228">
        <f t="array" ref="J46:S61">TRANSPOSE('Fixed inputs'!J60:Y69)</f>
        <v>1</v>
      </c>
      <c r="K46" s="228">
        <v>1</v>
      </c>
      <c r="L46" s="228">
        <v>1</v>
      </c>
      <c r="M46" s="228">
        <v>1</v>
      </c>
      <c r="N46" s="228">
        <v>1</v>
      </c>
      <c r="O46" s="228">
        <v>1</v>
      </c>
      <c r="P46" s="228">
        <v>1</v>
      </c>
      <c r="Q46" s="228">
        <v>1</v>
      </c>
      <c r="R46" s="228">
        <v>1</v>
      </c>
      <c r="S46" s="228">
        <v>1</v>
      </c>
      <c r="T46" s="201"/>
      <c r="U46" s="201"/>
      <c r="W46" s="19"/>
    </row>
    <row r="47" spans="3:23" x14ac:dyDescent="0.25">
      <c r="F47" t="s">
        <v>926</v>
      </c>
      <c r="G47" s="92" t="s">
        <v>141</v>
      </c>
      <c r="J47" s="229">
        <v>1</v>
      </c>
      <c r="K47" s="229">
        <v>1</v>
      </c>
      <c r="L47" s="229">
        <v>1</v>
      </c>
      <c r="M47" s="229">
        <v>1</v>
      </c>
      <c r="N47" s="229">
        <v>1</v>
      </c>
      <c r="O47" s="229">
        <v>1</v>
      </c>
      <c r="P47" s="229">
        <v>1</v>
      </c>
      <c r="Q47" s="229">
        <v>1</v>
      </c>
      <c r="R47" s="229">
        <v>1</v>
      </c>
      <c r="S47" s="229">
        <v>1</v>
      </c>
      <c r="T47" s="234"/>
      <c r="U47" s="234"/>
    </row>
    <row r="48" spans="3:23" x14ac:dyDescent="0.25">
      <c r="F48" t="s">
        <v>927</v>
      </c>
      <c r="G48" s="92" t="s">
        <v>141</v>
      </c>
      <c r="J48" s="229">
        <v>1</v>
      </c>
      <c r="K48" s="229">
        <v>1</v>
      </c>
      <c r="L48" s="229">
        <v>1</v>
      </c>
      <c r="M48" s="229">
        <v>1</v>
      </c>
      <c r="N48" s="229">
        <v>1</v>
      </c>
      <c r="O48" s="229">
        <v>1</v>
      </c>
      <c r="P48" s="229">
        <v>1</v>
      </c>
      <c r="Q48" s="229">
        <v>1</v>
      </c>
      <c r="R48" s="229">
        <v>1</v>
      </c>
      <c r="S48" s="229">
        <v>1</v>
      </c>
      <c r="T48" s="234"/>
      <c r="U48" s="234"/>
    </row>
    <row r="49" spans="5:21" x14ac:dyDescent="0.25">
      <c r="F49" t="s">
        <v>928</v>
      </c>
      <c r="G49" s="92" t="s">
        <v>141</v>
      </c>
      <c r="J49" s="229">
        <v>1</v>
      </c>
      <c r="K49" s="229">
        <v>1</v>
      </c>
      <c r="L49" s="229">
        <v>1</v>
      </c>
      <c r="M49" s="229">
        <v>1</v>
      </c>
      <c r="N49" s="229">
        <v>1</v>
      </c>
      <c r="O49" s="229">
        <v>1</v>
      </c>
      <c r="P49" s="229">
        <v>1</v>
      </c>
      <c r="Q49" s="229">
        <v>1</v>
      </c>
      <c r="R49" s="229">
        <v>1</v>
      </c>
      <c r="S49" s="229">
        <v>1</v>
      </c>
      <c r="T49" s="234"/>
      <c r="U49" s="234"/>
    </row>
    <row r="50" spans="5:21" x14ac:dyDescent="0.25">
      <c r="F50" t="s">
        <v>929</v>
      </c>
      <c r="G50" s="92" t="s">
        <v>141</v>
      </c>
      <c r="J50" s="229">
        <v>1</v>
      </c>
      <c r="K50" s="229">
        <v>1</v>
      </c>
      <c r="L50" s="229">
        <v>1</v>
      </c>
      <c r="M50" s="229">
        <v>1</v>
      </c>
      <c r="N50" s="229">
        <v>1</v>
      </c>
      <c r="O50" s="229">
        <v>1</v>
      </c>
      <c r="P50" s="229">
        <v>1</v>
      </c>
      <c r="Q50" s="229">
        <v>1</v>
      </c>
      <c r="R50" s="229">
        <v>1</v>
      </c>
      <c r="S50" s="229">
        <v>1</v>
      </c>
      <c r="T50" s="234"/>
      <c r="U50" s="234"/>
    </row>
    <row r="51" spans="5:21" x14ac:dyDescent="0.25">
      <c r="F51" t="s">
        <v>930</v>
      </c>
      <c r="G51" s="92" t="s">
        <v>141</v>
      </c>
      <c r="J51" s="229">
        <v>1</v>
      </c>
      <c r="K51" s="229">
        <v>1</v>
      </c>
      <c r="L51" s="229">
        <v>1</v>
      </c>
      <c r="M51" s="229">
        <v>1</v>
      </c>
      <c r="N51" s="229">
        <v>1</v>
      </c>
      <c r="O51" s="229">
        <v>1</v>
      </c>
      <c r="P51" s="229">
        <v>1</v>
      </c>
      <c r="Q51" s="229">
        <v>1</v>
      </c>
      <c r="R51" s="229">
        <v>1</v>
      </c>
      <c r="S51" s="229">
        <v>0</v>
      </c>
      <c r="T51" s="234"/>
      <c r="U51" s="234"/>
    </row>
    <row r="52" spans="5:21" x14ac:dyDescent="0.25">
      <c r="F52" t="s">
        <v>931</v>
      </c>
      <c r="G52" s="92" t="s">
        <v>141</v>
      </c>
      <c r="J52" s="229">
        <v>1</v>
      </c>
      <c r="K52" s="229">
        <v>1</v>
      </c>
      <c r="L52" s="229">
        <v>1</v>
      </c>
      <c r="M52" s="229">
        <v>1</v>
      </c>
      <c r="N52" s="229">
        <v>1</v>
      </c>
      <c r="O52" s="229">
        <v>1</v>
      </c>
      <c r="P52" s="229">
        <v>1</v>
      </c>
      <c r="Q52" s="229">
        <v>1</v>
      </c>
      <c r="R52" s="229">
        <v>0</v>
      </c>
      <c r="S52" s="229">
        <v>0</v>
      </c>
      <c r="T52" s="234"/>
      <c r="U52" s="234"/>
    </row>
    <row r="53" spans="5:21" x14ac:dyDescent="0.25">
      <c r="F53" t="s">
        <v>932</v>
      </c>
      <c r="G53" s="92" t="s">
        <v>141</v>
      </c>
      <c r="J53" s="229">
        <v>1</v>
      </c>
      <c r="K53" s="229">
        <v>1</v>
      </c>
      <c r="L53" s="229">
        <v>1</v>
      </c>
      <c r="M53" s="229">
        <v>1</v>
      </c>
      <c r="N53" s="229">
        <v>1</v>
      </c>
      <c r="O53" s="229">
        <v>1</v>
      </c>
      <c r="P53" s="229">
        <v>1</v>
      </c>
      <c r="Q53" s="229">
        <v>1</v>
      </c>
      <c r="R53" s="229">
        <v>1</v>
      </c>
      <c r="S53" s="229">
        <v>1</v>
      </c>
      <c r="T53" s="234"/>
      <c r="U53" s="234"/>
    </row>
    <row r="54" spans="5:21" x14ac:dyDescent="0.25">
      <c r="F54" t="s">
        <v>933</v>
      </c>
      <c r="G54" s="92" t="s">
        <v>141</v>
      </c>
      <c r="J54" s="229">
        <v>-1</v>
      </c>
      <c r="K54" s="229">
        <v>-1</v>
      </c>
      <c r="L54" s="229">
        <v>-1</v>
      </c>
      <c r="M54" s="229">
        <v>-1</v>
      </c>
      <c r="N54" s="229">
        <v>-1</v>
      </c>
      <c r="O54" s="229">
        <v>-1</v>
      </c>
      <c r="P54" s="229">
        <v>-1</v>
      </c>
      <c r="Q54" s="229">
        <v>-1</v>
      </c>
      <c r="R54" s="229">
        <v>-1</v>
      </c>
      <c r="S54" s="229">
        <v>-1</v>
      </c>
      <c r="T54" s="234"/>
      <c r="U54" s="234"/>
    </row>
    <row r="55" spans="5:21" x14ac:dyDescent="0.25">
      <c r="F55" t="s">
        <v>934</v>
      </c>
      <c r="G55" s="92" t="s">
        <v>141</v>
      </c>
      <c r="J55" s="229">
        <v>-1</v>
      </c>
      <c r="K55" s="229">
        <v>-1</v>
      </c>
      <c r="L55" s="229">
        <v>-1</v>
      </c>
      <c r="M55" s="229">
        <v>-1</v>
      </c>
      <c r="N55" s="229">
        <v>-1</v>
      </c>
      <c r="O55" s="229">
        <v>-1</v>
      </c>
      <c r="P55" s="229">
        <v>-1</v>
      </c>
      <c r="Q55" s="229">
        <v>-1</v>
      </c>
      <c r="R55" s="229">
        <v>-1</v>
      </c>
      <c r="S55" s="229">
        <v>0</v>
      </c>
      <c r="T55" s="234"/>
      <c r="U55" s="234"/>
    </row>
    <row r="56" spans="5:21" x14ac:dyDescent="0.25">
      <c r="F56" t="s">
        <v>935</v>
      </c>
      <c r="G56" s="92" t="s">
        <v>141</v>
      </c>
      <c r="J56" s="229">
        <v>-1</v>
      </c>
      <c r="K56" s="229">
        <v>-1</v>
      </c>
      <c r="L56" s="229">
        <v>-1</v>
      </c>
      <c r="M56" s="229">
        <v>-1</v>
      </c>
      <c r="N56" s="229">
        <v>-1</v>
      </c>
      <c r="O56" s="229">
        <v>-1</v>
      </c>
      <c r="P56" s="229">
        <v>-1</v>
      </c>
      <c r="Q56" s="229">
        <v>-1</v>
      </c>
      <c r="R56" s="229">
        <v>-1</v>
      </c>
      <c r="S56" s="229">
        <v>-1</v>
      </c>
      <c r="T56" s="234"/>
      <c r="U56" s="234"/>
    </row>
    <row r="57" spans="5:21" x14ac:dyDescent="0.25">
      <c r="F57" t="s">
        <v>936</v>
      </c>
      <c r="G57" s="92" t="s">
        <v>141</v>
      </c>
      <c r="J57" s="229">
        <v>-1</v>
      </c>
      <c r="K57" s="229">
        <v>-1</v>
      </c>
      <c r="L57" s="229">
        <v>-1</v>
      </c>
      <c r="M57" s="229">
        <v>-1</v>
      </c>
      <c r="N57" s="229">
        <v>-1</v>
      </c>
      <c r="O57" s="229">
        <v>-1</v>
      </c>
      <c r="P57" s="229">
        <v>-1</v>
      </c>
      <c r="Q57" s="229">
        <v>-1</v>
      </c>
      <c r="R57" s="229">
        <v>-1</v>
      </c>
      <c r="S57" s="229">
        <v>-1</v>
      </c>
      <c r="T57" s="234"/>
      <c r="U57" s="234"/>
    </row>
    <row r="58" spans="5:21" x14ac:dyDescent="0.25">
      <c r="F58" t="s">
        <v>937</v>
      </c>
      <c r="G58" s="92" t="s">
        <v>141</v>
      </c>
      <c r="J58" s="229">
        <v>-1</v>
      </c>
      <c r="K58" s="229">
        <v>-1</v>
      </c>
      <c r="L58" s="229">
        <v>-1</v>
      </c>
      <c r="M58" s="229">
        <v>-1</v>
      </c>
      <c r="N58" s="229">
        <v>-1</v>
      </c>
      <c r="O58" s="229">
        <v>-1</v>
      </c>
      <c r="P58" s="229">
        <v>-1</v>
      </c>
      <c r="Q58" s="229">
        <v>-1</v>
      </c>
      <c r="R58" s="229">
        <v>-1</v>
      </c>
      <c r="S58" s="229">
        <v>0</v>
      </c>
      <c r="T58" s="234"/>
      <c r="U58" s="234"/>
    </row>
    <row r="59" spans="5:21" x14ac:dyDescent="0.25">
      <c r="F59" t="s">
        <v>938</v>
      </c>
      <c r="G59" s="92" t="s">
        <v>141</v>
      </c>
      <c r="J59" s="229">
        <v>-1</v>
      </c>
      <c r="K59" s="229">
        <v>-1</v>
      </c>
      <c r="L59" s="229">
        <v>-1</v>
      </c>
      <c r="M59" s="229">
        <v>-1</v>
      </c>
      <c r="N59" s="229">
        <v>-1</v>
      </c>
      <c r="O59" s="229">
        <v>-1</v>
      </c>
      <c r="P59" s="229">
        <v>-1</v>
      </c>
      <c r="Q59" s="229">
        <v>-1</v>
      </c>
      <c r="R59" s="229">
        <v>-1</v>
      </c>
      <c r="S59" s="229">
        <v>0</v>
      </c>
      <c r="T59" s="234"/>
      <c r="U59" s="234"/>
    </row>
    <row r="60" spans="5:21" x14ac:dyDescent="0.25">
      <c r="F60" t="s">
        <v>939</v>
      </c>
      <c r="G60" s="92" t="s">
        <v>141</v>
      </c>
      <c r="J60" s="229">
        <v>-1</v>
      </c>
      <c r="K60" s="229">
        <v>-1</v>
      </c>
      <c r="L60" s="229">
        <v>-1</v>
      </c>
      <c r="M60" s="229">
        <v>-1</v>
      </c>
      <c r="N60" s="229">
        <v>-1</v>
      </c>
      <c r="O60" s="229">
        <v>-1</v>
      </c>
      <c r="P60" s="229">
        <v>-1</v>
      </c>
      <c r="Q60" s="229">
        <v>-1</v>
      </c>
      <c r="R60" s="229">
        <v>0</v>
      </c>
      <c r="S60" s="229">
        <v>0</v>
      </c>
      <c r="T60" s="234"/>
      <c r="U60" s="234"/>
    </row>
    <row r="61" spans="5:21" x14ac:dyDescent="0.25">
      <c r="F61" s="17" t="s">
        <v>940</v>
      </c>
      <c r="G61" s="34" t="s">
        <v>141</v>
      </c>
      <c r="H61" s="17"/>
      <c r="I61" s="17"/>
      <c r="J61" s="230">
        <v>-1</v>
      </c>
      <c r="K61" s="230">
        <v>-1</v>
      </c>
      <c r="L61" s="230">
        <v>-1</v>
      </c>
      <c r="M61" s="230">
        <v>-1</v>
      </c>
      <c r="N61" s="230">
        <v>-1</v>
      </c>
      <c r="O61" s="230">
        <v>-1</v>
      </c>
      <c r="P61" s="230">
        <v>-1</v>
      </c>
      <c r="Q61" s="230">
        <v>-1</v>
      </c>
      <c r="R61" s="230">
        <v>0</v>
      </c>
      <c r="S61" s="230">
        <v>0</v>
      </c>
      <c r="T61" s="203"/>
      <c r="U61" s="203"/>
    </row>
    <row r="62" spans="5:21" x14ac:dyDescent="0.25">
      <c r="G62" s="9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</row>
    <row r="63" spans="5:21" x14ac:dyDescent="0.25">
      <c r="E63" s="52" t="s">
        <v>443</v>
      </c>
      <c r="G63" s="9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</row>
    <row r="64" spans="5:21" x14ac:dyDescent="0.25">
      <c r="E64" s="73" t="s">
        <v>325</v>
      </c>
      <c r="G64" s="9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</row>
    <row r="65" spans="6:23" x14ac:dyDescent="0.25">
      <c r="F65" s="80" t="s">
        <v>925</v>
      </c>
      <c r="G65" s="38" t="s">
        <v>141</v>
      </c>
      <c r="H65" s="80"/>
      <c r="I65" s="80"/>
      <c r="J65" s="224">
        <f t="shared" ref="J65:S80" si="5">IF(J$38 = "", J46, J46 * J$38)</f>
        <v>1</v>
      </c>
      <c r="K65" s="224">
        <f t="shared" si="5"/>
        <v>1</v>
      </c>
      <c r="L65" s="224">
        <f t="shared" si="5"/>
        <v>1</v>
      </c>
      <c r="M65" s="224">
        <f t="shared" si="5"/>
        <v>1</v>
      </c>
      <c r="N65" s="224">
        <f t="shared" si="5"/>
        <v>1</v>
      </c>
      <c r="O65" s="224">
        <f t="shared" si="5"/>
        <v>1</v>
      </c>
      <c r="P65" s="224">
        <f t="shared" si="5"/>
        <v>0</v>
      </c>
      <c r="Q65" s="224">
        <f t="shared" si="5"/>
        <v>1</v>
      </c>
      <c r="R65" s="224">
        <f t="shared" si="5"/>
        <v>1</v>
      </c>
      <c r="S65" s="224">
        <f t="shared" si="5"/>
        <v>1</v>
      </c>
      <c r="T65" s="201"/>
      <c r="U65" s="201"/>
      <c r="W65" s="19"/>
    </row>
    <row r="66" spans="6:23" x14ac:dyDescent="0.25">
      <c r="F66" t="s">
        <v>926</v>
      </c>
      <c r="G66" s="92" t="s">
        <v>141</v>
      </c>
      <c r="J66" s="231">
        <f t="shared" si="5"/>
        <v>1</v>
      </c>
      <c r="K66" s="231">
        <f t="shared" si="5"/>
        <v>1</v>
      </c>
      <c r="L66" s="231">
        <f t="shared" si="5"/>
        <v>1</v>
      </c>
      <c r="M66" s="231">
        <f t="shared" si="5"/>
        <v>1</v>
      </c>
      <c r="N66" s="231">
        <f t="shared" si="5"/>
        <v>1</v>
      </c>
      <c r="O66" s="231">
        <f t="shared" si="5"/>
        <v>1</v>
      </c>
      <c r="P66" s="231">
        <f t="shared" si="5"/>
        <v>0</v>
      </c>
      <c r="Q66" s="231">
        <f t="shared" si="5"/>
        <v>1</v>
      </c>
      <c r="R66" s="231">
        <f t="shared" si="5"/>
        <v>1</v>
      </c>
      <c r="S66" s="231">
        <f t="shared" si="5"/>
        <v>1</v>
      </c>
      <c r="T66" s="234"/>
      <c r="U66" s="234"/>
    </row>
    <row r="67" spans="6:23" x14ac:dyDescent="0.25">
      <c r="F67" t="s">
        <v>927</v>
      </c>
      <c r="G67" s="92" t="s">
        <v>141</v>
      </c>
      <c r="J67" s="231">
        <f t="shared" si="5"/>
        <v>1</v>
      </c>
      <c r="K67" s="231">
        <f t="shared" si="5"/>
        <v>1</v>
      </c>
      <c r="L67" s="231">
        <f t="shared" si="5"/>
        <v>1</v>
      </c>
      <c r="M67" s="231">
        <f t="shared" si="5"/>
        <v>1</v>
      </c>
      <c r="N67" s="231">
        <f t="shared" si="5"/>
        <v>1</v>
      </c>
      <c r="O67" s="231">
        <f t="shared" si="5"/>
        <v>1</v>
      </c>
      <c r="P67" s="231">
        <f t="shared" si="5"/>
        <v>0</v>
      </c>
      <c r="Q67" s="231">
        <f t="shared" si="5"/>
        <v>1</v>
      </c>
      <c r="R67" s="231">
        <f t="shared" si="5"/>
        <v>1</v>
      </c>
      <c r="S67" s="231">
        <f t="shared" si="5"/>
        <v>1</v>
      </c>
      <c r="T67" s="234"/>
      <c r="U67" s="234"/>
    </row>
    <row r="68" spans="6:23" x14ac:dyDescent="0.25">
      <c r="F68" t="s">
        <v>928</v>
      </c>
      <c r="G68" s="92" t="s">
        <v>141</v>
      </c>
      <c r="J68" s="231">
        <f t="shared" si="5"/>
        <v>1</v>
      </c>
      <c r="K68" s="231">
        <f t="shared" si="5"/>
        <v>1</v>
      </c>
      <c r="L68" s="231">
        <f t="shared" si="5"/>
        <v>1</v>
      </c>
      <c r="M68" s="231">
        <f t="shared" si="5"/>
        <v>1</v>
      </c>
      <c r="N68" s="231">
        <f t="shared" si="5"/>
        <v>1</v>
      </c>
      <c r="O68" s="231">
        <f t="shared" si="5"/>
        <v>1</v>
      </c>
      <c r="P68" s="231">
        <f t="shared" si="5"/>
        <v>0</v>
      </c>
      <c r="Q68" s="231">
        <f t="shared" si="5"/>
        <v>1</v>
      </c>
      <c r="R68" s="231">
        <f t="shared" si="5"/>
        <v>1</v>
      </c>
      <c r="S68" s="231">
        <f t="shared" si="5"/>
        <v>1</v>
      </c>
      <c r="T68" s="234"/>
      <c r="U68" s="234"/>
    </row>
    <row r="69" spans="6:23" x14ac:dyDescent="0.25">
      <c r="F69" t="s">
        <v>929</v>
      </c>
      <c r="G69" s="92" t="s">
        <v>141</v>
      </c>
      <c r="J69" s="231">
        <f t="shared" si="5"/>
        <v>1</v>
      </c>
      <c r="K69" s="231">
        <f t="shared" si="5"/>
        <v>1</v>
      </c>
      <c r="L69" s="231">
        <f t="shared" si="5"/>
        <v>1</v>
      </c>
      <c r="M69" s="231">
        <f t="shared" si="5"/>
        <v>1</v>
      </c>
      <c r="N69" s="231">
        <f t="shared" si="5"/>
        <v>1</v>
      </c>
      <c r="O69" s="231">
        <f t="shared" si="5"/>
        <v>1</v>
      </c>
      <c r="P69" s="231">
        <f t="shared" si="5"/>
        <v>0</v>
      </c>
      <c r="Q69" s="231">
        <f t="shared" si="5"/>
        <v>1</v>
      </c>
      <c r="R69" s="231">
        <f t="shared" si="5"/>
        <v>1</v>
      </c>
      <c r="S69" s="231">
        <f t="shared" si="5"/>
        <v>1</v>
      </c>
      <c r="T69" s="234"/>
      <c r="U69" s="234"/>
    </row>
    <row r="70" spans="6:23" x14ac:dyDescent="0.25">
      <c r="F70" t="s">
        <v>930</v>
      </c>
      <c r="G70" s="92" t="s">
        <v>141</v>
      </c>
      <c r="J70" s="231">
        <f t="shared" si="5"/>
        <v>1</v>
      </c>
      <c r="K70" s="231">
        <f t="shared" si="5"/>
        <v>1</v>
      </c>
      <c r="L70" s="231">
        <f t="shared" si="5"/>
        <v>1</v>
      </c>
      <c r="M70" s="231">
        <f t="shared" si="5"/>
        <v>1</v>
      </c>
      <c r="N70" s="231">
        <f t="shared" si="5"/>
        <v>1</v>
      </c>
      <c r="O70" s="231">
        <f t="shared" si="5"/>
        <v>1</v>
      </c>
      <c r="P70" s="231">
        <f t="shared" si="5"/>
        <v>0</v>
      </c>
      <c r="Q70" s="231">
        <f t="shared" si="5"/>
        <v>1</v>
      </c>
      <c r="R70" s="231">
        <f t="shared" si="5"/>
        <v>1</v>
      </c>
      <c r="S70" s="231">
        <f t="shared" si="5"/>
        <v>0</v>
      </c>
      <c r="T70" s="234"/>
      <c r="U70" s="234"/>
    </row>
    <row r="71" spans="6:23" x14ac:dyDescent="0.25">
      <c r="F71" t="s">
        <v>931</v>
      </c>
      <c r="G71" s="92" t="s">
        <v>141</v>
      </c>
      <c r="J71" s="231">
        <f t="shared" si="5"/>
        <v>1</v>
      </c>
      <c r="K71" s="231">
        <f t="shared" si="5"/>
        <v>1</v>
      </c>
      <c r="L71" s="231">
        <f t="shared" si="5"/>
        <v>1</v>
      </c>
      <c r="M71" s="231">
        <f t="shared" si="5"/>
        <v>1</v>
      </c>
      <c r="N71" s="231">
        <f t="shared" si="5"/>
        <v>1</v>
      </c>
      <c r="O71" s="231">
        <f t="shared" si="5"/>
        <v>1</v>
      </c>
      <c r="P71" s="231">
        <f t="shared" si="5"/>
        <v>0</v>
      </c>
      <c r="Q71" s="231">
        <f t="shared" si="5"/>
        <v>1</v>
      </c>
      <c r="R71" s="231">
        <f t="shared" si="5"/>
        <v>0</v>
      </c>
      <c r="S71" s="231">
        <f t="shared" si="5"/>
        <v>0</v>
      </c>
      <c r="T71" s="234"/>
      <c r="U71" s="234"/>
    </row>
    <row r="72" spans="6:23" x14ac:dyDescent="0.25">
      <c r="F72" t="s">
        <v>932</v>
      </c>
      <c r="G72" s="92" t="s">
        <v>141</v>
      </c>
      <c r="J72" s="231">
        <f t="shared" si="5"/>
        <v>1</v>
      </c>
      <c r="K72" s="231">
        <f t="shared" si="5"/>
        <v>1</v>
      </c>
      <c r="L72" s="231">
        <f t="shared" si="5"/>
        <v>1</v>
      </c>
      <c r="M72" s="231">
        <f t="shared" si="5"/>
        <v>1</v>
      </c>
      <c r="N72" s="231">
        <f t="shared" si="5"/>
        <v>1</v>
      </c>
      <c r="O72" s="231">
        <f t="shared" si="5"/>
        <v>1</v>
      </c>
      <c r="P72" s="231">
        <f t="shared" si="5"/>
        <v>0</v>
      </c>
      <c r="Q72" s="231">
        <f t="shared" si="5"/>
        <v>1</v>
      </c>
      <c r="R72" s="231">
        <f t="shared" si="5"/>
        <v>1</v>
      </c>
      <c r="S72" s="231">
        <f t="shared" si="5"/>
        <v>1</v>
      </c>
      <c r="T72" s="234"/>
      <c r="U72" s="234"/>
    </row>
    <row r="73" spans="6:23" x14ac:dyDescent="0.25">
      <c r="F73" t="s">
        <v>933</v>
      </c>
      <c r="G73" s="92" t="s">
        <v>141</v>
      </c>
      <c r="J73" s="231">
        <f t="shared" si="5"/>
        <v>-1</v>
      </c>
      <c r="K73" s="231">
        <f t="shared" si="5"/>
        <v>-1</v>
      </c>
      <c r="L73" s="231">
        <f t="shared" si="5"/>
        <v>-1</v>
      </c>
      <c r="M73" s="231">
        <f t="shared" si="5"/>
        <v>-1</v>
      </c>
      <c r="N73" s="231">
        <f t="shared" si="5"/>
        <v>-1</v>
      </c>
      <c r="O73" s="231">
        <f t="shared" si="5"/>
        <v>-1</v>
      </c>
      <c r="P73" s="231">
        <f t="shared" si="5"/>
        <v>0</v>
      </c>
      <c r="Q73" s="231">
        <f t="shared" si="5"/>
        <v>-1</v>
      </c>
      <c r="R73" s="231">
        <f t="shared" si="5"/>
        <v>-1</v>
      </c>
      <c r="S73" s="231">
        <f t="shared" si="5"/>
        <v>-1</v>
      </c>
      <c r="T73" s="234"/>
      <c r="U73" s="234"/>
    </row>
    <row r="74" spans="6:23" x14ac:dyDescent="0.25">
      <c r="F74" t="s">
        <v>934</v>
      </c>
      <c r="G74" s="92" t="s">
        <v>141</v>
      </c>
      <c r="J74" s="231">
        <f t="shared" si="5"/>
        <v>-1</v>
      </c>
      <c r="K74" s="231">
        <f t="shared" si="5"/>
        <v>-1</v>
      </c>
      <c r="L74" s="231">
        <f t="shared" si="5"/>
        <v>-1</v>
      </c>
      <c r="M74" s="231">
        <f t="shared" si="5"/>
        <v>-1</v>
      </c>
      <c r="N74" s="231">
        <f t="shared" si="5"/>
        <v>-1</v>
      </c>
      <c r="O74" s="231">
        <f t="shared" si="5"/>
        <v>-1</v>
      </c>
      <c r="P74" s="231">
        <f t="shared" si="5"/>
        <v>0</v>
      </c>
      <c r="Q74" s="231">
        <f t="shared" si="5"/>
        <v>-1</v>
      </c>
      <c r="R74" s="231">
        <f t="shared" si="5"/>
        <v>-1</v>
      </c>
      <c r="S74" s="231">
        <f t="shared" si="5"/>
        <v>0</v>
      </c>
      <c r="T74" s="234"/>
      <c r="U74" s="234"/>
    </row>
    <row r="75" spans="6:23" x14ac:dyDescent="0.25">
      <c r="F75" t="s">
        <v>935</v>
      </c>
      <c r="G75" s="92" t="s">
        <v>141</v>
      </c>
      <c r="J75" s="231">
        <f t="shared" si="5"/>
        <v>-1</v>
      </c>
      <c r="K75" s="231">
        <f t="shared" si="5"/>
        <v>-1</v>
      </c>
      <c r="L75" s="231">
        <f t="shared" si="5"/>
        <v>-1</v>
      </c>
      <c r="M75" s="231">
        <f t="shared" si="5"/>
        <v>-1</v>
      </c>
      <c r="N75" s="231">
        <f t="shared" si="5"/>
        <v>-1</v>
      </c>
      <c r="O75" s="231">
        <f t="shared" si="5"/>
        <v>-1</v>
      </c>
      <c r="P75" s="231">
        <f t="shared" si="5"/>
        <v>0</v>
      </c>
      <c r="Q75" s="231">
        <f t="shared" si="5"/>
        <v>-1</v>
      </c>
      <c r="R75" s="231">
        <f t="shared" si="5"/>
        <v>-1</v>
      </c>
      <c r="S75" s="231">
        <f t="shared" si="5"/>
        <v>-1</v>
      </c>
      <c r="T75" s="234"/>
      <c r="U75" s="234"/>
    </row>
    <row r="76" spans="6:23" x14ac:dyDescent="0.25">
      <c r="F76" t="s">
        <v>936</v>
      </c>
      <c r="G76" s="92" t="s">
        <v>141</v>
      </c>
      <c r="J76" s="231">
        <f t="shared" si="5"/>
        <v>-1</v>
      </c>
      <c r="K76" s="231">
        <f t="shared" si="5"/>
        <v>-1</v>
      </c>
      <c r="L76" s="231">
        <f t="shared" si="5"/>
        <v>-1</v>
      </c>
      <c r="M76" s="231">
        <f t="shared" si="5"/>
        <v>-1</v>
      </c>
      <c r="N76" s="231">
        <f t="shared" si="5"/>
        <v>-1</v>
      </c>
      <c r="O76" s="231">
        <f t="shared" si="5"/>
        <v>-1</v>
      </c>
      <c r="P76" s="231">
        <f t="shared" si="5"/>
        <v>0</v>
      </c>
      <c r="Q76" s="231">
        <f t="shared" si="5"/>
        <v>-1</v>
      </c>
      <c r="R76" s="231">
        <f t="shared" si="5"/>
        <v>-1</v>
      </c>
      <c r="S76" s="231">
        <f t="shared" si="5"/>
        <v>-1</v>
      </c>
      <c r="T76" s="234"/>
      <c r="U76" s="234"/>
    </row>
    <row r="77" spans="6:23" x14ac:dyDescent="0.25">
      <c r="F77" t="s">
        <v>937</v>
      </c>
      <c r="G77" s="92" t="s">
        <v>141</v>
      </c>
      <c r="J77" s="231">
        <f t="shared" si="5"/>
        <v>-1</v>
      </c>
      <c r="K77" s="231">
        <f t="shared" si="5"/>
        <v>-1</v>
      </c>
      <c r="L77" s="231">
        <f t="shared" si="5"/>
        <v>-1</v>
      </c>
      <c r="M77" s="231">
        <f t="shared" si="5"/>
        <v>-1</v>
      </c>
      <c r="N77" s="231">
        <f t="shared" si="5"/>
        <v>-1</v>
      </c>
      <c r="O77" s="231">
        <f t="shared" si="5"/>
        <v>-1</v>
      </c>
      <c r="P77" s="231">
        <f t="shared" si="5"/>
        <v>0</v>
      </c>
      <c r="Q77" s="231">
        <f t="shared" si="5"/>
        <v>-1</v>
      </c>
      <c r="R77" s="231">
        <f t="shared" si="5"/>
        <v>-1</v>
      </c>
      <c r="S77" s="231">
        <f t="shared" si="5"/>
        <v>0</v>
      </c>
      <c r="T77" s="234"/>
      <c r="U77" s="234"/>
    </row>
    <row r="78" spans="6:23" x14ac:dyDescent="0.25">
      <c r="F78" t="s">
        <v>938</v>
      </c>
      <c r="G78" s="92" t="s">
        <v>141</v>
      </c>
      <c r="J78" s="231">
        <f t="shared" si="5"/>
        <v>-1</v>
      </c>
      <c r="K78" s="231">
        <f t="shared" si="5"/>
        <v>-1</v>
      </c>
      <c r="L78" s="231">
        <f t="shared" si="5"/>
        <v>-1</v>
      </c>
      <c r="M78" s="231">
        <f t="shared" si="5"/>
        <v>-1</v>
      </c>
      <c r="N78" s="231">
        <f t="shared" si="5"/>
        <v>-1</v>
      </c>
      <c r="O78" s="231">
        <f t="shared" si="5"/>
        <v>-1</v>
      </c>
      <c r="P78" s="231">
        <f t="shared" si="5"/>
        <v>0</v>
      </c>
      <c r="Q78" s="231">
        <f t="shared" si="5"/>
        <v>-1</v>
      </c>
      <c r="R78" s="231">
        <f t="shared" si="5"/>
        <v>-1</v>
      </c>
      <c r="S78" s="231">
        <f t="shared" si="5"/>
        <v>0</v>
      </c>
      <c r="T78" s="234"/>
      <c r="U78" s="234"/>
    </row>
    <row r="79" spans="6:23" x14ac:dyDescent="0.25">
      <c r="F79" t="s">
        <v>939</v>
      </c>
      <c r="G79" s="92" t="s">
        <v>141</v>
      </c>
      <c r="J79" s="231">
        <f t="shared" si="5"/>
        <v>-1</v>
      </c>
      <c r="K79" s="231">
        <f t="shared" si="5"/>
        <v>-1</v>
      </c>
      <c r="L79" s="231">
        <f t="shared" si="5"/>
        <v>-1</v>
      </c>
      <c r="M79" s="231">
        <f t="shared" si="5"/>
        <v>-1</v>
      </c>
      <c r="N79" s="231">
        <f t="shared" si="5"/>
        <v>-1</v>
      </c>
      <c r="O79" s="231">
        <f t="shared" si="5"/>
        <v>-1</v>
      </c>
      <c r="P79" s="231">
        <f t="shared" si="5"/>
        <v>0</v>
      </c>
      <c r="Q79" s="231">
        <f t="shared" si="5"/>
        <v>-1</v>
      </c>
      <c r="R79" s="231">
        <f t="shared" si="5"/>
        <v>0</v>
      </c>
      <c r="S79" s="231">
        <f t="shared" si="5"/>
        <v>0</v>
      </c>
      <c r="T79" s="234"/>
      <c r="U79" s="234"/>
    </row>
    <row r="80" spans="6:23" x14ac:dyDescent="0.25">
      <c r="F80" s="17" t="s">
        <v>940</v>
      </c>
      <c r="G80" s="34" t="s">
        <v>141</v>
      </c>
      <c r="H80" s="17"/>
      <c r="I80" s="17"/>
      <c r="J80" s="225">
        <f t="shared" si="5"/>
        <v>-1</v>
      </c>
      <c r="K80" s="225">
        <f t="shared" si="5"/>
        <v>-1</v>
      </c>
      <c r="L80" s="225">
        <f t="shared" si="5"/>
        <v>-1</v>
      </c>
      <c r="M80" s="225">
        <f t="shared" si="5"/>
        <v>-1</v>
      </c>
      <c r="N80" s="225">
        <f t="shared" si="5"/>
        <v>-1</v>
      </c>
      <c r="O80" s="225">
        <f t="shared" si="5"/>
        <v>-1</v>
      </c>
      <c r="P80" s="225">
        <f t="shared" si="5"/>
        <v>0</v>
      </c>
      <c r="Q80" s="225">
        <f t="shared" si="5"/>
        <v>-1</v>
      </c>
      <c r="R80" s="225">
        <f t="shared" si="5"/>
        <v>0</v>
      </c>
      <c r="S80" s="225">
        <f t="shared" si="5"/>
        <v>0</v>
      </c>
      <c r="T80" s="203"/>
      <c r="U80" s="203"/>
    </row>
    <row r="81" spans="5:23" x14ac:dyDescent="0.25">
      <c r="G81" s="9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</row>
    <row r="82" spans="5:23" x14ac:dyDescent="0.25">
      <c r="E82" s="52" t="s">
        <v>330</v>
      </c>
      <c r="G82" s="91"/>
      <c r="I82" t="s">
        <v>359</v>
      </c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W82" s="19" t="s">
        <v>783</v>
      </c>
    </row>
    <row r="83" spans="5:23" x14ac:dyDescent="0.25">
      <c r="E83" s="73" t="s">
        <v>262</v>
      </c>
      <c r="G83" s="9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</row>
    <row r="84" spans="5:23" x14ac:dyDescent="0.25">
      <c r="F84" s="80" t="s">
        <v>925</v>
      </c>
      <c r="G84" s="38" t="s">
        <v>132</v>
      </c>
      <c r="H84" s="80"/>
      <c r="I84" s="80"/>
      <c r="J84" s="228">
        <f t="array" ref="J84:S99">TRANSPOSE('Fixed inputs'!J73:Y82)</f>
        <v>1</v>
      </c>
      <c r="K84" s="228">
        <v>1</v>
      </c>
      <c r="L84" s="228">
        <v>1</v>
      </c>
      <c r="M84" s="228">
        <v>1</v>
      </c>
      <c r="N84" s="228">
        <v>1</v>
      </c>
      <c r="O84" s="228">
        <v>1</v>
      </c>
      <c r="P84" s="228">
        <v>1</v>
      </c>
      <c r="Q84" s="228">
        <v>1</v>
      </c>
      <c r="R84" s="228">
        <v>1</v>
      </c>
      <c r="S84" s="228">
        <v>1</v>
      </c>
      <c r="T84" s="201"/>
      <c r="U84" s="201"/>
    </row>
    <row r="85" spans="5:23" x14ac:dyDescent="0.25">
      <c r="F85" t="s">
        <v>926</v>
      </c>
      <c r="G85" s="92" t="s">
        <v>132</v>
      </c>
      <c r="J85" s="229">
        <v>1</v>
      </c>
      <c r="K85" s="229">
        <v>1</v>
      </c>
      <c r="L85" s="229">
        <v>1</v>
      </c>
      <c r="M85" s="229">
        <v>1</v>
      </c>
      <c r="N85" s="229">
        <v>1</v>
      </c>
      <c r="O85" s="229">
        <v>1</v>
      </c>
      <c r="P85" s="229">
        <v>1</v>
      </c>
      <c r="Q85" s="229">
        <v>1</v>
      </c>
      <c r="R85" s="229">
        <v>1</v>
      </c>
      <c r="S85" s="229">
        <v>1</v>
      </c>
      <c r="T85" s="234"/>
      <c r="U85" s="234"/>
    </row>
    <row r="86" spans="5:23" x14ac:dyDescent="0.25">
      <c r="F86" t="s">
        <v>927</v>
      </c>
      <c r="G86" s="92" t="s">
        <v>132</v>
      </c>
      <c r="J86" s="229">
        <v>1</v>
      </c>
      <c r="K86" s="229">
        <v>1</v>
      </c>
      <c r="L86" s="229">
        <v>1</v>
      </c>
      <c r="M86" s="229">
        <v>1</v>
      </c>
      <c r="N86" s="229">
        <v>1</v>
      </c>
      <c r="O86" s="229">
        <v>1</v>
      </c>
      <c r="P86" s="229">
        <v>1</v>
      </c>
      <c r="Q86" s="229">
        <v>1</v>
      </c>
      <c r="R86" s="229">
        <v>1</v>
      </c>
      <c r="S86" s="229">
        <v>1</v>
      </c>
      <c r="T86" s="234"/>
      <c r="U86" s="234"/>
    </row>
    <row r="87" spans="5:23" x14ac:dyDescent="0.25">
      <c r="F87" t="s">
        <v>928</v>
      </c>
      <c r="G87" s="92" t="s">
        <v>132</v>
      </c>
      <c r="J87" s="229">
        <v>1</v>
      </c>
      <c r="K87" s="229">
        <v>1</v>
      </c>
      <c r="L87" s="229">
        <v>1</v>
      </c>
      <c r="M87" s="229">
        <v>1</v>
      </c>
      <c r="N87" s="229">
        <v>1</v>
      </c>
      <c r="O87" s="229">
        <v>1</v>
      </c>
      <c r="P87" s="229">
        <v>1</v>
      </c>
      <c r="Q87" s="229">
        <v>1</v>
      </c>
      <c r="R87" s="229">
        <v>1</v>
      </c>
      <c r="S87" s="229">
        <v>1</v>
      </c>
      <c r="T87" s="234"/>
      <c r="U87" s="234"/>
    </row>
    <row r="88" spans="5:23" x14ac:dyDescent="0.25">
      <c r="F88" t="s">
        <v>929</v>
      </c>
      <c r="G88" s="92" t="s">
        <v>132</v>
      </c>
      <c r="J88" s="229">
        <v>1</v>
      </c>
      <c r="K88" s="229">
        <v>1</v>
      </c>
      <c r="L88" s="229">
        <v>1</v>
      </c>
      <c r="M88" s="229">
        <v>1</v>
      </c>
      <c r="N88" s="229">
        <v>1</v>
      </c>
      <c r="O88" s="229">
        <v>1</v>
      </c>
      <c r="P88" s="229">
        <v>1</v>
      </c>
      <c r="Q88" s="229">
        <v>1</v>
      </c>
      <c r="R88" s="229">
        <v>1</v>
      </c>
      <c r="S88" s="229">
        <v>1</v>
      </c>
      <c r="T88" s="234"/>
      <c r="U88" s="234"/>
    </row>
    <row r="89" spans="5:23" x14ac:dyDescent="0.25">
      <c r="F89" t="s">
        <v>930</v>
      </c>
      <c r="G89" s="92" t="s">
        <v>132</v>
      </c>
      <c r="J89" s="229">
        <v>1</v>
      </c>
      <c r="K89" s="229">
        <v>1</v>
      </c>
      <c r="L89" s="229">
        <v>1</v>
      </c>
      <c r="M89" s="229">
        <v>1</v>
      </c>
      <c r="N89" s="229">
        <v>1</v>
      </c>
      <c r="O89" s="229">
        <v>1</v>
      </c>
      <c r="P89" s="229">
        <v>1</v>
      </c>
      <c r="Q89" s="229">
        <v>1</v>
      </c>
      <c r="R89" s="229">
        <v>1</v>
      </c>
      <c r="S89" s="229">
        <v>0</v>
      </c>
      <c r="T89" s="234"/>
      <c r="U89" s="234"/>
    </row>
    <row r="90" spans="5:23" x14ac:dyDescent="0.25">
      <c r="F90" t="s">
        <v>931</v>
      </c>
      <c r="G90" s="92" t="s">
        <v>132</v>
      </c>
      <c r="J90" s="229">
        <v>1</v>
      </c>
      <c r="K90" s="229">
        <v>1</v>
      </c>
      <c r="L90" s="229">
        <v>1</v>
      </c>
      <c r="M90" s="229">
        <v>1</v>
      </c>
      <c r="N90" s="229">
        <v>1</v>
      </c>
      <c r="O90" s="229">
        <v>1</v>
      </c>
      <c r="P90" s="229">
        <v>1</v>
      </c>
      <c r="Q90" s="229">
        <v>1</v>
      </c>
      <c r="R90" s="229">
        <v>0</v>
      </c>
      <c r="S90" s="229">
        <v>0</v>
      </c>
      <c r="T90" s="234"/>
      <c r="U90" s="234"/>
    </row>
    <row r="91" spans="5:23" x14ac:dyDescent="0.25">
      <c r="F91" t="s">
        <v>932</v>
      </c>
      <c r="G91" s="92" t="s">
        <v>132</v>
      </c>
      <c r="J91" s="229">
        <v>1</v>
      </c>
      <c r="K91" s="229">
        <v>1</v>
      </c>
      <c r="L91" s="229">
        <v>1</v>
      </c>
      <c r="M91" s="229">
        <v>1</v>
      </c>
      <c r="N91" s="229">
        <v>1</v>
      </c>
      <c r="O91" s="229">
        <v>1</v>
      </c>
      <c r="P91" s="229">
        <v>1</v>
      </c>
      <c r="Q91" s="229">
        <v>1</v>
      </c>
      <c r="R91" s="229">
        <v>1</v>
      </c>
      <c r="S91" s="229">
        <v>1</v>
      </c>
      <c r="T91" s="234"/>
      <c r="U91" s="234"/>
    </row>
    <row r="92" spans="5:23" x14ac:dyDescent="0.25">
      <c r="F92" t="s">
        <v>933</v>
      </c>
      <c r="G92" s="92" t="s">
        <v>132</v>
      </c>
      <c r="J92" s="229">
        <v>-1</v>
      </c>
      <c r="K92" s="229">
        <v>-1</v>
      </c>
      <c r="L92" s="229">
        <v>-1</v>
      </c>
      <c r="M92" s="229">
        <v>-1</v>
      </c>
      <c r="N92" s="229">
        <v>-1</v>
      </c>
      <c r="O92" s="229">
        <v>-1</v>
      </c>
      <c r="P92" s="229">
        <v>-1</v>
      </c>
      <c r="Q92" s="229">
        <v>-1</v>
      </c>
      <c r="R92" s="229">
        <v>-1</v>
      </c>
      <c r="S92" s="229">
        <v>0</v>
      </c>
      <c r="T92" s="234"/>
      <c r="U92" s="234"/>
    </row>
    <row r="93" spans="5:23" x14ac:dyDescent="0.25">
      <c r="F93" t="s">
        <v>934</v>
      </c>
      <c r="G93" s="92" t="s">
        <v>132</v>
      </c>
      <c r="J93" s="229">
        <v>-1</v>
      </c>
      <c r="K93" s="229">
        <v>-1</v>
      </c>
      <c r="L93" s="229">
        <v>-1</v>
      </c>
      <c r="M93" s="229">
        <v>-1</v>
      </c>
      <c r="N93" s="229">
        <v>-1</v>
      </c>
      <c r="O93" s="229">
        <v>-1</v>
      </c>
      <c r="P93" s="229">
        <v>-1</v>
      </c>
      <c r="Q93" s="229">
        <v>-1</v>
      </c>
      <c r="R93" s="229">
        <v>0</v>
      </c>
      <c r="S93" s="229">
        <v>0</v>
      </c>
      <c r="T93" s="234"/>
      <c r="U93" s="234"/>
    </row>
    <row r="94" spans="5:23" x14ac:dyDescent="0.25">
      <c r="F94" t="s">
        <v>935</v>
      </c>
      <c r="G94" s="92" t="s">
        <v>132</v>
      </c>
      <c r="J94" s="229">
        <v>-1</v>
      </c>
      <c r="K94" s="229">
        <v>-1</v>
      </c>
      <c r="L94" s="229">
        <v>-1</v>
      </c>
      <c r="M94" s="229">
        <v>-1</v>
      </c>
      <c r="N94" s="229">
        <v>-1</v>
      </c>
      <c r="O94" s="229">
        <v>-1</v>
      </c>
      <c r="P94" s="229">
        <v>-1</v>
      </c>
      <c r="Q94" s="229">
        <v>-1</v>
      </c>
      <c r="R94" s="229">
        <v>-1</v>
      </c>
      <c r="S94" s="229">
        <v>0</v>
      </c>
      <c r="T94" s="234"/>
      <c r="U94" s="234"/>
    </row>
    <row r="95" spans="5:23" x14ac:dyDescent="0.25">
      <c r="F95" t="s">
        <v>936</v>
      </c>
      <c r="G95" s="92" t="s">
        <v>132</v>
      </c>
      <c r="J95" s="229">
        <v>-1</v>
      </c>
      <c r="K95" s="229">
        <v>-1</v>
      </c>
      <c r="L95" s="229">
        <v>-1</v>
      </c>
      <c r="M95" s="229">
        <v>-1</v>
      </c>
      <c r="N95" s="229">
        <v>-1</v>
      </c>
      <c r="O95" s="229">
        <v>-1</v>
      </c>
      <c r="P95" s="229">
        <v>-1</v>
      </c>
      <c r="Q95" s="229">
        <v>-1</v>
      </c>
      <c r="R95" s="229">
        <v>-1</v>
      </c>
      <c r="S95" s="229">
        <v>0</v>
      </c>
      <c r="T95" s="234"/>
      <c r="U95" s="234"/>
    </row>
    <row r="96" spans="5:23" x14ac:dyDescent="0.25">
      <c r="F96" t="s">
        <v>937</v>
      </c>
      <c r="G96" s="92" t="s">
        <v>132</v>
      </c>
      <c r="J96" s="229">
        <v>-1</v>
      </c>
      <c r="K96" s="229">
        <v>-1</v>
      </c>
      <c r="L96" s="229">
        <v>-1</v>
      </c>
      <c r="M96" s="229">
        <v>-1</v>
      </c>
      <c r="N96" s="229">
        <v>-1</v>
      </c>
      <c r="O96" s="229">
        <v>-1</v>
      </c>
      <c r="P96" s="229">
        <v>-1</v>
      </c>
      <c r="Q96" s="229">
        <v>-1</v>
      </c>
      <c r="R96" s="229">
        <v>0</v>
      </c>
      <c r="S96" s="229">
        <v>0</v>
      </c>
      <c r="T96" s="234"/>
      <c r="U96" s="234"/>
    </row>
    <row r="97" spans="5:23" x14ac:dyDescent="0.25">
      <c r="F97" t="s">
        <v>938</v>
      </c>
      <c r="G97" s="92" t="s">
        <v>132</v>
      </c>
      <c r="J97" s="229">
        <v>-1</v>
      </c>
      <c r="K97" s="229">
        <v>-1</v>
      </c>
      <c r="L97" s="229">
        <v>-1</v>
      </c>
      <c r="M97" s="229">
        <v>-1</v>
      </c>
      <c r="N97" s="229">
        <v>-1</v>
      </c>
      <c r="O97" s="229">
        <v>-1</v>
      </c>
      <c r="P97" s="229">
        <v>-1</v>
      </c>
      <c r="Q97" s="229">
        <v>-1</v>
      </c>
      <c r="R97" s="229">
        <v>0</v>
      </c>
      <c r="S97" s="229">
        <v>0</v>
      </c>
      <c r="T97" s="234"/>
      <c r="U97" s="234"/>
    </row>
    <row r="98" spans="5:23" x14ac:dyDescent="0.25">
      <c r="F98" t="s">
        <v>939</v>
      </c>
      <c r="G98" s="92" t="s">
        <v>132</v>
      </c>
      <c r="J98" s="229">
        <v>-1</v>
      </c>
      <c r="K98" s="229">
        <v>-1</v>
      </c>
      <c r="L98" s="229">
        <v>-1</v>
      </c>
      <c r="M98" s="229">
        <v>-1</v>
      </c>
      <c r="N98" s="229">
        <v>-1</v>
      </c>
      <c r="O98" s="229">
        <v>-1</v>
      </c>
      <c r="P98" s="229">
        <v>-1</v>
      </c>
      <c r="Q98" s="229">
        <v>0</v>
      </c>
      <c r="R98" s="229">
        <v>0</v>
      </c>
      <c r="S98" s="229">
        <v>0</v>
      </c>
      <c r="T98" s="234"/>
      <c r="U98" s="234"/>
    </row>
    <row r="99" spans="5:23" x14ac:dyDescent="0.25">
      <c r="F99" s="17" t="s">
        <v>940</v>
      </c>
      <c r="G99" s="34" t="s">
        <v>132</v>
      </c>
      <c r="H99" s="17"/>
      <c r="I99" s="17"/>
      <c r="J99" s="230">
        <v>-1</v>
      </c>
      <c r="K99" s="230">
        <v>-1</v>
      </c>
      <c r="L99" s="230">
        <v>-1</v>
      </c>
      <c r="M99" s="230">
        <v>-1</v>
      </c>
      <c r="N99" s="230">
        <v>-1</v>
      </c>
      <c r="O99" s="230">
        <v>-1</v>
      </c>
      <c r="P99" s="230">
        <v>-1</v>
      </c>
      <c r="Q99" s="230">
        <v>0</v>
      </c>
      <c r="R99" s="230">
        <v>0</v>
      </c>
      <c r="S99" s="230">
        <v>0</v>
      </c>
      <c r="T99" s="203"/>
      <c r="U99" s="203"/>
    </row>
    <row r="100" spans="5:23" x14ac:dyDescent="0.25">
      <c r="G100" s="91"/>
      <c r="J100" s="211"/>
      <c r="K100" s="211"/>
      <c r="L100" s="211"/>
      <c r="M100" s="211"/>
      <c r="N100" s="211"/>
      <c r="O100" s="211"/>
      <c r="P100" s="211"/>
      <c r="Q100" s="211"/>
      <c r="R100" s="211"/>
      <c r="S100" s="211"/>
      <c r="T100" s="211"/>
      <c r="U100" s="211"/>
    </row>
    <row r="101" spans="5:23" x14ac:dyDescent="0.25">
      <c r="E101" s="52" t="s">
        <v>444</v>
      </c>
      <c r="G101" s="91"/>
      <c r="I101" t="s">
        <v>359</v>
      </c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  <c r="W101" s="19" t="s">
        <v>783</v>
      </c>
    </row>
    <row r="102" spans="5:23" x14ac:dyDescent="0.25">
      <c r="E102" s="73" t="s">
        <v>262</v>
      </c>
      <c r="G102" s="9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</row>
    <row r="103" spans="5:23" x14ac:dyDescent="0.25">
      <c r="E103" s="73" t="s">
        <v>325</v>
      </c>
      <c r="G103" s="9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</row>
    <row r="104" spans="5:23" x14ac:dyDescent="0.25">
      <c r="F104" s="80" t="s">
        <v>925</v>
      </c>
      <c r="G104" s="38" t="s">
        <v>132</v>
      </c>
      <c r="H104" s="80"/>
      <c r="I104" s="80"/>
      <c r="J104" s="224">
        <f t="shared" ref="J104:S119" si="6">IF(J$38 = "", J84, J84 * J$38)</f>
        <v>1</v>
      </c>
      <c r="K104" s="224">
        <f t="shared" si="6"/>
        <v>1</v>
      </c>
      <c r="L104" s="224">
        <f t="shared" si="6"/>
        <v>1</v>
      </c>
      <c r="M104" s="224">
        <f t="shared" si="6"/>
        <v>1</v>
      </c>
      <c r="N104" s="224">
        <f t="shared" si="6"/>
        <v>1</v>
      </c>
      <c r="O104" s="224">
        <f t="shared" si="6"/>
        <v>1</v>
      </c>
      <c r="P104" s="224">
        <f t="shared" si="6"/>
        <v>0</v>
      </c>
      <c r="Q104" s="224">
        <f t="shared" si="6"/>
        <v>1</v>
      </c>
      <c r="R104" s="224">
        <f t="shared" si="6"/>
        <v>1</v>
      </c>
      <c r="S104" s="224">
        <f t="shared" si="6"/>
        <v>1</v>
      </c>
      <c r="T104" s="201"/>
      <c r="U104" s="201"/>
    </row>
    <row r="105" spans="5:23" x14ac:dyDescent="0.25">
      <c r="F105" t="s">
        <v>926</v>
      </c>
      <c r="G105" s="92" t="s">
        <v>132</v>
      </c>
      <c r="J105" s="231">
        <f t="shared" si="6"/>
        <v>1</v>
      </c>
      <c r="K105" s="231">
        <f t="shared" si="6"/>
        <v>1</v>
      </c>
      <c r="L105" s="231">
        <f t="shared" si="6"/>
        <v>1</v>
      </c>
      <c r="M105" s="231">
        <f t="shared" si="6"/>
        <v>1</v>
      </c>
      <c r="N105" s="231">
        <f t="shared" si="6"/>
        <v>1</v>
      </c>
      <c r="O105" s="231">
        <f t="shared" si="6"/>
        <v>1</v>
      </c>
      <c r="P105" s="231">
        <f t="shared" si="6"/>
        <v>0</v>
      </c>
      <c r="Q105" s="231">
        <f t="shared" si="6"/>
        <v>1</v>
      </c>
      <c r="R105" s="231">
        <f t="shared" si="6"/>
        <v>1</v>
      </c>
      <c r="S105" s="231">
        <f t="shared" si="6"/>
        <v>1</v>
      </c>
      <c r="T105" s="234"/>
      <c r="U105" s="234"/>
    </row>
    <row r="106" spans="5:23" x14ac:dyDescent="0.25">
      <c r="F106" t="s">
        <v>927</v>
      </c>
      <c r="G106" s="92" t="s">
        <v>132</v>
      </c>
      <c r="J106" s="231">
        <f t="shared" si="6"/>
        <v>1</v>
      </c>
      <c r="K106" s="231">
        <f t="shared" si="6"/>
        <v>1</v>
      </c>
      <c r="L106" s="231">
        <f t="shared" si="6"/>
        <v>1</v>
      </c>
      <c r="M106" s="231">
        <f t="shared" si="6"/>
        <v>1</v>
      </c>
      <c r="N106" s="231">
        <f t="shared" si="6"/>
        <v>1</v>
      </c>
      <c r="O106" s="231">
        <f t="shared" si="6"/>
        <v>1</v>
      </c>
      <c r="P106" s="231">
        <f t="shared" si="6"/>
        <v>0</v>
      </c>
      <c r="Q106" s="231">
        <f t="shared" si="6"/>
        <v>1</v>
      </c>
      <c r="R106" s="231">
        <f t="shared" si="6"/>
        <v>1</v>
      </c>
      <c r="S106" s="231">
        <f t="shared" si="6"/>
        <v>1</v>
      </c>
      <c r="T106" s="234"/>
      <c r="U106" s="234"/>
    </row>
    <row r="107" spans="5:23" x14ac:dyDescent="0.25">
      <c r="F107" t="s">
        <v>928</v>
      </c>
      <c r="G107" s="92" t="s">
        <v>132</v>
      </c>
      <c r="J107" s="231">
        <f t="shared" si="6"/>
        <v>1</v>
      </c>
      <c r="K107" s="231">
        <f t="shared" si="6"/>
        <v>1</v>
      </c>
      <c r="L107" s="231">
        <f t="shared" si="6"/>
        <v>1</v>
      </c>
      <c r="M107" s="231">
        <f t="shared" si="6"/>
        <v>1</v>
      </c>
      <c r="N107" s="231">
        <f t="shared" si="6"/>
        <v>1</v>
      </c>
      <c r="O107" s="231">
        <f t="shared" si="6"/>
        <v>1</v>
      </c>
      <c r="P107" s="231">
        <f t="shared" si="6"/>
        <v>0</v>
      </c>
      <c r="Q107" s="231">
        <f t="shared" si="6"/>
        <v>1</v>
      </c>
      <c r="R107" s="231">
        <f t="shared" si="6"/>
        <v>1</v>
      </c>
      <c r="S107" s="231">
        <f t="shared" si="6"/>
        <v>1</v>
      </c>
      <c r="T107" s="234"/>
      <c r="U107" s="234"/>
    </row>
    <row r="108" spans="5:23" x14ac:dyDescent="0.25">
      <c r="F108" t="s">
        <v>929</v>
      </c>
      <c r="G108" s="92" t="s">
        <v>132</v>
      </c>
      <c r="J108" s="231">
        <f t="shared" si="6"/>
        <v>1</v>
      </c>
      <c r="K108" s="231">
        <f t="shared" si="6"/>
        <v>1</v>
      </c>
      <c r="L108" s="231">
        <f t="shared" si="6"/>
        <v>1</v>
      </c>
      <c r="M108" s="231">
        <f t="shared" si="6"/>
        <v>1</v>
      </c>
      <c r="N108" s="231">
        <f t="shared" si="6"/>
        <v>1</v>
      </c>
      <c r="O108" s="231">
        <f t="shared" si="6"/>
        <v>1</v>
      </c>
      <c r="P108" s="231">
        <f t="shared" si="6"/>
        <v>0</v>
      </c>
      <c r="Q108" s="231">
        <f t="shared" si="6"/>
        <v>1</v>
      </c>
      <c r="R108" s="231">
        <f t="shared" si="6"/>
        <v>1</v>
      </c>
      <c r="S108" s="231">
        <f t="shared" si="6"/>
        <v>1</v>
      </c>
      <c r="T108" s="234"/>
      <c r="U108" s="234"/>
    </row>
    <row r="109" spans="5:23" x14ac:dyDescent="0.25">
      <c r="F109" t="s">
        <v>930</v>
      </c>
      <c r="G109" s="92" t="s">
        <v>132</v>
      </c>
      <c r="J109" s="231">
        <f t="shared" si="6"/>
        <v>1</v>
      </c>
      <c r="K109" s="231">
        <f t="shared" si="6"/>
        <v>1</v>
      </c>
      <c r="L109" s="231">
        <f t="shared" si="6"/>
        <v>1</v>
      </c>
      <c r="M109" s="231">
        <f t="shared" si="6"/>
        <v>1</v>
      </c>
      <c r="N109" s="231">
        <f t="shared" si="6"/>
        <v>1</v>
      </c>
      <c r="O109" s="231">
        <f t="shared" si="6"/>
        <v>1</v>
      </c>
      <c r="P109" s="231">
        <f t="shared" si="6"/>
        <v>0</v>
      </c>
      <c r="Q109" s="231">
        <f t="shared" si="6"/>
        <v>1</v>
      </c>
      <c r="R109" s="231">
        <f t="shared" si="6"/>
        <v>1</v>
      </c>
      <c r="S109" s="231">
        <f t="shared" si="6"/>
        <v>0</v>
      </c>
      <c r="T109" s="234"/>
      <c r="U109" s="234"/>
    </row>
    <row r="110" spans="5:23" x14ac:dyDescent="0.25">
      <c r="F110" t="s">
        <v>931</v>
      </c>
      <c r="G110" s="92" t="s">
        <v>132</v>
      </c>
      <c r="J110" s="231">
        <f t="shared" si="6"/>
        <v>1</v>
      </c>
      <c r="K110" s="231">
        <f t="shared" si="6"/>
        <v>1</v>
      </c>
      <c r="L110" s="231">
        <f t="shared" si="6"/>
        <v>1</v>
      </c>
      <c r="M110" s="231">
        <f t="shared" si="6"/>
        <v>1</v>
      </c>
      <c r="N110" s="231">
        <f t="shared" si="6"/>
        <v>1</v>
      </c>
      <c r="O110" s="231">
        <f t="shared" si="6"/>
        <v>1</v>
      </c>
      <c r="P110" s="231">
        <f t="shared" si="6"/>
        <v>0</v>
      </c>
      <c r="Q110" s="231">
        <f t="shared" si="6"/>
        <v>1</v>
      </c>
      <c r="R110" s="231">
        <f t="shared" si="6"/>
        <v>0</v>
      </c>
      <c r="S110" s="231">
        <f t="shared" si="6"/>
        <v>0</v>
      </c>
      <c r="T110" s="234"/>
      <c r="U110" s="234"/>
    </row>
    <row r="111" spans="5:23" x14ac:dyDescent="0.25">
      <c r="F111" t="s">
        <v>932</v>
      </c>
      <c r="G111" s="92" t="s">
        <v>132</v>
      </c>
      <c r="J111" s="231">
        <f t="shared" si="6"/>
        <v>1</v>
      </c>
      <c r="K111" s="231">
        <f t="shared" si="6"/>
        <v>1</v>
      </c>
      <c r="L111" s="231">
        <f t="shared" si="6"/>
        <v>1</v>
      </c>
      <c r="M111" s="231">
        <f t="shared" si="6"/>
        <v>1</v>
      </c>
      <c r="N111" s="231">
        <f t="shared" si="6"/>
        <v>1</v>
      </c>
      <c r="O111" s="231">
        <f t="shared" si="6"/>
        <v>1</v>
      </c>
      <c r="P111" s="231">
        <f t="shared" si="6"/>
        <v>0</v>
      </c>
      <c r="Q111" s="231">
        <f t="shared" si="6"/>
        <v>1</v>
      </c>
      <c r="R111" s="231">
        <f t="shared" si="6"/>
        <v>1</v>
      </c>
      <c r="S111" s="231">
        <f t="shared" si="6"/>
        <v>1</v>
      </c>
      <c r="T111" s="234"/>
      <c r="U111" s="234"/>
    </row>
    <row r="112" spans="5:23" x14ac:dyDescent="0.25">
      <c r="F112" t="s">
        <v>933</v>
      </c>
      <c r="G112" s="92" t="s">
        <v>132</v>
      </c>
      <c r="J112" s="231">
        <f t="shared" si="6"/>
        <v>-1</v>
      </c>
      <c r="K112" s="231">
        <f t="shared" si="6"/>
        <v>-1</v>
      </c>
      <c r="L112" s="231">
        <f t="shared" si="6"/>
        <v>-1</v>
      </c>
      <c r="M112" s="231">
        <f t="shared" si="6"/>
        <v>-1</v>
      </c>
      <c r="N112" s="231">
        <f t="shared" si="6"/>
        <v>-1</v>
      </c>
      <c r="O112" s="231">
        <f t="shared" si="6"/>
        <v>-1</v>
      </c>
      <c r="P112" s="231">
        <f t="shared" si="6"/>
        <v>0</v>
      </c>
      <c r="Q112" s="231">
        <f t="shared" si="6"/>
        <v>-1</v>
      </c>
      <c r="R112" s="231">
        <f t="shared" si="6"/>
        <v>-1</v>
      </c>
      <c r="S112" s="231">
        <f t="shared" si="6"/>
        <v>0</v>
      </c>
      <c r="T112" s="234"/>
      <c r="U112" s="234"/>
    </row>
    <row r="113" spans="3:23" x14ac:dyDescent="0.25">
      <c r="F113" t="s">
        <v>934</v>
      </c>
      <c r="G113" s="92" t="s">
        <v>132</v>
      </c>
      <c r="J113" s="231">
        <f t="shared" si="6"/>
        <v>-1</v>
      </c>
      <c r="K113" s="231">
        <f t="shared" si="6"/>
        <v>-1</v>
      </c>
      <c r="L113" s="231">
        <f t="shared" si="6"/>
        <v>-1</v>
      </c>
      <c r="M113" s="231">
        <f t="shared" si="6"/>
        <v>-1</v>
      </c>
      <c r="N113" s="231">
        <f t="shared" si="6"/>
        <v>-1</v>
      </c>
      <c r="O113" s="231">
        <f t="shared" si="6"/>
        <v>-1</v>
      </c>
      <c r="P113" s="231">
        <f t="shared" si="6"/>
        <v>0</v>
      </c>
      <c r="Q113" s="231">
        <f t="shared" si="6"/>
        <v>-1</v>
      </c>
      <c r="R113" s="231">
        <f t="shared" si="6"/>
        <v>0</v>
      </c>
      <c r="S113" s="231">
        <f t="shared" si="6"/>
        <v>0</v>
      </c>
      <c r="T113" s="234"/>
      <c r="U113" s="234"/>
    </row>
    <row r="114" spans="3:23" x14ac:dyDescent="0.25">
      <c r="F114" t="s">
        <v>935</v>
      </c>
      <c r="G114" s="92" t="s">
        <v>132</v>
      </c>
      <c r="J114" s="231">
        <f t="shared" si="6"/>
        <v>-1</v>
      </c>
      <c r="K114" s="231">
        <f t="shared" si="6"/>
        <v>-1</v>
      </c>
      <c r="L114" s="231">
        <f t="shared" si="6"/>
        <v>-1</v>
      </c>
      <c r="M114" s="231">
        <f t="shared" si="6"/>
        <v>-1</v>
      </c>
      <c r="N114" s="231">
        <f t="shared" si="6"/>
        <v>-1</v>
      </c>
      <c r="O114" s="231">
        <f t="shared" si="6"/>
        <v>-1</v>
      </c>
      <c r="P114" s="231">
        <f t="shared" si="6"/>
        <v>0</v>
      </c>
      <c r="Q114" s="231">
        <f t="shared" si="6"/>
        <v>-1</v>
      </c>
      <c r="R114" s="231">
        <f t="shared" si="6"/>
        <v>-1</v>
      </c>
      <c r="S114" s="231">
        <f t="shared" si="6"/>
        <v>0</v>
      </c>
      <c r="T114" s="234"/>
      <c r="U114" s="234"/>
    </row>
    <row r="115" spans="3:23" x14ac:dyDescent="0.25">
      <c r="F115" t="s">
        <v>936</v>
      </c>
      <c r="G115" s="92" t="s">
        <v>132</v>
      </c>
      <c r="J115" s="231">
        <f t="shared" si="6"/>
        <v>-1</v>
      </c>
      <c r="K115" s="231">
        <f t="shared" si="6"/>
        <v>-1</v>
      </c>
      <c r="L115" s="231">
        <f t="shared" si="6"/>
        <v>-1</v>
      </c>
      <c r="M115" s="231">
        <f t="shared" si="6"/>
        <v>-1</v>
      </c>
      <c r="N115" s="231">
        <f t="shared" si="6"/>
        <v>-1</v>
      </c>
      <c r="O115" s="231">
        <f t="shared" si="6"/>
        <v>-1</v>
      </c>
      <c r="P115" s="231">
        <f t="shared" si="6"/>
        <v>0</v>
      </c>
      <c r="Q115" s="231">
        <f t="shared" si="6"/>
        <v>-1</v>
      </c>
      <c r="R115" s="231">
        <f t="shared" si="6"/>
        <v>-1</v>
      </c>
      <c r="S115" s="231">
        <f t="shared" si="6"/>
        <v>0</v>
      </c>
      <c r="T115" s="234"/>
      <c r="U115" s="234"/>
    </row>
    <row r="116" spans="3:23" x14ac:dyDescent="0.25">
      <c r="F116" t="s">
        <v>937</v>
      </c>
      <c r="G116" s="92" t="s">
        <v>132</v>
      </c>
      <c r="J116" s="231">
        <f t="shared" si="6"/>
        <v>-1</v>
      </c>
      <c r="K116" s="231">
        <f t="shared" si="6"/>
        <v>-1</v>
      </c>
      <c r="L116" s="231">
        <f t="shared" si="6"/>
        <v>-1</v>
      </c>
      <c r="M116" s="231">
        <f t="shared" si="6"/>
        <v>-1</v>
      </c>
      <c r="N116" s="231">
        <f t="shared" si="6"/>
        <v>-1</v>
      </c>
      <c r="O116" s="231">
        <f t="shared" si="6"/>
        <v>-1</v>
      </c>
      <c r="P116" s="231">
        <f t="shared" si="6"/>
        <v>0</v>
      </c>
      <c r="Q116" s="231">
        <f t="shared" si="6"/>
        <v>-1</v>
      </c>
      <c r="R116" s="231">
        <f t="shared" si="6"/>
        <v>0</v>
      </c>
      <c r="S116" s="231">
        <f t="shared" si="6"/>
        <v>0</v>
      </c>
      <c r="T116" s="234"/>
      <c r="U116" s="234"/>
    </row>
    <row r="117" spans="3:23" x14ac:dyDescent="0.25">
      <c r="F117" t="s">
        <v>938</v>
      </c>
      <c r="G117" s="92" t="s">
        <v>132</v>
      </c>
      <c r="J117" s="231">
        <f t="shared" si="6"/>
        <v>-1</v>
      </c>
      <c r="K117" s="231">
        <f t="shared" si="6"/>
        <v>-1</v>
      </c>
      <c r="L117" s="231">
        <f t="shared" si="6"/>
        <v>-1</v>
      </c>
      <c r="M117" s="231">
        <f t="shared" si="6"/>
        <v>-1</v>
      </c>
      <c r="N117" s="231">
        <f t="shared" si="6"/>
        <v>-1</v>
      </c>
      <c r="O117" s="231">
        <f t="shared" si="6"/>
        <v>-1</v>
      </c>
      <c r="P117" s="231">
        <f t="shared" si="6"/>
        <v>0</v>
      </c>
      <c r="Q117" s="231">
        <f t="shared" si="6"/>
        <v>-1</v>
      </c>
      <c r="R117" s="231">
        <f t="shared" si="6"/>
        <v>0</v>
      </c>
      <c r="S117" s="231">
        <f t="shared" si="6"/>
        <v>0</v>
      </c>
      <c r="T117" s="234"/>
      <c r="U117" s="234"/>
    </row>
    <row r="118" spans="3:23" x14ac:dyDescent="0.25">
      <c r="F118" t="s">
        <v>939</v>
      </c>
      <c r="G118" s="92" t="s">
        <v>132</v>
      </c>
      <c r="J118" s="231">
        <f t="shared" si="6"/>
        <v>-1</v>
      </c>
      <c r="K118" s="231">
        <f t="shared" si="6"/>
        <v>-1</v>
      </c>
      <c r="L118" s="231">
        <f t="shared" si="6"/>
        <v>-1</v>
      </c>
      <c r="M118" s="231">
        <f t="shared" si="6"/>
        <v>-1</v>
      </c>
      <c r="N118" s="231">
        <f t="shared" si="6"/>
        <v>-1</v>
      </c>
      <c r="O118" s="231">
        <f t="shared" si="6"/>
        <v>-1</v>
      </c>
      <c r="P118" s="231">
        <f t="shared" si="6"/>
        <v>0</v>
      </c>
      <c r="Q118" s="231">
        <f t="shared" si="6"/>
        <v>0</v>
      </c>
      <c r="R118" s="231">
        <f t="shared" si="6"/>
        <v>0</v>
      </c>
      <c r="S118" s="231">
        <f t="shared" si="6"/>
        <v>0</v>
      </c>
      <c r="T118" s="234"/>
      <c r="U118" s="234"/>
    </row>
    <row r="119" spans="3:23" x14ac:dyDescent="0.25">
      <c r="F119" s="17" t="s">
        <v>940</v>
      </c>
      <c r="G119" s="34" t="s">
        <v>132</v>
      </c>
      <c r="H119" s="17"/>
      <c r="I119" s="17"/>
      <c r="J119" s="225">
        <f t="shared" si="6"/>
        <v>-1</v>
      </c>
      <c r="K119" s="225">
        <f t="shared" si="6"/>
        <v>-1</v>
      </c>
      <c r="L119" s="225">
        <f t="shared" si="6"/>
        <v>-1</v>
      </c>
      <c r="M119" s="225">
        <f t="shared" si="6"/>
        <v>-1</v>
      </c>
      <c r="N119" s="225">
        <f t="shared" si="6"/>
        <v>-1</v>
      </c>
      <c r="O119" s="225">
        <f t="shared" si="6"/>
        <v>-1</v>
      </c>
      <c r="P119" s="225">
        <f t="shared" si="6"/>
        <v>0</v>
      </c>
      <c r="Q119" s="225">
        <f t="shared" si="6"/>
        <v>0</v>
      </c>
      <c r="R119" s="225">
        <f t="shared" si="6"/>
        <v>0</v>
      </c>
      <c r="S119" s="225">
        <f t="shared" si="6"/>
        <v>0</v>
      </c>
      <c r="T119" s="203"/>
      <c r="U119" s="203"/>
    </row>
    <row r="120" spans="3:23" x14ac:dyDescent="0.25">
      <c r="G120" s="91"/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</row>
    <row r="121" spans="3:23" x14ac:dyDescent="0.25">
      <c r="C121" s="5" t="str">
        <f ca="1">INDEX('Version control'!$H$36:$H$62,MATCH($A$1,'Version control'!$F$36:$F$62,0),1)&amp;"-E: User loss factors"</f>
        <v>Section 505-E: User loss factors</v>
      </c>
      <c r="D121" s="5"/>
      <c r="E121" s="5"/>
      <c r="F121" s="5"/>
      <c r="G121" s="5"/>
      <c r="H121" s="5"/>
      <c r="I121" s="5"/>
      <c r="J121" s="205"/>
      <c r="K121" s="205"/>
      <c r="L121" s="205"/>
      <c r="M121" s="205"/>
      <c r="N121" s="205"/>
      <c r="O121" s="205"/>
      <c r="P121" s="205"/>
      <c r="Q121" s="205"/>
      <c r="R121" s="205"/>
      <c r="S121" s="205"/>
      <c r="T121" s="205"/>
      <c r="U121" s="205"/>
      <c r="V121" s="5"/>
      <c r="W121" s="5"/>
    </row>
    <row r="122" spans="3:23" x14ac:dyDescent="0.25">
      <c r="H122" s="19"/>
      <c r="I122" s="19"/>
      <c r="J122" s="232"/>
      <c r="K122" s="232"/>
      <c r="L122" s="232"/>
      <c r="M122" s="232"/>
      <c r="N122" s="232"/>
      <c r="O122" s="232"/>
      <c r="P122" s="232"/>
      <c r="Q122" s="232"/>
      <c r="R122" s="232"/>
      <c r="S122" s="232"/>
      <c r="T122" s="232"/>
      <c r="U122" s="232"/>
      <c r="W122" s="19"/>
    </row>
    <row r="123" spans="3:23" x14ac:dyDescent="0.25">
      <c r="E123" s="52" t="s">
        <v>333</v>
      </c>
      <c r="G123" s="9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W123" s="19"/>
    </row>
    <row r="124" spans="3:23" x14ac:dyDescent="0.25">
      <c r="E124" s="73" t="s">
        <v>365</v>
      </c>
      <c r="G124" s="91"/>
      <c r="J124" s="211"/>
      <c r="K124" s="211"/>
      <c r="L124" s="211"/>
      <c r="M124" s="211"/>
      <c r="N124" s="211"/>
      <c r="O124" s="211"/>
      <c r="P124" s="211"/>
      <c r="Q124" s="211"/>
      <c r="R124" s="211"/>
      <c r="S124" s="211"/>
      <c r="T124" s="211"/>
      <c r="U124" s="211"/>
    </row>
    <row r="125" spans="3:23" x14ac:dyDescent="0.25">
      <c r="E125" s="73" t="s">
        <v>366</v>
      </c>
      <c r="G125" s="91"/>
      <c r="H125" s="39" t="s">
        <v>213</v>
      </c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</row>
    <row r="126" spans="3:23" x14ac:dyDescent="0.25">
      <c r="F126" s="80" t="s">
        <v>925</v>
      </c>
      <c r="G126" s="38" t="s">
        <v>427</v>
      </c>
      <c r="H126" s="224">
        <f t="shared" ref="H126:H141" si="7">MAX(J126:S126)</f>
        <v>1.105</v>
      </c>
      <c r="I126" s="80"/>
      <c r="J126" s="224">
        <f>OR(SUM(J65:$S65) = 1, SUM(J65:$S65) = -1) * J$29</f>
        <v>0</v>
      </c>
      <c r="K126" s="224">
        <f>OR(SUM(K65:$S65) = 1, SUM(K65:$S65) = -1) * K$29</f>
        <v>0</v>
      </c>
      <c r="L126" s="224">
        <f>OR(SUM(L65:$S65) = 1, SUM(L65:$S65) = -1) * L$29</f>
        <v>0</v>
      </c>
      <c r="M126" s="224">
        <f>OR(SUM(M65:$S65) = 1, SUM(M65:$S65) = -1) * M$29</f>
        <v>0</v>
      </c>
      <c r="N126" s="224">
        <f>OR(SUM(N65:$S65) = 1, SUM(N65:$S65) = -1) * N$29</f>
        <v>0</v>
      </c>
      <c r="O126" s="224">
        <f>OR(SUM(O65:$S65) = 1, SUM(O65:$S65) = -1) * O$29</f>
        <v>0</v>
      </c>
      <c r="P126" s="224">
        <f>OR(SUM(P65:$S65) = 1, SUM(P65:$S65) = -1) * P$29</f>
        <v>0</v>
      </c>
      <c r="Q126" s="224">
        <f>OR(SUM(Q65:$S65) = 1, SUM(Q65:$S65) = -1) * Q$29</f>
        <v>0</v>
      </c>
      <c r="R126" s="224">
        <f>OR(SUM(R65:$S65) = 1, SUM(R65:$S65) = -1) * R$29</f>
        <v>0</v>
      </c>
      <c r="S126" s="224">
        <f>OR(SUM(S65:$S65) = 1, SUM(S65:$S65) = -1) * S$29</f>
        <v>1.105</v>
      </c>
      <c r="T126" s="201"/>
      <c r="U126" s="201"/>
      <c r="W126" s="19"/>
    </row>
    <row r="127" spans="3:23" x14ac:dyDescent="0.25">
      <c r="F127" t="s">
        <v>926</v>
      </c>
      <c r="G127" s="92" t="s">
        <v>427</v>
      </c>
      <c r="H127" s="231">
        <f t="shared" si="7"/>
        <v>1.105</v>
      </c>
      <c r="J127" s="231">
        <f>OR(SUM(J66:$S66) = 1, SUM(J66:$S66) = -1) * J$29</f>
        <v>0</v>
      </c>
      <c r="K127" s="231">
        <f>OR(SUM(K66:$S66) = 1, SUM(K66:$S66) = -1) * K$29</f>
        <v>0</v>
      </c>
      <c r="L127" s="231">
        <f>OR(SUM(L66:$S66) = 1, SUM(L66:$S66) = -1) * L$29</f>
        <v>0</v>
      </c>
      <c r="M127" s="231">
        <f>OR(SUM(M66:$S66) = 1, SUM(M66:$S66) = -1) * M$29</f>
        <v>0</v>
      </c>
      <c r="N127" s="231">
        <f>OR(SUM(N66:$S66) = 1, SUM(N66:$S66) = -1) * N$29</f>
        <v>0</v>
      </c>
      <c r="O127" s="231">
        <f>OR(SUM(O66:$S66) = 1, SUM(O66:$S66) = -1) * O$29</f>
        <v>0</v>
      </c>
      <c r="P127" s="231">
        <f>OR(SUM(P66:$S66) = 1, SUM(P66:$S66) = -1) * P$29</f>
        <v>0</v>
      </c>
      <c r="Q127" s="231">
        <f>OR(SUM(Q66:$S66) = 1, SUM(Q66:$S66) = -1) * Q$29</f>
        <v>0</v>
      </c>
      <c r="R127" s="231">
        <f>OR(SUM(R66:$S66) = 1, SUM(R66:$S66) = -1) * R$29</f>
        <v>0</v>
      </c>
      <c r="S127" s="231">
        <f>OR(SUM(S66:$S66) = 1, SUM(S66:$S66) = -1) * S$29</f>
        <v>1.105</v>
      </c>
      <c r="T127" s="234"/>
      <c r="U127" s="234"/>
      <c r="W127" s="19"/>
    </row>
    <row r="128" spans="3:23" x14ac:dyDescent="0.25">
      <c r="F128" t="s">
        <v>927</v>
      </c>
      <c r="G128" s="92" t="s">
        <v>427</v>
      </c>
      <c r="H128" s="231">
        <f t="shared" si="7"/>
        <v>1.105</v>
      </c>
      <c r="J128" s="231">
        <f>OR(SUM(J67:$S67) = 1, SUM(J67:$S67) = -1) * J$29</f>
        <v>0</v>
      </c>
      <c r="K128" s="231">
        <f>OR(SUM(K67:$S67) = 1, SUM(K67:$S67) = -1) * K$29</f>
        <v>0</v>
      </c>
      <c r="L128" s="231">
        <f>OR(SUM(L67:$S67) = 1, SUM(L67:$S67) = -1) * L$29</f>
        <v>0</v>
      </c>
      <c r="M128" s="231">
        <f>OR(SUM(M67:$S67) = 1, SUM(M67:$S67) = -1) * M$29</f>
        <v>0</v>
      </c>
      <c r="N128" s="231">
        <f>OR(SUM(N67:$S67) = 1, SUM(N67:$S67) = -1) * N$29</f>
        <v>0</v>
      </c>
      <c r="O128" s="231">
        <f>OR(SUM(O67:$S67) = 1, SUM(O67:$S67) = -1) * O$29</f>
        <v>0</v>
      </c>
      <c r="P128" s="231">
        <f>OR(SUM(P67:$S67) = 1, SUM(P67:$S67) = -1) * P$29</f>
        <v>0</v>
      </c>
      <c r="Q128" s="231">
        <f>OR(SUM(Q67:$S67) = 1, SUM(Q67:$S67) = -1) * Q$29</f>
        <v>0</v>
      </c>
      <c r="R128" s="231">
        <f>OR(SUM(R67:$S67) = 1, SUM(R67:$S67) = -1) * R$29</f>
        <v>0</v>
      </c>
      <c r="S128" s="231">
        <f>OR(SUM(S67:$S67) = 1, SUM(S67:$S67) = -1) * S$29</f>
        <v>1.105</v>
      </c>
      <c r="T128" s="234"/>
      <c r="U128" s="234"/>
      <c r="W128" s="19"/>
    </row>
    <row r="129" spans="5:23" x14ac:dyDescent="0.25">
      <c r="F129" t="s">
        <v>928</v>
      </c>
      <c r="G129" s="92" t="s">
        <v>427</v>
      </c>
      <c r="H129" s="231">
        <f t="shared" si="7"/>
        <v>1.105</v>
      </c>
      <c r="J129" s="231">
        <f>OR(SUM(J68:$S68) = 1, SUM(J68:$S68) = -1) * J$29</f>
        <v>0</v>
      </c>
      <c r="K129" s="231">
        <f>OR(SUM(K68:$S68) = 1, SUM(K68:$S68) = -1) * K$29</f>
        <v>0</v>
      </c>
      <c r="L129" s="231">
        <f>OR(SUM(L68:$S68) = 1, SUM(L68:$S68) = -1) * L$29</f>
        <v>0</v>
      </c>
      <c r="M129" s="231">
        <f>OR(SUM(M68:$S68) = 1, SUM(M68:$S68) = -1) * M$29</f>
        <v>0</v>
      </c>
      <c r="N129" s="231">
        <f>OR(SUM(N68:$S68) = 1, SUM(N68:$S68) = -1) * N$29</f>
        <v>0</v>
      </c>
      <c r="O129" s="231">
        <f>OR(SUM(O68:$S68) = 1, SUM(O68:$S68) = -1) * O$29</f>
        <v>0</v>
      </c>
      <c r="P129" s="231">
        <f>OR(SUM(P68:$S68) = 1, SUM(P68:$S68) = -1) * P$29</f>
        <v>0</v>
      </c>
      <c r="Q129" s="231">
        <f>OR(SUM(Q68:$S68) = 1, SUM(Q68:$S68) = -1) * Q$29</f>
        <v>0</v>
      </c>
      <c r="R129" s="231">
        <f>OR(SUM(R68:$S68) = 1, SUM(R68:$S68) = -1) * R$29</f>
        <v>0</v>
      </c>
      <c r="S129" s="231">
        <f>OR(SUM(S68:$S68) = 1, SUM(S68:$S68) = -1) * S$29</f>
        <v>1.105</v>
      </c>
      <c r="T129" s="234"/>
      <c r="U129" s="234"/>
    </row>
    <row r="130" spans="5:23" x14ac:dyDescent="0.25">
      <c r="F130" t="s">
        <v>929</v>
      </c>
      <c r="G130" s="92" t="s">
        <v>427</v>
      </c>
      <c r="H130" s="231">
        <f t="shared" si="7"/>
        <v>1.105</v>
      </c>
      <c r="J130" s="231">
        <f>OR(SUM(J69:$S69) = 1, SUM(J69:$S69) = -1) * J$29</f>
        <v>0</v>
      </c>
      <c r="K130" s="231">
        <f>OR(SUM(K69:$S69) = 1, SUM(K69:$S69) = -1) * K$29</f>
        <v>0</v>
      </c>
      <c r="L130" s="231">
        <f>OR(SUM(L69:$S69) = 1, SUM(L69:$S69) = -1) * L$29</f>
        <v>0</v>
      </c>
      <c r="M130" s="231">
        <f>OR(SUM(M69:$S69) = 1, SUM(M69:$S69) = -1) * M$29</f>
        <v>0</v>
      </c>
      <c r="N130" s="231">
        <f>OR(SUM(N69:$S69) = 1, SUM(N69:$S69) = -1) * N$29</f>
        <v>0</v>
      </c>
      <c r="O130" s="231">
        <f>OR(SUM(O69:$S69) = 1, SUM(O69:$S69) = -1) * O$29</f>
        <v>0</v>
      </c>
      <c r="P130" s="231">
        <f>OR(SUM(P69:$S69) = 1, SUM(P69:$S69) = -1) * P$29</f>
        <v>0</v>
      </c>
      <c r="Q130" s="231">
        <f>OR(SUM(Q69:$S69) = 1, SUM(Q69:$S69) = -1) * Q$29</f>
        <v>0</v>
      </c>
      <c r="R130" s="231">
        <f>OR(SUM(R69:$S69) = 1, SUM(R69:$S69) = -1) * R$29</f>
        <v>0</v>
      </c>
      <c r="S130" s="231">
        <f>OR(SUM(S69:$S69) = 1, SUM(S69:$S69) = -1) * S$29</f>
        <v>1.105</v>
      </c>
      <c r="T130" s="234"/>
      <c r="U130" s="234"/>
    </row>
    <row r="131" spans="5:23" x14ac:dyDescent="0.25">
      <c r="F131" t="s">
        <v>930</v>
      </c>
      <c r="G131" s="92" t="s">
        <v>427</v>
      </c>
      <c r="H131" s="231">
        <f t="shared" si="7"/>
        <v>1.044</v>
      </c>
      <c r="J131" s="231">
        <f>OR(SUM(J70:$S70) = 1, SUM(J70:$S70) = -1) * J$29</f>
        <v>0</v>
      </c>
      <c r="K131" s="231">
        <f>OR(SUM(K70:$S70) = 1, SUM(K70:$S70) = -1) * K$29</f>
        <v>0</v>
      </c>
      <c r="L131" s="231">
        <f>OR(SUM(L70:$S70) = 1, SUM(L70:$S70) = -1) * L$29</f>
        <v>0</v>
      </c>
      <c r="M131" s="231">
        <f>OR(SUM(M70:$S70) = 1, SUM(M70:$S70) = -1) * M$29</f>
        <v>0</v>
      </c>
      <c r="N131" s="231">
        <f>OR(SUM(N70:$S70) = 1, SUM(N70:$S70) = -1) * N$29</f>
        <v>0</v>
      </c>
      <c r="O131" s="231">
        <f>OR(SUM(O70:$S70) = 1, SUM(O70:$S70) = -1) * O$29</f>
        <v>0</v>
      </c>
      <c r="P131" s="231">
        <f>OR(SUM(P70:$S70) = 1, SUM(P70:$S70) = -1) * P$29</f>
        <v>0</v>
      </c>
      <c r="Q131" s="231">
        <f>OR(SUM(Q70:$S70) = 1, SUM(Q70:$S70) = -1) * Q$29</f>
        <v>0</v>
      </c>
      <c r="R131" s="231">
        <f>OR(SUM(R70:$S70) = 1, SUM(R70:$S70) = -1) * R$29</f>
        <v>1.044</v>
      </c>
      <c r="S131" s="231">
        <f>OR(SUM(S70:$S70) = 1, SUM(S70:$S70) = -1) * S$29</f>
        <v>0</v>
      </c>
      <c r="T131" s="234"/>
      <c r="U131" s="234"/>
    </row>
    <row r="132" spans="5:23" x14ac:dyDescent="0.25">
      <c r="F132" t="s">
        <v>931</v>
      </c>
      <c r="G132" s="92" t="s">
        <v>427</v>
      </c>
      <c r="H132" s="231">
        <f t="shared" si="7"/>
        <v>1.024</v>
      </c>
      <c r="J132" s="231">
        <f>OR(SUM(J71:$S71) = 1, SUM(J71:$S71) = -1) * J$29</f>
        <v>0</v>
      </c>
      <c r="K132" s="231">
        <f>OR(SUM(K71:$S71) = 1, SUM(K71:$S71) = -1) * K$29</f>
        <v>0</v>
      </c>
      <c r="L132" s="231">
        <f>OR(SUM(L71:$S71) = 1, SUM(L71:$S71) = -1) * L$29</f>
        <v>0</v>
      </c>
      <c r="M132" s="231">
        <f>OR(SUM(M71:$S71) = 1, SUM(M71:$S71) = -1) * M$29</f>
        <v>0</v>
      </c>
      <c r="N132" s="231">
        <f>OR(SUM(N71:$S71) = 1, SUM(N71:$S71) = -1) * N$29</f>
        <v>0</v>
      </c>
      <c r="O132" s="231">
        <f>OR(SUM(O71:$S71) = 1, SUM(O71:$S71) = -1) * O$29</f>
        <v>0</v>
      </c>
      <c r="P132" s="231">
        <f>OR(SUM(P71:$S71) = 1, SUM(P71:$S71) = -1) * P$29</f>
        <v>1.0129999999999999</v>
      </c>
      <c r="Q132" s="231">
        <f>OR(SUM(Q71:$S71) = 1, SUM(Q71:$S71) = -1) * Q$29</f>
        <v>1.024</v>
      </c>
      <c r="R132" s="231">
        <f>OR(SUM(R71:$S71) = 1, SUM(R71:$S71) = -1) * R$29</f>
        <v>0</v>
      </c>
      <c r="S132" s="231">
        <f>OR(SUM(S71:$S71) = 1, SUM(S71:$S71) = -1) * S$29</f>
        <v>0</v>
      </c>
      <c r="T132" s="234"/>
      <c r="U132" s="234"/>
    </row>
    <row r="133" spans="5:23" x14ac:dyDescent="0.25">
      <c r="F133" t="s">
        <v>932</v>
      </c>
      <c r="G133" s="92" t="s">
        <v>427</v>
      </c>
      <c r="H133" s="231">
        <f t="shared" si="7"/>
        <v>1.105</v>
      </c>
      <c r="J133" s="231">
        <f>OR(SUM(J72:$S72) = 1, SUM(J72:$S72) = -1) * J$29</f>
        <v>0</v>
      </c>
      <c r="K133" s="231">
        <f>OR(SUM(K72:$S72) = 1, SUM(K72:$S72) = -1) * K$29</f>
        <v>0</v>
      </c>
      <c r="L133" s="231">
        <f>OR(SUM(L72:$S72) = 1, SUM(L72:$S72) = -1) * L$29</f>
        <v>0</v>
      </c>
      <c r="M133" s="231">
        <f>OR(SUM(M72:$S72) = 1, SUM(M72:$S72) = -1) * M$29</f>
        <v>0</v>
      </c>
      <c r="N133" s="231">
        <f>OR(SUM(N72:$S72) = 1, SUM(N72:$S72) = -1) * N$29</f>
        <v>0</v>
      </c>
      <c r="O133" s="231">
        <f>OR(SUM(O72:$S72) = 1, SUM(O72:$S72) = -1) * O$29</f>
        <v>0</v>
      </c>
      <c r="P133" s="231">
        <f>OR(SUM(P72:$S72) = 1, SUM(P72:$S72) = -1) * P$29</f>
        <v>0</v>
      </c>
      <c r="Q133" s="231">
        <f>OR(SUM(Q72:$S72) = 1, SUM(Q72:$S72) = -1) * Q$29</f>
        <v>0</v>
      </c>
      <c r="R133" s="231">
        <f>OR(SUM(R72:$S72) = 1, SUM(R72:$S72) = -1) * R$29</f>
        <v>0</v>
      </c>
      <c r="S133" s="231">
        <f>OR(SUM(S72:$S72) = 1, SUM(S72:$S72) = -1) * S$29</f>
        <v>1.105</v>
      </c>
      <c r="T133" s="234"/>
      <c r="U133" s="234"/>
    </row>
    <row r="134" spans="5:23" x14ac:dyDescent="0.25">
      <c r="F134" t="s">
        <v>933</v>
      </c>
      <c r="G134" s="92" t="s">
        <v>427</v>
      </c>
      <c r="H134" s="231">
        <f t="shared" si="7"/>
        <v>1.105</v>
      </c>
      <c r="J134" s="231">
        <f>OR(SUM(J73:$S73) = 1, SUM(J73:$S73) = -1) * J$29</f>
        <v>0</v>
      </c>
      <c r="K134" s="231">
        <f>OR(SUM(K73:$S73) = 1, SUM(K73:$S73) = -1) * K$29</f>
        <v>0</v>
      </c>
      <c r="L134" s="231">
        <f>OR(SUM(L73:$S73) = 1, SUM(L73:$S73) = -1) * L$29</f>
        <v>0</v>
      </c>
      <c r="M134" s="231">
        <f>OR(SUM(M73:$S73) = 1, SUM(M73:$S73) = -1) * M$29</f>
        <v>0</v>
      </c>
      <c r="N134" s="231">
        <f>OR(SUM(N73:$S73) = 1, SUM(N73:$S73) = -1) * N$29</f>
        <v>0</v>
      </c>
      <c r="O134" s="231">
        <f>OR(SUM(O73:$S73) = 1, SUM(O73:$S73) = -1) * O$29</f>
        <v>0</v>
      </c>
      <c r="P134" s="231">
        <f>OR(SUM(P73:$S73) = 1, SUM(P73:$S73) = -1) * P$29</f>
        <v>0</v>
      </c>
      <c r="Q134" s="231">
        <f>OR(SUM(Q73:$S73) = 1, SUM(Q73:$S73) = -1) * Q$29</f>
        <v>0</v>
      </c>
      <c r="R134" s="231">
        <f>OR(SUM(R73:$S73) = 1, SUM(R73:$S73) = -1) * R$29</f>
        <v>0</v>
      </c>
      <c r="S134" s="231">
        <f>OR(SUM(S73:$S73) = 1, SUM(S73:$S73) = -1) * S$29</f>
        <v>1.105</v>
      </c>
      <c r="T134" s="234"/>
      <c r="U134" s="234"/>
    </row>
    <row r="135" spans="5:23" x14ac:dyDescent="0.25">
      <c r="F135" t="s">
        <v>934</v>
      </c>
      <c r="G135" s="92" t="s">
        <v>427</v>
      </c>
      <c r="H135" s="231">
        <f t="shared" si="7"/>
        <v>1.044</v>
      </c>
      <c r="J135" s="231">
        <f>OR(SUM(J74:$S74) = 1, SUM(J74:$S74) = -1) * J$29</f>
        <v>0</v>
      </c>
      <c r="K135" s="231">
        <f>OR(SUM(K74:$S74) = 1, SUM(K74:$S74) = -1) * K$29</f>
        <v>0</v>
      </c>
      <c r="L135" s="231">
        <f>OR(SUM(L74:$S74) = 1, SUM(L74:$S74) = -1) * L$29</f>
        <v>0</v>
      </c>
      <c r="M135" s="231">
        <f>OR(SUM(M74:$S74) = 1, SUM(M74:$S74) = -1) * M$29</f>
        <v>0</v>
      </c>
      <c r="N135" s="231">
        <f>OR(SUM(N74:$S74) = 1, SUM(N74:$S74) = -1) * N$29</f>
        <v>0</v>
      </c>
      <c r="O135" s="231">
        <f>OR(SUM(O74:$S74) = 1, SUM(O74:$S74) = -1) * O$29</f>
        <v>0</v>
      </c>
      <c r="P135" s="231">
        <f>OR(SUM(P74:$S74) = 1, SUM(P74:$S74) = -1) * P$29</f>
        <v>0</v>
      </c>
      <c r="Q135" s="231">
        <f>OR(SUM(Q74:$S74) = 1, SUM(Q74:$S74) = -1) * Q$29</f>
        <v>0</v>
      </c>
      <c r="R135" s="231">
        <f>OR(SUM(R74:$S74) = 1, SUM(R74:$S74) = -1) * R$29</f>
        <v>1.044</v>
      </c>
      <c r="S135" s="231">
        <f>OR(SUM(S74:$S74) = 1, SUM(S74:$S74) = -1) * S$29</f>
        <v>0</v>
      </c>
      <c r="T135" s="234"/>
      <c r="U135" s="234"/>
    </row>
    <row r="136" spans="5:23" x14ac:dyDescent="0.25">
      <c r="F136" t="s">
        <v>935</v>
      </c>
      <c r="G136" s="92" t="s">
        <v>427</v>
      </c>
      <c r="H136" s="231">
        <f t="shared" si="7"/>
        <v>1.105</v>
      </c>
      <c r="J136" s="231">
        <f>OR(SUM(J75:$S75) = 1, SUM(J75:$S75) = -1) * J$29</f>
        <v>0</v>
      </c>
      <c r="K136" s="231">
        <f>OR(SUM(K75:$S75) = 1, SUM(K75:$S75) = -1) * K$29</f>
        <v>0</v>
      </c>
      <c r="L136" s="231">
        <f>OR(SUM(L75:$S75) = 1, SUM(L75:$S75) = -1) * L$29</f>
        <v>0</v>
      </c>
      <c r="M136" s="231">
        <f>OR(SUM(M75:$S75) = 1, SUM(M75:$S75) = -1) * M$29</f>
        <v>0</v>
      </c>
      <c r="N136" s="231">
        <f>OR(SUM(N75:$S75) = 1, SUM(N75:$S75) = -1) * N$29</f>
        <v>0</v>
      </c>
      <c r="O136" s="231">
        <f>OR(SUM(O75:$S75) = 1, SUM(O75:$S75) = -1) * O$29</f>
        <v>0</v>
      </c>
      <c r="P136" s="231">
        <f>OR(SUM(P75:$S75) = 1, SUM(P75:$S75) = -1) * P$29</f>
        <v>0</v>
      </c>
      <c r="Q136" s="231">
        <f>OR(SUM(Q75:$S75) = 1, SUM(Q75:$S75) = -1) * Q$29</f>
        <v>0</v>
      </c>
      <c r="R136" s="231">
        <f>OR(SUM(R75:$S75) = 1, SUM(R75:$S75) = -1) * R$29</f>
        <v>0</v>
      </c>
      <c r="S136" s="231">
        <f>OR(SUM(S75:$S75) = 1, SUM(S75:$S75) = -1) * S$29</f>
        <v>1.105</v>
      </c>
      <c r="T136" s="234"/>
      <c r="U136" s="234"/>
    </row>
    <row r="137" spans="5:23" x14ac:dyDescent="0.25">
      <c r="F137" t="s">
        <v>936</v>
      </c>
      <c r="G137" s="92" t="s">
        <v>427</v>
      </c>
      <c r="H137" s="231">
        <f t="shared" si="7"/>
        <v>1.105</v>
      </c>
      <c r="J137" s="231">
        <f>OR(SUM(J76:$S76) = 1, SUM(J76:$S76) = -1) * J$29</f>
        <v>0</v>
      </c>
      <c r="K137" s="231">
        <f>OR(SUM(K76:$S76) = 1, SUM(K76:$S76) = -1) * K$29</f>
        <v>0</v>
      </c>
      <c r="L137" s="231">
        <f>OR(SUM(L76:$S76) = 1, SUM(L76:$S76) = -1) * L$29</f>
        <v>0</v>
      </c>
      <c r="M137" s="231">
        <f>OR(SUM(M76:$S76) = 1, SUM(M76:$S76) = -1) * M$29</f>
        <v>0</v>
      </c>
      <c r="N137" s="231">
        <f>OR(SUM(N76:$S76) = 1, SUM(N76:$S76) = -1) * N$29</f>
        <v>0</v>
      </c>
      <c r="O137" s="231">
        <f>OR(SUM(O76:$S76) = 1, SUM(O76:$S76) = -1) * O$29</f>
        <v>0</v>
      </c>
      <c r="P137" s="231">
        <f>OR(SUM(P76:$S76) = 1, SUM(P76:$S76) = -1) * P$29</f>
        <v>0</v>
      </c>
      <c r="Q137" s="231">
        <f>OR(SUM(Q76:$S76) = 1, SUM(Q76:$S76) = -1) * Q$29</f>
        <v>0</v>
      </c>
      <c r="R137" s="231">
        <f>OR(SUM(R76:$S76) = 1, SUM(R76:$S76) = -1) * R$29</f>
        <v>0</v>
      </c>
      <c r="S137" s="231">
        <f>OR(SUM(S76:$S76) = 1, SUM(S76:$S76) = -1) * S$29</f>
        <v>1.105</v>
      </c>
      <c r="T137" s="234"/>
      <c r="U137" s="234"/>
    </row>
    <row r="138" spans="5:23" x14ac:dyDescent="0.25">
      <c r="F138" t="s">
        <v>937</v>
      </c>
      <c r="G138" s="92" t="s">
        <v>427</v>
      </c>
      <c r="H138" s="231">
        <f t="shared" si="7"/>
        <v>1.044</v>
      </c>
      <c r="J138" s="231">
        <f>OR(SUM(J77:$S77) = 1, SUM(J77:$S77) = -1) * J$29</f>
        <v>0</v>
      </c>
      <c r="K138" s="231">
        <f>OR(SUM(K77:$S77) = 1, SUM(K77:$S77) = -1) * K$29</f>
        <v>0</v>
      </c>
      <c r="L138" s="231">
        <f>OR(SUM(L77:$S77) = 1, SUM(L77:$S77) = -1) * L$29</f>
        <v>0</v>
      </c>
      <c r="M138" s="231">
        <f>OR(SUM(M77:$S77) = 1, SUM(M77:$S77) = -1) * M$29</f>
        <v>0</v>
      </c>
      <c r="N138" s="231">
        <f>OR(SUM(N77:$S77) = 1, SUM(N77:$S77) = -1) * N$29</f>
        <v>0</v>
      </c>
      <c r="O138" s="231">
        <f>OR(SUM(O77:$S77) = 1, SUM(O77:$S77) = -1) * O$29</f>
        <v>0</v>
      </c>
      <c r="P138" s="231">
        <f>OR(SUM(P77:$S77) = 1, SUM(P77:$S77) = -1) * P$29</f>
        <v>0</v>
      </c>
      <c r="Q138" s="231">
        <f>OR(SUM(Q77:$S77) = 1, SUM(Q77:$S77) = -1) * Q$29</f>
        <v>0</v>
      </c>
      <c r="R138" s="231">
        <f>OR(SUM(R77:$S77) = 1, SUM(R77:$S77) = -1) * R$29</f>
        <v>1.044</v>
      </c>
      <c r="S138" s="231">
        <f>OR(SUM(S77:$S77) = 1, SUM(S77:$S77) = -1) * S$29</f>
        <v>0</v>
      </c>
      <c r="T138" s="234"/>
      <c r="U138" s="234"/>
    </row>
    <row r="139" spans="5:23" x14ac:dyDescent="0.25">
      <c r="F139" t="s">
        <v>938</v>
      </c>
      <c r="G139" s="92" t="s">
        <v>427</v>
      </c>
      <c r="H139" s="231">
        <f t="shared" si="7"/>
        <v>1.044</v>
      </c>
      <c r="J139" s="231">
        <f>OR(SUM(J78:$S78) = 1, SUM(J78:$S78) = -1) * J$29</f>
        <v>0</v>
      </c>
      <c r="K139" s="231">
        <f>OR(SUM(K78:$S78) = 1, SUM(K78:$S78) = -1) * K$29</f>
        <v>0</v>
      </c>
      <c r="L139" s="231">
        <f>OR(SUM(L78:$S78) = 1, SUM(L78:$S78) = -1) * L$29</f>
        <v>0</v>
      </c>
      <c r="M139" s="231">
        <f>OR(SUM(M78:$S78) = 1, SUM(M78:$S78) = -1) * M$29</f>
        <v>0</v>
      </c>
      <c r="N139" s="231">
        <f>OR(SUM(N78:$S78) = 1, SUM(N78:$S78) = -1) * N$29</f>
        <v>0</v>
      </c>
      <c r="O139" s="231">
        <f>OR(SUM(O78:$S78) = 1, SUM(O78:$S78) = -1) * O$29</f>
        <v>0</v>
      </c>
      <c r="P139" s="231">
        <f>OR(SUM(P78:$S78) = 1, SUM(P78:$S78) = -1) * P$29</f>
        <v>0</v>
      </c>
      <c r="Q139" s="231">
        <f>OR(SUM(Q78:$S78) = 1, SUM(Q78:$S78) = -1) * Q$29</f>
        <v>0</v>
      </c>
      <c r="R139" s="231">
        <f>OR(SUM(R78:$S78) = 1, SUM(R78:$S78) = -1) * R$29</f>
        <v>1.044</v>
      </c>
      <c r="S139" s="231">
        <f>OR(SUM(S78:$S78) = 1, SUM(S78:$S78) = -1) * S$29</f>
        <v>0</v>
      </c>
      <c r="T139" s="234"/>
      <c r="U139" s="234"/>
    </row>
    <row r="140" spans="5:23" x14ac:dyDescent="0.25">
      <c r="F140" t="s">
        <v>939</v>
      </c>
      <c r="G140" s="92" t="s">
        <v>427</v>
      </c>
      <c r="H140" s="231">
        <f t="shared" si="7"/>
        <v>1.024</v>
      </c>
      <c r="J140" s="231">
        <f>OR(SUM(J79:$S79) = 1, SUM(J79:$S79) = -1) * J$29</f>
        <v>0</v>
      </c>
      <c r="K140" s="231">
        <f>OR(SUM(K79:$S79) = 1, SUM(K79:$S79) = -1) * K$29</f>
        <v>0</v>
      </c>
      <c r="L140" s="231">
        <f>OR(SUM(L79:$S79) = 1, SUM(L79:$S79) = -1) * L$29</f>
        <v>0</v>
      </c>
      <c r="M140" s="231">
        <f>OR(SUM(M79:$S79) = 1, SUM(M79:$S79) = -1) * M$29</f>
        <v>0</v>
      </c>
      <c r="N140" s="231">
        <f>OR(SUM(N79:$S79) = 1, SUM(N79:$S79) = -1) * N$29</f>
        <v>0</v>
      </c>
      <c r="O140" s="231">
        <f>OR(SUM(O79:$S79) = 1, SUM(O79:$S79) = -1) * O$29</f>
        <v>0</v>
      </c>
      <c r="P140" s="231">
        <f>OR(SUM(P79:$S79) = 1, SUM(P79:$S79) = -1) * P$29</f>
        <v>1.0129999999999999</v>
      </c>
      <c r="Q140" s="231">
        <f>OR(SUM(Q79:$S79) = 1, SUM(Q79:$S79) = -1) * Q$29</f>
        <v>1.024</v>
      </c>
      <c r="R140" s="231">
        <f>OR(SUM(R79:$S79) = 1, SUM(R79:$S79) = -1) * R$29</f>
        <v>0</v>
      </c>
      <c r="S140" s="231">
        <f>OR(SUM(S79:$S79) = 1, SUM(S79:$S79) = -1) * S$29</f>
        <v>0</v>
      </c>
      <c r="T140" s="234"/>
      <c r="U140" s="234"/>
    </row>
    <row r="141" spans="5:23" x14ac:dyDescent="0.25">
      <c r="F141" s="17" t="s">
        <v>940</v>
      </c>
      <c r="G141" s="34" t="s">
        <v>427</v>
      </c>
      <c r="H141" s="225">
        <f t="shared" si="7"/>
        <v>1.024</v>
      </c>
      <c r="I141" s="17"/>
      <c r="J141" s="225">
        <f>OR(SUM(J80:$S80) = 1, SUM(J80:$S80) = -1) * J$29</f>
        <v>0</v>
      </c>
      <c r="K141" s="225">
        <f>OR(SUM(K80:$S80) = 1, SUM(K80:$S80) = -1) * K$29</f>
        <v>0</v>
      </c>
      <c r="L141" s="225">
        <f>OR(SUM(L80:$S80) = 1, SUM(L80:$S80) = -1) * L$29</f>
        <v>0</v>
      </c>
      <c r="M141" s="225">
        <f>OR(SUM(M80:$S80) = 1, SUM(M80:$S80) = -1) * M$29</f>
        <v>0</v>
      </c>
      <c r="N141" s="225">
        <f>OR(SUM(N80:$S80) = 1, SUM(N80:$S80) = -1) * N$29</f>
        <v>0</v>
      </c>
      <c r="O141" s="225">
        <f>OR(SUM(O80:$S80) = 1, SUM(O80:$S80) = -1) * O$29</f>
        <v>0</v>
      </c>
      <c r="P141" s="225">
        <f>OR(SUM(P80:$S80) = 1, SUM(P80:$S80) = -1) * P$29</f>
        <v>1.0129999999999999</v>
      </c>
      <c r="Q141" s="225">
        <f>OR(SUM(Q80:$S80) = 1, SUM(Q80:$S80) = -1) * Q$29</f>
        <v>1.024</v>
      </c>
      <c r="R141" s="225">
        <f>OR(SUM(R80:$S80) = 1, SUM(R80:$S80) = -1) * R$29</f>
        <v>0</v>
      </c>
      <c r="S141" s="225">
        <f>OR(SUM(S80:$S80) = 1, SUM(S80:$S80) = -1) * S$29</f>
        <v>0</v>
      </c>
      <c r="T141" s="203"/>
      <c r="U141" s="203"/>
    </row>
    <row r="142" spans="5:23" x14ac:dyDescent="0.25">
      <c r="G142" s="91"/>
    </row>
    <row r="143" spans="5:23" x14ac:dyDescent="0.25">
      <c r="E143" s="52" t="s">
        <v>334</v>
      </c>
      <c r="G143" s="91"/>
      <c r="I143" t="s">
        <v>359</v>
      </c>
      <c r="W143" s="19" t="s">
        <v>710</v>
      </c>
    </row>
    <row r="144" spans="5:23" x14ac:dyDescent="0.25">
      <c r="E144" s="73" t="s">
        <v>325</v>
      </c>
      <c r="G144" s="91"/>
    </row>
    <row r="145" spans="6:23" x14ac:dyDescent="0.25">
      <c r="F145" s="80" t="s">
        <v>925</v>
      </c>
      <c r="G145" s="38" t="s">
        <v>427</v>
      </c>
      <c r="H145" s="67"/>
      <c r="I145" s="80"/>
      <c r="J145" s="213">
        <f t="shared" ref="J145:S160" si="8">$H126 * J104</f>
        <v>1.105</v>
      </c>
      <c r="K145" s="213">
        <f t="shared" si="8"/>
        <v>1.105</v>
      </c>
      <c r="L145" s="213">
        <f t="shared" si="8"/>
        <v>1.105</v>
      </c>
      <c r="M145" s="213">
        <f t="shared" si="8"/>
        <v>1.105</v>
      </c>
      <c r="N145" s="213">
        <f t="shared" si="8"/>
        <v>1.105</v>
      </c>
      <c r="O145" s="213">
        <f t="shared" si="8"/>
        <v>1.105</v>
      </c>
      <c r="P145" s="213">
        <f t="shared" si="8"/>
        <v>0</v>
      </c>
      <c r="Q145" s="213">
        <f t="shared" si="8"/>
        <v>1.105</v>
      </c>
      <c r="R145" s="213">
        <f t="shared" si="8"/>
        <v>1.105</v>
      </c>
      <c r="S145" s="213">
        <f t="shared" si="8"/>
        <v>1.105</v>
      </c>
      <c r="T145" s="201"/>
      <c r="U145" s="201"/>
    </row>
    <row r="146" spans="6:23" x14ac:dyDescent="0.25">
      <c r="F146" t="s">
        <v>926</v>
      </c>
      <c r="G146" s="92" t="s">
        <v>427</v>
      </c>
      <c r="H146" s="79"/>
      <c r="J146" s="215">
        <f t="shared" si="8"/>
        <v>1.105</v>
      </c>
      <c r="K146" s="215">
        <f t="shared" si="8"/>
        <v>1.105</v>
      </c>
      <c r="L146" s="215">
        <f t="shared" si="8"/>
        <v>1.105</v>
      </c>
      <c r="M146" s="215">
        <f t="shared" si="8"/>
        <v>1.105</v>
      </c>
      <c r="N146" s="215">
        <f t="shared" si="8"/>
        <v>1.105</v>
      </c>
      <c r="O146" s="215">
        <f t="shared" si="8"/>
        <v>1.105</v>
      </c>
      <c r="P146" s="215">
        <f t="shared" si="8"/>
        <v>0</v>
      </c>
      <c r="Q146" s="215">
        <f t="shared" si="8"/>
        <v>1.105</v>
      </c>
      <c r="R146" s="215">
        <f t="shared" si="8"/>
        <v>1.105</v>
      </c>
      <c r="S146" s="215">
        <f t="shared" si="8"/>
        <v>1.105</v>
      </c>
      <c r="T146" s="234"/>
      <c r="U146" s="234"/>
      <c r="W146" s="19"/>
    </row>
    <row r="147" spans="6:23" x14ac:dyDescent="0.25">
      <c r="F147" t="s">
        <v>927</v>
      </c>
      <c r="G147" s="92" t="s">
        <v>427</v>
      </c>
      <c r="H147" s="79"/>
      <c r="J147" s="215">
        <f t="shared" si="8"/>
        <v>1.105</v>
      </c>
      <c r="K147" s="215">
        <f t="shared" si="8"/>
        <v>1.105</v>
      </c>
      <c r="L147" s="215">
        <f t="shared" si="8"/>
        <v>1.105</v>
      </c>
      <c r="M147" s="215">
        <f t="shared" si="8"/>
        <v>1.105</v>
      </c>
      <c r="N147" s="215">
        <f t="shared" si="8"/>
        <v>1.105</v>
      </c>
      <c r="O147" s="215">
        <f t="shared" si="8"/>
        <v>1.105</v>
      </c>
      <c r="P147" s="215">
        <f t="shared" si="8"/>
        <v>0</v>
      </c>
      <c r="Q147" s="215">
        <f t="shared" si="8"/>
        <v>1.105</v>
      </c>
      <c r="R147" s="215">
        <f t="shared" si="8"/>
        <v>1.105</v>
      </c>
      <c r="S147" s="215">
        <f t="shared" si="8"/>
        <v>1.105</v>
      </c>
      <c r="T147" s="234"/>
      <c r="U147" s="234"/>
      <c r="W147" s="19"/>
    </row>
    <row r="148" spans="6:23" x14ac:dyDescent="0.25">
      <c r="F148" t="s">
        <v>928</v>
      </c>
      <c r="G148" s="92" t="s">
        <v>427</v>
      </c>
      <c r="H148" s="79"/>
      <c r="J148" s="215">
        <f t="shared" si="8"/>
        <v>1.105</v>
      </c>
      <c r="K148" s="215">
        <f t="shared" si="8"/>
        <v>1.105</v>
      </c>
      <c r="L148" s="215">
        <f t="shared" si="8"/>
        <v>1.105</v>
      </c>
      <c r="M148" s="215">
        <f t="shared" si="8"/>
        <v>1.105</v>
      </c>
      <c r="N148" s="215">
        <f t="shared" si="8"/>
        <v>1.105</v>
      </c>
      <c r="O148" s="215">
        <f t="shared" si="8"/>
        <v>1.105</v>
      </c>
      <c r="P148" s="215">
        <f t="shared" si="8"/>
        <v>0</v>
      </c>
      <c r="Q148" s="215">
        <f t="shared" si="8"/>
        <v>1.105</v>
      </c>
      <c r="R148" s="215">
        <f t="shared" si="8"/>
        <v>1.105</v>
      </c>
      <c r="S148" s="215">
        <f t="shared" si="8"/>
        <v>1.105</v>
      </c>
      <c r="T148" s="234"/>
      <c r="U148" s="234"/>
    </row>
    <row r="149" spans="6:23" x14ac:dyDescent="0.25">
      <c r="F149" t="s">
        <v>929</v>
      </c>
      <c r="G149" s="92" t="s">
        <v>427</v>
      </c>
      <c r="H149" s="79"/>
      <c r="J149" s="215">
        <f t="shared" si="8"/>
        <v>1.105</v>
      </c>
      <c r="K149" s="215">
        <f t="shared" si="8"/>
        <v>1.105</v>
      </c>
      <c r="L149" s="215">
        <f t="shared" si="8"/>
        <v>1.105</v>
      </c>
      <c r="M149" s="215">
        <f t="shared" si="8"/>
        <v>1.105</v>
      </c>
      <c r="N149" s="215">
        <f t="shared" si="8"/>
        <v>1.105</v>
      </c>
      <c r="O149" s="215">
        <f t="shared" si="8"/>
        <v>1.105</v>
      </c>
      <c r="P149" s="215">
        <f t="shared" si="8"/>
        <v>0</v>
      </c>
      <c r="Q149" s="215">
        <f t="shared" si="8"/>
        <v>1.105</v>
      </c>
      <c r="R149" s="215">
        <f t="shared" si="8"/>
        <v>1.105</v>
      </c>
      <c r="S149" s="215">
        <f t="shared" si="8"/>
        <v>1.105</v>
      </c>
      <c r="T149" s="234"/>
      <c r="U149" s="234"/>
    </row>
    <row r="150" spans="6:23" x14ac:dyDescent="0.25">
      <c r="F150" t="s">
        <v>930</v>
      </c>
      <c r="G150" s="92" t="s">
        <v>427</v>
      </c>
      <c r="H150" s="79"/>
      <c r="J150" s="215">
        <f t="shared" si="8"/>
        <v>1.044</v>
      </c>
      <c r="K150" s="215">
        <f t="shared" si="8"/>
        <v>1.044</v>
      </c>
      <c r="L150" s="215">
        <f t="shared" si="8"/>
        <v>1.044</v>
      </c>
      <c r="M150" s="215">
        <f t="shared" si="8"/>
        <v>1.044</v>
      </c>
      <c r="N150" s="215">
        <f t="shared" si="8"/>
        <v>1.044</v>
      </c>
      <c r="O150" s="215">
        <f t="shared" si="8"/>
        <v>1.044</v>
      </c>
      <c r="P150" s="215">
        <f t="shared" si="8"/>
        <v>0</v>
      </c>
      <c r="Q150" s="215">
        <f t="shared" si="8"/>
        <v>1.044</v>
      </c>
      <c r="R150" s="215">
        <f t="shared" si="8"/>
        <v>1.044</v>
      </c>
      <c r="S150" s="215">
        <f t="shared" si="8"/>
        <v>0</v>
      </c>
      <c r="T150" s="234"/>
      <c r="U150" s="234"/>
    </row>
    <row r="151" spans="6:23" x14ac:dyDescent="0.25">
      <c r="F151" t="s">
        <v>931</v>
      </c>
      <c r="G151" s="92" t="s">
        <v>427</v>
      </c>
      <c r="H151" s="79"/>
      <c r="J151" s="215">
        <f t="shared" si="8"/>
        <v>1.024</v>
      </c>
      <c r="K151" s="215">
        <f t="shared" si="8"/>
        <v>1.024</v>
      </c>
      <c r="L151" s="215">
        <f t="shared" si="8"/>
        <v>1.024</v>
      </c>
      <c r="M151" s="215">
        <f t="shared" si="8"/>
        <v>1.024</v>
      </c>
      <c r="N151" s="215">
        <f t="shared" si="8"/>
        <v>1.024</v>
      </c>
      <c r="O151" s="215">
        <f t="shared" si="8"/>
        <v>1.024</v>
      </c>
      <c r="P151" s="215">
        <f t="shared" si="8"/>
        <v>0</v>
      </c>
      <c r="Q151" s="215">
        <f t="shared" si="8"/>
        <v>1.024</v>
      </c>
      <c r="R151" s="215">
        <f t="shared" si="8"/>
        <v>0</v>
      </c>
      <c r="S151" s="215">
        <f t="shared" si="8"/>
        <v>0</v>
      </c>
      <c r="T151" s="234"/>
      <c r="U151" s="234"/>
    </row>
    <row r="152" spans="6:23" x14ac:dyDescent="0.25">
      <c r="F152" t="s">
        <v>932</v>
      </c>
      <c r="G152" s="92" t="s">
        <v>427</v>
      </c>
      <c r="H152" s="79"/>
      <c r="J152" s="215">
        <f t="shared" si="8"/>
        <v>1.105</v>
      </c>
      <c r="K152" s="215">
        <f t="shared" si="8"/>
        <v>1.105</v>
      </c>
      <c r="L152" s="215">
        <f t="shared" si="8"/>
        <v>1.105</v>
      </c>
      <c r="M152" s="215">
        <f t="shared" si="8"/>
        <v>1.105</v>
      </c>
      <c r="N152" s="215">
        <f t="shared" si="8"/>
        <v>1.105</v>
      </c>
      <c r="O152" s="215">
        <f t="shared" si="8"/>
        <v>1.105</v>
      </c>
      <c r="P152" s="215">
        <f t="shared" si="8"/>
        <v>0</v>
      </c>
      <c r="Q152" s="215">
        <f t="shared" si="8"/>
        <v>1.105</v>
      </c>
      <c r="R152" s="215">
        <f t="shared" si="8"/>
        <v>1.105</v>
      </c>
      <c r="S152" s="215">
        <f t="shared" si="8"/>
        <v>1.105</v>
      </c>
      <c r="T152" s="234"/>
      <c r="U152" s="234"/>
    </row>
    <row r="153" spans="6:23" x14ac:dyDescent="0.25">
      <c r="F153" t="s">
        <v>933</v>
      </c>
      <c r="G153" s="92" t="s">
        <v>427</v>
      </c>
      <c r="H153" s="79"/>
      <c r="J153" s="215">
        <f t="shared" si="8"/>
        <v>-1.105</v>
      </c>
      <c r="K153" s="215">
        <f t="shared" si="8"/>
        <v>-1.105</v>
      </c>
      <c r="L153" s="215">
        <f t="shared" si="8"/>
        <v>-1.105</v>
      </c>
      <c r="M153" s="215">
        <f t="shared" si="8"/>
        <v>-1.105</v>
      </c>
      <c r="N153" s="215">
        <f t="shared" si="8"/>
        <v>-1.105</v>
      </c>
      <c r="O153" s="215">
        <f t="shared" si="8"/>
        <v>-1.105</v>
      </c>
      <c r="P153" s="215">
        <f t="shared" si="8"/>
        <v>0</v>
      </c>
      <c r="Q153" s="215">
        <f t="shared" si="8"/>
        <v>-1.105</v>
      </c>
      <c r="R153" s="215">
        <f t="shared" si="8"/>
        <v>-1.105</v>
      </c>
      <c r="S153" s="215">
        <f t="shared" si="8"/>
        <v>0</v>
      </c>
      <c r="T153" s="234"/>
      <c r="U153" s="234"/>
    </row>
    <row r="154" spans="6:23" x14ac:dyDescent="0.25">
      <c r="F154" t="s">
        <v>934</v>
      </c>
      <c r="G154" s="92" t="s">
        <v>427</v>
      </c>
      <c r="H154" s="79"/>
      <c r="J154" s="215">
        <f t="shared" si="8"/>
        <v>-1.044</v>
      </c>
      <c r="K154" s="215">
        <f t="shared" si="8"/>
        <v>-1.044</v>
      </c>
      <c r="L154" s="215">
        <f t="shared" si="8"/>
        <v>-1.044</v>
      </c>
      <c r="M154" s="215">
        <f t="shared" si="8"/>
        <v>-1.044</v>
      </c>
      <c r="N154" s="215">
        <f t="shared" si="8"/>
        <v>-1.044</v>
      </c>
      <c r="O154" s="215">
        <f t="shared" si="8"/>
        <v>-1.044</v>
      </c>
      <c r="P154" s="215">
        <f t="shared" si="8"/>
        <v>0</v>
      </c>
      <c r="Q154" s="215">
        <f t="shared" si="8"/>
        <v>-1.044</v>
      </c>
      <c r="R154" s="215">
        <f t="shared" si="8"/>
        <v>0</v>
      </c>
      <c r="S154" s="215">
        <f t="shared" si="8"/>
        <v>0</v>
      </c>
      <c r="T154" s="234"/>
      <c r="U154" s="234"/>
    </row>
    <row r="155" spans="6:23" x14ac:dyDescent="0.25">
      <c r="F155" t="s">
        <v>935</v>
      </c>
      <c r="G155" s="92" t="s">
        <v>427</v>
      </c>
      <c r="H155" s="79"/>
      <c r="J155" s="215">
        <f t="shared" si="8"/>
        <v>-1.105</v>
      </c>
      <c r="K155" s="215">
        <f t="shared" si="8"/>
        <v>-1.105</v>
      </c>
      <c r="L155" s="215">
        <f t="shared" si="8"/>
        <v>-1.105</v>
      </c>
      <c r="M155" s="215">
        <f t="shared" si="8"/>
        <v>-1.105</v>
      </c>
      <c r="N155" s="215">
        <f t="shared" si="8"/>
        <v>-1.105</v>
      </c>
      <c r="O155" s="215">
        <f t="shared" si="8"/>
        <v>-1.105</v>
      </c>
      <c r="P155" s="215">
        <f t="shared" si="8"/>
        <v>0</v>
      </c>
      <c r="Q155" s="215">
        <f t="shared" si="8"/>
        <v>-1.105</v>
      </c>
      <c r="R155" s="215">
        <f t="shared" si="8"/>
        <v>-1.105</v>
      </c>
      <c r="S155" s="215">
        <f t="shared" si="8"/>
        <v>0</v>
      </c>
      <c r="T155" s="234"/>
      <c r="U155" s="234"/>
    </row>
    <row r="156" spans="6:23" x14ac:dyDescent="0.25">
      <c r="F156" t="s">
        <v>936</v>
      </c>
      <c r="G156" s="92" t="s">
        <v>427</v>
      </c>
      <c r="H156" s="79"/>
      <c r="J156" s="215">
        <f t="shared" si="8"/>
        <v>-1.105</v>
      </c>
      <c r="K156" s="215">
        <f t="shared" si="8"/>
        <v>-1.105</v>
      </c>
      <c r="L156" s="215">
        <f t="shared" si="8"/>
        <v>-1.105</v>
      </c>
      <c r="M156" s="215">
        <f t="shared" si="8"/>
        <v>-1.105</v>
      </c>
      <c r="N156" s="215">
        <f t="shared" si="8"/>
        <v>-1.105</v>
      </c>
      <c r="O156" s="215">
        <f t="shared" si="8"/>
        <v>-1.105</v>
      </c>
      <c r="P156" s="215">
        <f t="shared" si="8"/>
        <v>0</v>
      </c>
      <c r="Q156" s="215">
        <f t="shared" si="8"/>
        <v>-1.105</v>
      </c>
      <c r="R156" s="215">
        <f t="shared" si="8"/>
        <v>-1.105</v>
      </c>
      <c r="S156" s="215">
        <f t="shared" si="8"/>
        <v>0</v>
      </c>
      <c r="T156" s="234"/>
      <c r="U156" s="234"/>
    </row>
    <row r="157" spans="6:23" x14ac:dyDescent="0.25">
      <c r="F157" t="s">
        <v>937</v>
      </c>
      <c r="G157" s="92" t="s">
        <v>427</v>
      </c>
      <c r="H157" s="79"/>
      <c r="J157" s="215">
        <f t="shared" si="8"/>
        <v>-1.044</v>
      </c>
      <c r="K157" s="215">
        <f t="shared" si="8"/>
        <v>-1.044</v>
      </c>
      <c r="L157" s="215">
        <f t="shared" si="8"/>
        <v>-1.044</v>
      </c>
      <c r="M157" s="215">
        <f t="shared" si="8"/>
        <v>-1.044</v>
      </c>
      <c r="N157" s="215">
        <f t="shared" si="8"/>
        <v>-1.044</v>
      </c>
      <c r="O157" s="215">
        <f t="shared" si="8"/>
        <v>-1.044</v>
      </c>
      <c r="P157" s="215">
        <f t="shared" si="8"/>
        <v>0</v>
      </c>
      <c r="Q157" s="215">
        <f t="shared" si="8"/>
        <v>-1.044</v>
      </c>
      <c r="R157" s="215">
        <f t="shared" si="8"/>
        <v>0</v>
      </c>
      <c r="S157" s="215">
        <f t="shared" si="8"/>
        <v>0</v>
      </c>
      <c r="T157" s="234"/>
      <c r="U157" s="234"/>
    </row>
    <row r="158" spans="6:23" x14ac:dyDescent="0.25">
      <c r="F158" t="s">
        <v>938</v>
      </c>
      <c r="G158" s="92" t="s">
        <v>427</v>
      </c>
      <c r="H158" s="79"/>
      <c r="J158" s="215">
        <f t="shared" si="8"/>
        <v>-1.044</v>
      </c>
      <c r="K158" s="215">
        <f t="shared" si="8"/>
        <v>-1.044</v>
      </c>
      <c r="L158" s="215">
        <f t="shared" si="8"/>
        <v>-1.044</v>
      </c>
      <c r="M158" s="215">
        <f t="shared" si="8"/>
        <v>-1.044</v>
      </c>
      <c r="N158" s="215">
        <f t="shared" si="8"/>
        <v>-1.044</v>
      </c>
      <c r="O158" s="215">
        <f t="shared" si="8"/>
        <v>-1.044</v>
      </c>
      <c r="P158" s="215">
        <f t="shared" si="8"/>
        <v>0</v>
      </c>
      <c r="Q158" s="215">
        <f t="shared" si="8"/>
        <v>-1.044</v>
      </c>
      <c r="R158" s="215">
        <f t="shared" si="8"/>
        <v>0</v>
      </c>
      <c r="S158" s="215">
        <f t="shared" si="8"/>
        <v>0</v>
      </c>
      <c r="T158" s="234"/>
      <c r="U158" s="234"/>
    </row>
    <row r="159" spans="6:23" x14ac:dyDescent="0.25">
      <c r="F159" t="s">
        <v>939</v>
      </c>
      <c r="G159" s="92" t="s">
        <v>427</v>
      </c>
      <c r="H159" s="79"/>
      <c r="J159" s="215">
        <f t="shared" si="8"/>
        <v>-1.024</v>
      </c>
      <c r="K159" s="215">
        <f t="shared" si="8"/>
        <v>-1.024</v>
      </c>
      <c r="L159" s="215">
        <f t="shared" si="8"/>
        <v>-1.024</v>
      </c>
      <c r="M159" s="215">
        <f t="shared" si="8"/>
        <v>-1.024</v>
      </c>
      <c r="N159" s="215">
        <f t="shared" si="8"/>
        <v>-1.024</v>
      </c>
      <c r="O159" s="215">
        <f t="shared" si="8"/>
        <v>-1.024</v>
      </c>
      <c r="P159" s="215">
        <f t="shared" si="8"/>
        <v>0</v>
      </c>
      <c r="Q159" s="215">
        <f t="shared" si="8"/>
        <v>0</v>
      </c>
      <c r="R159" s="215">
        <f t="shared" si="8"/>
        <v>0</v>
      </c>
      <c r="S159" s="215">
        <f t="shared" si="8"/>
        <v>0</v>
      </c>
      <c r="T159" s="234"/>
      <c r="U159" s="234"/>
    </row>
    <row r="160" spans="6:23" x14ac:dyDescent="0.25">
      <c r="F160" s="17" t="s">
        <v>940</v>
      </c>
      <c r="G160" s="34" t="s">
        <v>427</v>
      </c>
      <c r="H160" s="159"/>
      <c r="I160" s="17"/>
      <c r="J160" s="217">
        <f t="shared" si="8"/>
        <v>-1.024</v>
      </c>
      <c r="K160" s="217">
        <f t="shared" si="8"/>
        <v>-1.024</v>
      </c>
      <c r="L160" s="217">
        <f t="shared" si="8"/>
        <v>-1.024</v>
      </c>
      <c r="M160" s="217">
        <f t="shared" si="8"/>
        <v>-1.024</v>
      </c>
      <c r="N160" s="217">
        <f t="shared" si="8"/>
        <v>-1.024</v>
      </c>
      <c r="O160" s="217">
        <f t="shared" si="8"/>
        <v>-1.024</v>
      </c>
      <c r="P160" s="217">
        <f t="shared" si="8"/>
        <v>0</v>
      </c>
      <c r="Q160" s="217">
        <f t="shared" si="8"/>
        <v>0</v>
      </c>
      <c r="R160" s="217">
        <f t="shared" si="8"/>
        <v>0</v>
      </c>
      <c r="S160" s="217">
        <f t="shared" si="8"/>
        <v>0</v>
      </c>
      <c r="T160" s="203"/>
      <c r="U160" s="203"/>
    </row>
    <row r="161" spans="5:23" x14ac:dyDescent="0.25">
      <c r="G161" s="9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</row>
    <row r="162" spans="5:23" x14ac:dyDescent="0.25">
      <c r="E162" s="52" t="s">
        <v>333</v>
      </c>
      <c r="G162" s="91"/>
      <c r="I162" t="s">
        <v>359</v>
      </c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W162" s="19" t="s">
        <v>710</v>
      </c>
    </row>
    <row r="163" spans="5:23" x14ac:dyDescent="0.25">
      <c r="E163" s="73" t="s">
        <v>325</v>
      </c>
      <c r="G163" s="9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</row>
    <row r="164" spans="5:23" x14ac:dyDescent="0.25">
      <c r="F164" s="80" t="s">
        <v>925</v>
      </c>
      <c r="G164" s="38" t="s">
        <v>427</v>
      </c>
      <c r="H164" s="67"/>
      <c r="I164" s="80"/>
      <c r="J164" s="201"/>
      <c r="K164" s="201"/>
      <c r="L164" s="201"/>
      <c r="M164" s="201"/>
      <c r="N164" s="201"/>
      <c r="O164" s="201"/>
      <c r="P164" s="201"/>
      <c r="Q164" s="201"/>
      <c r="R164" s="201"/>
      <c r="S164" s="201"/>
      <c r="T164" s="201"/>
      <c r="U164" s="201"/>
    </row>
    <row r="165" spans="5:23" x14ac:dyDescent="0.25">
      <c r="F165" t="s">
        <v>926</v>
      </c>
      <c r="G165" s="92" t="s">
        <v>427</v>
      </c>
      <c r="H165" s="79"/>
      <c r="J165" s="234"/>
      <c r="K165" s="234"/>
      <c r="L165" s="234"/>
      <c r="M165" s="234"/>
      <c r="N165" s="234"/>
      <c r="O165" s="234"/>
      <c r="P165" s="234"/>
      <c r="Q165" s="234"/>
      <c r="R165" s="234"/>
      <c r="S165" s="234"/>
      <c r="T165" s="234"/>
      <c r="U165" s="234"/>
      <c r="W165" s="19"/>
    </row>
    <row r="166" spans="5:23" x14ac:dyDescent="0.25">
      <c r="F166" t="s">
        <v>927</v>
      </c>
      <c r="G166" s="92" t="s">
        <v>427</v>
      </c>
      <c r="H166" s="79"/>
      <c r="J166" s="234"/>
      <c r="K166" s="234"/>
      <c r="L166" s="234"/>
      <c r="M166" s="234"/>
      <c r="N166" s="234"/>
      <c r="O166" s="234"/>
      <c r="P166" s="234"/>
      <c r="Q166" s="234"/>
      <c r="R166" s="234"/>
      <c r="S166" s="234"/>
      <c r="T166" s="234"/>
      <c r="U166" s="234"/>
      <c r="W166" s="19"/>
    </row>
    <row r="167" spans="5:23" x14ac:dyDescent="0.25">
      <c r="F167" t="s">
        <v>928</v>
      </c>
      <c r="G167" s="92" t="s">
        <v>427</v>
      </c>
      <c r="H167" s="79"/>
      <c r="J167" s="234"/>
      <c r="K167" s="234"/>
      <c r="L167" s="234"/>
      <c r="M167" s="234"/>
      <c r="N167" s="234"/>
      <c r="O167" s="234"/>
      <c r="P167" s="234"/>
      <c r="Q167" s="234"/>
      <c r="R167" s="234"/>
      <c r="S167" s="234"/>
      <c r="T167" s="234"/>
      <c r="U167" s="234"/>
    </row>
    <row r="168" spans="5:23" x14ac:dyDescent="0.25">
      <c r="F168" t="s">
        <v>929</v>
      </c>
      <c r="G168" s="92" t="s">
        <v>427</v>
      </c>
      <c r="H168" s="79"/>
      <c r="J168" s="234"/>
      <c r="K168" s="234"/>
      <c r="L168" s="234"/>
      <c r="M168" s="234"/>
      <c r="N168" s="234"/>
      <c r="O168" s="234"/>
      <c r="P168" s="234"/>
      <c r="Q168" s="234"/>
      <c r="R168" s="234"/>
      <c r="S168" s="234"/>
      <c r="T168" s="234"/>
      <c r="U168" s="234"/>
    </row>
    <row r="169" spans="5:23" x14ac:dyDescent="0.25">
      <c r="F169" t="s">
        <v>930</v>
      </c>
      <c r="G169" s="92" t="s">
        <v>427</v>
      </c>
      <c r="H169" s="79"/>
      <c r="J169" s="234"/>
      <c r="K169" s="234"/>
      <c r="L169" s="234"/>
      <c r="M169" s="234"/>
      <c r="N169" s="234"/>
      <c r="O169" s="234"/>
      <c r="P169" s="234"/>
      <c r="Q169" s="234"/>
      <c r="R169" s="234"/>
      <c r="S169" s="234"/>
      <c r="T169" s="234"/>
      <c r="U169" s="234"/>
    </row>
    <row r="170" spans="5:23" x14ac:dyDescent="0.25">
      <c r="F170" t="s">
        <v>931</v>
      </c>
      <c r="G170" s="92" t="s">
        <v>427</v>
      </c>
      <c r="H170" s="79"/>
      <c r="J170" s="234"/>
      <c r="K170" s="234"/>
      <c r="L170" s="234"/>
      <c r="M170" s="234"/>
      <c r="N170" s="234"/>
      <c r="O170" s="234"/>
      <c r="P170" s="234"/>
      <c r="Q170" s="234"/>
      <c r="R170" s="234"/>
      <c r="S170" s="234"/>
      <c r="T170" s="234"/>
      <c r="U170" s="234"/>
    </row>
    <row r="171" spans="5:23" x14ac:dyDescent="0.25">
      <c r="F171" t="s">
        <v>932</v>
      </c>
      <c r="G171" s="92" t="s">
        <v>427</v>
      </c>
      <c r="H171" s="79"/>
      <c r="J171" s="234"/>
      <c r="K171" s="234"/>
      <c r="L171" s="234"/>
      <c r="M171" s="234"/>
      <c r="N171" s="234"/>
      <c r="O171" s="234"/>
      <c r="P171" s="234"/>
      <c r="Q171" s="234"/>
      <c r="R171" s="234"/>
      <c r="S171" s="234"/>
      <c r="T171" s="234"/>
      <c r="U171" s="234"/>
    </row>
    <row r="172" spans="5:23" x14ac:dyDescent="0.25">
      <c r="F172" t="s">
        <v>933</v>
      </c>
      <c r="G172" s="92" t="s">
        <v>427</v>
      </c>
      <c r="H172" s="79"/>
      <c r="J172" s="215">
        <f t="shared" ref="J172:S179" si="9">$H134 * J73</f>
        <v>-1.105</v>
      </c>
      <c r="K172" s="215">
        <f t="shared" si="9"/>
        <v>-1.105</v>
      </c>
      <c r="L172" s="215">
        <f t="shared" si="9"/>
        <v>-1.105</v>
      </c>
      <c r="M172" s="215">
        <f t="shared" si="9"/>
        <v>-1.105</v>
      </c>
      <c r="N172" s="215">
        <f t="shared" si="9"/>
        <v>-1.105</v>
      </c>
      <c r="O172" s="215">
        <f t="shared" si="9"/>
        <v>-1.105</v>
      </c>
      <c r="P172" s="215">
        <f t="shared" si="9"/>
        <v>0</v>
      </c>
      <c r="Q172" s="215">
        <f t="shared" si="9"/>
        <v>-1.105</v>
      </c>
      <c r="R172" s="215">
        <f t="shared" si="9"/>
        <v>-1.105</v>
      </c>
      <c r="S172" s="215">
        <f t="shared" si="9"/>
        <v>-1.105</v>
      </c>
      <c r="T172" s="234"/>
      <c r="U172" s="234"/>
    </row>
    <row r="173" spans="5:23" x14ac:dyDescent="0.25">
      <c r="F173" t="s">
        <v>934</v>
      </c>
      <c r="G173" s="92" t="s">
        <v>427</v>
      </c>
      <c r="H173" s="79"/>
      <c r="J173" s="215">
        <f t="shared" si="9"/>
        <v>-1.044</v>
      </c>
      <c r="K173" s="215">
        <f t="shared" si="9"/>
        <v>-1.044</v>
      </c>
      <c r="L173" s="215">
        <f t="shared" si="9"/>
        <v>-1.044</v>
      </c>
      <c r="M173" s="215">
        <f t="shared" si="9"/>
        <v>-1.044</v>
      </c>
      <c r="N173" s="215">
        <f t="shared" si="9"/>
        <v>-1.044</v>
      </c>
      <c r="O173" s="215">
        <f t="shared" si="9"/>
        <v>-1.044</v>
      </c>
      <c r="P173" s="215">
        <f t="shared" si="9"/>
        <v>0</v>
      </c>
      <c r="Q173" s="215">
        <f t="shared" si="9"/>
        <v>-1.044</v>
      </c>
      <c r="R173" s="215">
        <f t="shared" si="9"/>
        <v>-1.044</v>
      </c>
      <c r="S173" s="215">
        <f t="shared" si="9"/>
        <v>0</v>
      </c>
      <c r="T173" s="234"/>
      <c r="U173" s="234"/>
    </row>
    <row r="174" spans="5:23" x14ac:dyDescent="0.25">
      <c r="F174" t="s">
        <v>935</v>
      </c>
      <c r="G174" s="92" t="s">
        <v>427</v>
      </c>
      <c r="H174" s="79"/>
      <c r="J174" s="215">
        <f t="shared" si="9"/>
        <v>-1.105</v>
      </c>
      <c r="K174" s="215">
        <f t="shared" si="9"/>
        <v>-1.105</v>
      </c>
      <c r="L174" s="215">
        <f t="shared" si="9"/>
        <v>-1.105</v>
      </c>
      <c r="M174" s="215">
        <f t="shared" si="9"/>
        <v>-1.105</v>
      </c>
      <c r="N174" s="215">
        <f t="shared" si="9"/>
        <v>-1.105</v>
      </c>
      <c r="O174" s="215">
        <f t="shared" si="9"/>
        <v>-1.105</v>
      </c>
      <c r="P174" s="215">
        <f t="shared" si="9"/>
        <v>0</v>
      </c>
      <c r="Q174" s="215">
        <f t="shared" si="9"/>
        <v>-1.105</v>
      </c>
      <c r="R174" s="215">
        <f t="shared" si="9"/>
        <v>-1.105</v>
      </c>
      <c r="S174" s="215">
        <f t="shared" si="9"/>
        <v>-1.105</v>
      </c>
      <c r="T174" s="234"/>
      <c r="U174" s="234"/>
    </row>
    <row r="175" spans="5:23" x14ac:dyDescent="0.25">
      <c r="F175" t="s">
        <v>936</v>
      </c>
      <c r="G175" s="92" t="s">
        <v>427</v>
      </c>
      <c r="H175" s="79"/>
      <c r="J175" s="215">
        <f t="shared" si="9"/>
        <v>-1.105</v>
      </c>
      <c r="K175" s="215">
        <f t="shared" si="9"/>
        <v>-1.105</v>
      </c>
      <c r="L175" s="215">
        <f t="shared" si="9"/>
        <v>-1.105</v>
      </c>
      <c r="M175" s="215">
        <f t="shared" si="9"/>
        <v>-1.105</v>
      </c>
      <c r="N175" s="215">
        <f t="shared" si="9"/>
        <v>-1.105</v>
      </c>
      <c r="O175" s="215">
        <f t="shared" si="9"/>
        <v>-1.105</v>
      </c>
      <c r="P175" s="215">
        <f t="shared" si="9"/>
        <v>0</v>
      </c>
      <c r="Q175" s="215">
        <f t="shared" si="9"/>
        <v>-1.105</v>
      </c>
      <c r="R175" s="215">
        <f t="shared" si="9"/>
        <v>-1.105</v>
      </c>
      <c r="S175" s="215">
        <f t="shared" si="9"/>
        <v>-1.105</v>
      </c>
      <c r="T175" s="234"/>
      <c r="U175" s="234"/>
    </row>
    <row r="176" spans="5:23" x14ac:dyDescent="0.25">
      <c r="F176" t="s">
        <v>937</v>
      </c>
      <c r="G176" s="92" t="s">
        <v>427</v>
      </c>
      <c r="H176" s="79"/>
      <c r="J176" s="215">
        <f t="shared" si="9"/>
        <v>-1.044</v>
      </c>
      <c r="K176" s="215">
        <f t="shared" si="9"/>
        <v>-1.044</v>
      </c>
      <c r="L176" s="215">
        <f t="shared" si="9"/>
        <v>-1.044</v>
      </c>
      <c r="M176" s="215">
        <f t="shared" si="9"/>
        <v>-1.044</v>
      </c>
      <c r="N176" s="215">
        <f t="shared" si="9"/>
        <v>-1.044</v>
      </c>
      <c r="O176" s="215">
        <f t="shared" si="9"/>
        <v>-1.044</v>
      </c>
      <c r="P176" s="215">
        <f t="shared" si="9"/>
        <v>0</v>
      </c>
      <c r="Q176" s="215">
        <f t="shared" si="9"/>
        <v>-1.044</v>
      </c>
      <c r="R176" s="215">
        <f t="shared" si="9"/>
        <v>-1.044</v>
      </c>
      <c r="S176" s="215">
        <f t="shared" si="9"/>
        <v>0</v>
      </c>
      <c r="T176" s="234"/>
      <c r="U176" s="234"/>
    </row>
    <row r="177" spans="2:23" x14ac:dyDescent="0.25">
      <c r="F177" t="s">
        <v>938</v>
      </c>
      <c r="G177" s="92" t="s">
        <v>427</v>
      </c>
      <c r="H177" s="79"/>
      <c r="J177" s="215">
        <f t="shared" si="9"/>
        <v>-1.044</v>
      </c>
      <c r="K177" s="215">
        <f t="shared" si="9"/>
        <v>-1.044</v>
      </c>
      <c r="L177" s="215">
        <f t="shared" si="9"/>
        <v>-1.044</v>
      </c>
      <c r="M177" s="215">
        <f t="shared" si="9"/>
        <v>-1.044</v>
      </c>
      <c r="N177" s="215">
        <f t="shared" si="9"/>
        <v>-1.044</v>
      </c>
      <c r="O177" s="215">
        <f t="shared" si="9"/>
        <v>-1.044</v>
      </c>
      <c r="P177" s="215">
        <f t="shared" si="9"/>
        <v>0</v>
      </c>
      <c r="Q177" s="215">
        <f t="shared" si="9"/>
        <v>-1.044</v>
      </c>
      <c r="R177" s="215">
        <f t="shared" si="9"/>
        <v>-1.044</v>
      </c>
      <c r="S177" s="215">
        <f t="shared" si="9"/>
        <v>0</v>
      </c>
      <c r="T177" s="234"/>
      <c r="U177" s="234"/>
    </row>
    <row r="178" spans="2:23" x14ac:dyDescent="0.25">
      <c r="F178" t="s">
        <v>939</v>
      </c>
      <c r="G178" s="92" t="s">
        <v>427</v>
      </c>
      <c r="H178" s="79"/>
      <c r="J178" s="215">
        <f t="shared" si="9"/>
        <v>-1.024</v>
      </c>
      <c r="K178" s="215">
        <f t="shared" si="9"/>
        <v>-1.024</v>
      </c>
      <c r="L178" s="215">
        <f t="shared" si="9"/>
        <v>-1.024</v>
      </c>
      <c r="M178" s="215">
        <f t="shared" si="9"/>
        <v>-1.024</v>
      </c>
      <c r="N178" s="215">
        <f t="shared" si="9"/>
        <v>-1.024</v>
      </c>
      <c r="O178" s="215">
        <f t="shared" si="9"/>
        <v>-1.024</v>
      </c>
      <c r="P178" s="215">
        <f t="shared" si="9"/>
        <v>0</v>
      </c>
      <c r="Q178" s="215">
        <f t="shared" si="9"/>
        <v>-1.024</v>
      </c>
      <c r="R178" s="215">
        <f t="shared" si="9"/>
        <v>0</v>
      </c>
      <c r="S178" s="215">
        <f t="shared" si="9"/>
        <v>0</v>
      </c>
      <c r="T178" s="234"/>
      <c r="U178" s="234"/>
    </row>
    <row r="179" spans="2:23" x14ac:dyDescent="0.25">
      <c r="F179" s="17" t="s">
        <v>940</v>
      </c>
      <c r="G179" s="34" t="s">
        <v>427</v>
      </c>
      <c r="H179" s="159"/>
      <c r="I179" s="17"/>
      <c r="J179" s="217">
        <f t="shared" si="9"/>
        <v>-1.024</v>
      </c>
      <c r="K179" s="217">
        <f t="shared" si="9"/>
        <v>-1.024</v>
      </c>
      <c r="L179" s="217">
        <f t="shared" si="9"/>
        <v>-1.024</v>
      </c>
      <c r="M179" s="217">
        <f t="shared" si="9"/>
        <v>-1.024</v>
      </c>
      <c r="N179" s="217">
        <f t="shared" si="9"/>
        <v>-1.024</v>
      </c>
      <c r="O179" s="217">
        <f t="shared" si="9"/>
        <v>-1.024</v>
      </c>
      <c r="P179" s="217">
        <f t="shared" si="9"/>
        <v>0</v>
      </c>
      <c r="Q179" s="217">
        <f t="shared" si="9"/>
        <v>-1.024</v>
      </c>
      <c r="R179" s="217">
        <f t="shared" si="9"/>
        <v>0</v>
      </c>
      <c r="S179" s="217">
        <f t="shared" si="9"/>
        <v>0</v>
      </c>
      <c r="T179" s="203"/>
      <c r="U179" s="203"/>
    </row>
    <row r="180" spans="2:23" x14ac:dyDescent="0.25">
      <c r="G180" s="91"/>
    </row>
    <row r="181" spans="2:23" x14ac:dyDescent="0.25">
      <c r="B181" s="82" t="s">
        <v>109</v>
      </c>
      <c r="C181" s="82"/>
      <c r="D181" s="65"/>
      <c r="E181" s="65"/>
      <c r="F181" s="65"/>
      <c r="G181" s="138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</row>
    <row r="182" spans="2:23" x14ac:dyDescent="0.25">
      <c r="G182" s="91"/>
    </row>
    <row r="183" spans="2:23" x14ac:dyDescent="0.25">
      <c r="E183" t="s">
        <v>415</v>
      </c>
      <c r="G183" s="46" t="s">
        <v>588</v>
      </c>
      <c r="H183" s="263">
        <f t="array" ref="H183">SUM(IF(ISERROR(H19:W181), 1))</f>
        <v>0</v>
      </c>
    </row>
    <row r="185" spans="2:23" x14ac:dyDescent="0.25">
      <c r="B185" s="82" t="s">
        <v>110</v>
      </c>
      <c r="C185" s="82"/>
      <c r="D185" s="82"/>
      <c r="E185" s="82"/>
      <c r="F185" s="82"/>
      <c r="G185" s="82"/>
      <c r="H185" s="82"/>
      <c r="I185" s="82"/>
      <c r="J185" s="82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82"/>
      <c r="V185" s="82"/>
      <c r="W185" s="82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93" width="24.5703125" hidden="1" customWidth="1"/>
    <col min="294" max="16384" width="8.5703125" hidden="1"/>
  </cols>
  <sheetData>
    <row r="1" spans="1:23" s="8" customFormat="1" x14ac:dyDescent="0.25">
      <c r="A1" s="8" t="str">
        <f ca="1">MID(CELL("filename",A1),FIND("]",CELL("filename",A1))+1,255)</f>
        <v>Customer contributions</v>
      </c>
    </row>
    <row r="2" spans="1:23" s="8" customFormat="1" x14ac:dyDescent="0.25">
      <c r="A2" s="8" t="str">
        <f>Cover!D21&amp;" - "&amp;Cover!D23</f>
        <v>SP Distribution - One</v>
      </c>
    </row>
    <row r="3" spans="1:2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3" x14ac:dyDescent="0.25">
      <c r="A4" s="194" t="str">
        <f>H70 &amp; IF(H70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3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W5" s="1" t="s">
        <v>93</v>
      </c>
    </row>
    <row r="7" spans="1:2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</row>
    <row r="9" spans="1:23" x14ac:dyDescent="0.25">
      <c r="C9" s="73" t="s">
        <v>793</v>
      </c>
    </row>
    <row r="10" spans="1:23" x14ac:dyDescent="0.25">
      <c r="C10" s="73" t="s">
        <v>794</v>
      </c>
    </row>
    <row r="12" spans="1:23" x14ac:dyDescent="0.25">
      <c r="B12" s="82" t="s">
        <v>232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</row>
    <row r="14" spans="1:23" x14ac:dyDescent="0.25">
      <c r="C14" s="73" t="s">
        <v>425</v>
      </c>
    </row>
    <row r="16" spans="1:23" x14ac:dyDescent="0.25">
      <c r="C16" s="5" t="str">
        <f ca="1">INDEX('Version control'!$H$36:$H$62,MATCH($A$1,'Version control'!$F$36:$F$62,0),1)&amp;"-A: Network use factors"</f>
        <v>Section 506-A: Network use factors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8" spans="5:23" x14ac:dyDescent="0.25">
      <c r="E18" s="52" t="s">
        <v>153</v>
      </c>
      <c r="H18" s="19"/>
      <c r="I18" s="19" t="s">
        <v>359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W18" s="19" t="s">
        <v>701</v>
      </c>
    </row>
    <row r="19" spans="5:23" x14ac:dyDescent="0.25">
      <c r="E19" s="73" t="s">
        <v>191</v>
      </c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W19" s="19"/>
    </row>
    <row r="20" spans="5:23" x14ac:dyDescent="0.25">
      <c r="F20" s="11"/>
      <c r="G20" s="11"/>
      <c r="H20" s="10"/>
      <c r="I20" s="10"/>
      <c r="J20" s="101" t="s">
        <v>83</v>
      </c>
      <c r="K20" s="101" t="s">
        <v>82</v>
      </c>
      <c r="L20" s="101" t="s">
        <v>81</v>
      </c>
      <c r="M20" s="101" t="s">
        <v>80</v>
      </c>
      <c r="O20" s="19"/>
      <c r="P20" s="19"/>
      <c r="Q20" s="19"/>
      <c r="R20" s="19"/>
      <c r="S20" s="19"/>
      <c r="T20" s="19"/>
      <c r="U20" s="19"/>
    </row>
    <row r="21" spans="5:23" x14ac:dyDescent="0.25">
      <c r="F21" s="12" t="s">
        <v>925</v>
      </c>
      <c r="G21" s="91" t="s">
        <v>132</v>
      </c>
      <c r="H21" s="19"/>
      <c r="I21" s="19"/>
      <c r="J21" s="116">
        <f t="array" ref="J21:M36">TRANSPOSE('Fixed inputs'!J53:Y56)</f>
        <v>0</v>
      </c>
      <c r="K21" s="116">
        <v>0</v>
      </c>
      <c r="L21" s="116">
        <v>0</v>
      </c>
      <c r="M21" s="116">
        <v>1</v>
      </c>
      <c r="S21" s="19"/>
      <c r="T21" s="19"/>
      <c r="U21" s="19"/>
      <c r="W21" s="19"/>
    </row>
    <row r="22" spans="5:23" x14ac:dyDescent="0.25">
      <c r="F22" s="12" t="s">
        <v>926</v>
      </c>
      <c r="G22" s="91" t="s">
        <v>132</v>
      </c>
      <c r="H22" s="19"/>
      <c r="I22" s="19"/>
      <c r="J22" s="116">
        <v>0</v>
      </c>
      <c r="K22" s="116">
        <v>0</v>
      </c>
      <c r="L22" s="116">
        <v>0</v>
      </c>
      <c r="M22" s="116">
        <v>1</v>
      </c>
      <c r="S22" s="19"/>
      <c r="T22" s="19"/>
      <c r="U22" s="19"/>
      <c r="W22" s="19"/>
    </row>
    <row r="23" spans="5:23" x14ac:dyDescent="0.25">
      <c r="F23" s="12" t="s">
        <v>927</v>
      </c>
      <c r="G23" s="91" t="s">
        <v>132</v>
      </c>
      <c r="H23" s="19"/>
      <c r="I23" s="19"/>
      <c r="J23" s="116">
        <v>0</v>
      </c>
      <c r="K23" s="116">
        <v>0</v>
      </c>
      <c r="L23" s="116">
        <v>0</v>
      </c>
      <c r="M23" s="116">
        <v>1</v>
      </c>
      <c r="S23" s="19"/>
      <c r="T23" s="19"/>
      <c r="U23" s="19"/>
      <c r="W23" s="19"/>
    </row>
    <row r="24" spans="5:23" x14ac:dyDescent="0.25">
      <c r="F24" s="12" t="s">
        <v>928</v>
      </c>
      <c r="G24" s="91" t="s">
        <v>132</v>
      </c>
      <c r="H24" s="19"/>
      <c r="I24" s="19"/>
      <c r="J24" s="116">
        <v>0</v>
      </c>
      <c r="K24" s="116">
        <v>0</v>
      </c>
      <c r="L24" s="116">
        <v>0</v>
      </c>
      <c r="M24" s="116">
        <v>1</v>
      </c>
      <c r="S24" s="19"/>
      <c r="T24" s="19"/>
      <c r="U24" s="19"/>
      <c r="W24" s="19"/>
    </row>
    <row r="25" spans="5:23" x14ac:dyDescent="0.25">
      <c r="F25" s="12" t="s">
        <v>929</v>
      </c>
      <c r="G25" s="91" t="s">
        <v>132</v>
      </c>
      <c r="H25" s="19"/>
      <c r="I25" s="19"/>
      <c r="J25" s="116">
        <v>0</v>
      </c>
      <c r="K25" s="116">
        <v>0</v>
      </c>
      <c r="L25" s="116">
        <v>0</v>
      </c>
      <c r="M25" s="116">
        <v>1</v>
      </c>
      <c r="S25" s="19"/>
      <c r="T25" s="19"/>
      <c r="U25" s="19"/>
      <c r="W25" s="19"/>
    </row>
    <row r="26" spans="5:23" x14ac:dyDescent="0.25">
      <c r="F26" s="12" t="s">
        <v>930</v>
      </c>
      <c r="G26" s="91" t="s">
        <v>132</v>
      </c>
      <c r="H26" s="19"/>
      <c r="I26" s="19"/>
      <c r="J26" s="116">
        <v>0</v>
      </c>
      <c r="K26" s="116">
        <v>0</v>
      </c>
      <c r="L26" s="116">
        <v>1</v>
      </c>
      <c r="M26" s="116">
        <v>0</v>
      </c>
      <c r="S26" s="19"/>
      <c r="T26" s="19"/>
      <c r="U26" s="19"/>
      <c r="W26" s="19"/>
    </row>
    <row r="27" spans="5:23" x14ac:dyDescent="0.25">
      <c r="F27" s="12" t="s">
        <v>931</v>
      </c>
      <c r="G27" s="91" t="s">
        <v>132</v>
      </c>
      <c r="H27" s="19"/>
      <c r="I27" s="19"/>
      <c r="J27" s="116">
        <v>0</v>
      </c>
      <c r="K27" s="116">
        <v>1</v>
      </c>
      <c r="L27" s="116">
        <v>0</v>
      </c>
      <c r="M27" s="116">
        <v>0</v>
      </c>
      <c r="S27" s="19"/>
      <c r="T27" s="19"/>
      <c r="U27" s="19"/>
      <c r="W27" s="19"/>
    </row>
    <row r="28" spans="5:23" x14ac:dyDescent="0.25">
      <c r="F28" s="12" t="s">
        <v>932</v>
      </c>
      <c r="G28" s="91" t="s">
        <v>132</v>
      </c>
      <c r="H28" s="19"/>
      <c r="I28" s="19"/>
      <c r="J28" s="116">
        <v>0</v>
      </c>
      <c r="K28" s="116">
        <v>0</v>
      </c>
      <c r="L28" s="116">
        <v>0</v>
      </c>
      <c r="M28" s="116">
        <v>1</v>
      </c>
      <c r="S28" s="19"/>
      <c r="T28" s="19"/>
      <c r="U28" s="19"/>
      <c r="W28" s="19"/>
    </row>
    <row r="29" spans="5:23" x14ac:dyDescent="0.25">
      <c r="F29" s="12" t="s">
        <v>933</v>
      </c>
      <c r="G29" s="91" t="s">
        <v>132</v>
      </c>
      <c r="H29" s="19"/>
      <c r="I29" s="19"/>
      <c r="J29" s="116">
        <v>0</v>
      </c>
      <c r="K29" s="116">
        <v>0</v>
      </c>
      <c r="L29" s="116">
        <v>0</v>
      </c>
      <c r="M29" s="116">
        <v>1</v>
      </c>
      <c r="S29" s="19"/>
      <c r="T29" s="19"/>
      <c r="U29" s="19"/>
      <c r="W29" s="19"/>
    </row>
    <row r="30" spans="5:23" x14ac:dyDescent="0.25">
      <c r="F30" s="12" t="s">
        <v>934</v>
      </c>
      <c r="G30" s="91" t="s">
        <v>132</v>
      </c>
      <c r="H30" s="19"/>
      <c r="I30" s="19"/>
      <c r="J30" s="116">
        <v>0</v>
      </c>
      <c r="K30" s="116">
        <v>0</v>
      </c>
      <c r="L30" s="116">
        <v>1</v>
      </c>
      <c r="M30" s="116">
        <v>0</v>
      </c>
      <c r="S30" s="19"/>
      <c r="T30" s="19"/>
      <c r="U30" s="19"/>
      <c r="W30" s="19"/>
    </row>
    <row r="31" spans="5:23" x14ac:dyDescent="0.25">
      <c r="F31" s="12" t="s">
        <v>935</v>
      </c>
      <c r="G31" s="91" t="s">
        <v>132</v>
      </c>
      <c r="H31" s="19"/>
      <c r="I31" s="19"/>
      <c r="J31" s="116">
        <v>0</v>
      </c>
      <c r="K31" s="116">
        <v>0</v>
      </c>
      <c r="L31" s="116">
        <v>0</v>
      </c>
      <c r="M31" s="116">
        <v>1</v>
      </c>
      <c r="S31" s="19"/>
      <c r="T31" s="19"/>
      <c r="U31" s="19"/>
      <c r="W31" s="19"/>
    </row>
    <row r="32" spans="5:23" x14ac:dyDescent="0.25">
      <c r="F32" s="12" t="s">
        <v>936</v>
      </c>
      <c r="G32" s="91" t="s">
        <v>132</v>
      </c>
      <c r="H32" s="19"/>
      <c r="I32" s="19"/>
      <c r="J32" s="116">
        <v>0</v>
      </c>
      <c r="K32" s="116">
        <v>0</v>
      </c>
      <c r="L32" s="116">
        <v>0</v>
      </c>
      <c r="M32" s="116">
        <v>1</v>
      </c>
      <c r="S32" s="19"/>
      <c r="T32" s="19"/>
      <c r="U32" s="19"/>
      <c r="W32" s="19"/>
    </row>
    <row r="33" spans="3:23" x14ac:dyDescent="0.25">
      <c r="F33" s="12" t="s">
        <v>937</v>
      </c>
      <c r="G33" s="91" t="s">
        <v>132</v>
      </c>
      <c r="H33" s="19"/>
      <c r="I33" s="19"/>
      <c r="J33" s="116">
        <v>0</v>
      </c>
      <c r="K33" s="116">
        <v>0</v>
      </c>
      <c r="L33" s="116">
        <v>1</v>
      </c>
      <c r="M33" s="116">
        <v>0</v>
      </c>
      <c r="S33" s="19"/>
      <c r="T33" s="19"/>
      <c r="U33" s="19"/>
      <c r="W33" s="19"/>
    </row>
    <row r="34" spans="3:23" x14ac:dyDescent="0.25">
      <c r="F34" s="12" t="s">
        <v>938</v>
      </c>
      <c r="G34" s="91" t="s">
        <v>132</v>
      </c>
      <c r="H34" s="19"/>
      <c r="I34" s="19"/>
      <c r="J34" s="116">
        <v>0</v>
      </c>
      <c r="K34" s="116">
        <v>0</v>
      </c>
      <c r="L34" s="116">
        <v>1</v>
      </c>
      <c r="M34" s="116">
        <v>0</v>
      </c>
      <c r="S34" s="19"/>
      <c r="T34" s="19"/>
      <c r="U34" s="19"/>
      <c r="W34" s="19"/>
    </row>
    <row r="35" spans="3:23" x14ac:dyDescent="0.25">
      <c r="F35" s="12" t="s">
        <v>939</v>
      </c>
      <c r="G35" s="91" t="s">
        <v>132</v>
      </c>
      <c r="H35" s="19"/>
      <c r="I35" s="19"/>
      <c r="J35" s="116">
        <v>0</v>
      </c>
      <c r="K35" s="116">
        <v>1</v>
      </c>
      <c r="L35" s="116">
        <v>0</v>
      </c>
      <c r="M35" s="116">
        <v>0</v>
      </c>
      <c r="S35" s="19"/>
      <c r="T35" s="19"/>
      <c r="U35" s="19"/>
      <c r="W35" s="19"/>
    </row>
    <row r="36" spans="3:23" x14ac:dyDescent="0.25">
      <c r="F36" s="13" t="s">
        <v>940</v>
      </c>
      <c r="G36" s="109" t="s">
        <v>132</v>
      </c>
      <c r="H36" s="83"/>
      <c r="I36" s="83"/>
      <c r="J36" s="117">
        <v>0</v>
      </c>
      <c r="K36" s="117">
        <v>1</v>
      </c>
      <c r="L36" s="117">
        <v>0</v>
      </c>
      <c r="M36" s="117">
        <v>0</v>
      </c>
      <c r="S36" s="19"/>
      <c r="T36" s="19"/>
      <c r="U36" s="19"/>
      <c r="W36" s="19"/>
    </row>
    <row r="37" spans="3:23" x14ac:dyDescent="0.25"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W37" s="19"/>
    </row>
    <row r="38" spans="3:23" x14ac:dyDescent="0.25">
      <c r="C38" s="5" t="str">
        <f ca="1">INDEX('Version control'!$H$36:$H$62,MATCH($A$1,'Version control'!$F$36:$F$62,0),1)&amp;"-B: Customer contributions"</f>
        <v>Section 506-B: Customer contributions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40" spans="3:23" x14ac:dyDescent="0.25">
      <c r="E40" s="52" t="s">
        <v>520</v>
      </c>
      <c r="H40" s="19"/>
      <c r="I40" s="19" t="s">
        <v>359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W40" s="19" t="s">
        <v>711</v>
      </c>
    </row>
    <row r="41" spans="3:23" x14ac:dyDescent="0.25">
      <c r="E41" s="73" t="s">
        <v>192</v>
      </c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W41" s="19"/>
    </row>
    <row r="42" spans="3:23" x14ac:dyDescent="0.25">
      <c r="E42" s="52"/>
      <c r="F42" s="29"/>
      <c r="G42" s="29"/>
      <c r="H42" s="29"/>
      <c r="I42" s="29"/>
      <c r="J42" s="29" t="s">
        <v>267</v>
      </c>
      <c r="K42" s="336" t="s">
        <v>43</v>
      </c>
      <c r="L42" s="336" t="s">
        <v>44</v>
      </c>
      <c r="M42" s="336" t="s">
        <v>45</v>
      </c>
      <c r="N42" s="336" t="s">
        <v>46</v>
      </c>
      <c r="O42" s="336" t="s">
        <v>47</v>
      </c>
      <c r="P42" s="336" t="s">
        <v>51</v>
      </c>
      <c r="Q42" s="336" t="s">
        <v>48</v>
      </c>
      <c r="R42" s="336" t="s">
        <v>49</v>
      </c>
      <c r="S42" s="336" t="s">
        <v>50</v>
      </c>
      <c r="T42" s="336" t="s">
        <v>124</v>
      </c>
      <c r="U42" s="336" t="s">
        <v>123</v>
      </c>
    </row>
    <row r="43" spans="3:23" x14ac:dyDescent="0.25">
      <c r="F43" s="12" t="s">
        <v>80</v>
      </c>
      <c r="G43" s="92" t="s">
        <v>94</v>
      </c>
      <c r="H43" s="19"/>
      <c r="I43" s="19"/>
      <c r="J43" s="71"/>
      <c r="K43" s="71"/>
      <c r="L43" s="120">
        <f>'Inputs by network level'!L29</f>
        <v>0</v>
      </c>
      <c r="M43" s="120">
        <f>'Inputs by network level'!M29</f>
        <v>0</v>
      </c>
      <c r="N43" s="120">
        <f>'Inputs by network level'!N29</f>
        <v>0</v>
      </c>
      <c r="O43" s="120">
        <f>'Inputs by network level'!O29</f>
        <v>0</v>
      </c>
      <c r="P43" s="120">
        <f>'Inputs by network level'!P29</f>
        <v>0</v>
      </c>
      <c r="Q43" s="120">
        <f>'Inputs by network level'!Q29</f>
        <v>0.20065197841726601</v>
      </c>
      <c r="R43" s="120">
        <f>'Inputs by network level'!R29</f>
        <v>0.26968503937007898</v>
      </c>
      <c r="S43" s="120">
        <f>'Inputs by network level'!S29</f>
        <v>0.92371773930088197</v>
      </c>
      <c r="T43" s="71"/>
      <c r="U43" s="71"/>
      <c r="W43" s="19"/>
    </row>
    <row r="44" spans="3:23" x14ac:dyDescent="0.25">
      <c r="F44" s="12" t="s">
        <v>81</v>
      </c>
      <c r="G44" s="92" t="s">
        <v>94</v>
      </c>
      <c r="H44" s="19"/>
      <c r="I44" s="19"/>
      <c r="J44" s="71"/>
      <c r="K44" s="71"/>
      <c r="L44" s="120">
        <f>'Inputs by network level'!L30</f>
        <v>0</v>
      </c>
      <c r="M44" s="120">
        <f>'Inputs by network level'!M30</f>
        <v>0</v>
      </c>
      <c r="N44" s="120">
        <f>'Inputs by network level'!N30</f>
        <v>0</v>
      </c>
      <c r="O44" s="120">
        <f>'Inputs by network level'!O30</f>
        <v>0</v>
      </c>
      <c r="P44" s="120">
        <f>'Inputs by network level'!P30</f>
        <v>0</v>
      </c>
      <c r="Q44" s="120">
        <f>'Inputs by network level'!Q30</f>
        <v>0.20065197841726601</v>
      </c>
      <c r="R44" s="120">
        <f>'Inputs by network level'!R30</f>
        <v>0.26968503937007898</v>
      </c>
      <c r="S44" s="120">
        <f>'Inputs by network level'!S30</f>
        <v>0</v>
      </c>
      <c r="T44" s="71"/>
      <c r="U44" s="71"/>
      <c r="W44" s="19"/>
    </row>
    <row r="45" spans="3:23" x14ac:dyDescent="0.25">
      <c r="F45" s="12" t="s">
        <v>82</v>
      </c>
      <c r="G45" s="92" t="s">
        <v>94</v>
      </c>
      <c r="H45" s="19"/>
      <c r="I45" s="19"/>
      <c r="J45" s="71"/>
      <c r="K45" s="71"/>
      <c r="L45" s="120">
        <f>'Inputs by network level'!L31</f>
        <v>0</v>
      </c>
      <c r="M45" s="120">
        <f>'Inputs by network level'!M31</f>
        <v>0</v>
      </c>
      <c r="N45" s="120">
        <f>'Inputs by network level'!N31</f>
        <v>3.11004784688995E-2</v>
      </c>
      <c r="O45" s="120">
        <f>'Inputs by network level'!O31</f>
        <v>0.14212259371833799</v>
      </c>
      <c r="P45" s="120">
        <f>'Inputs by network level'!P31</f>
        <v>0</v>
      </c>
      <c r="Q45" s="120">
        <f>'Inputs by network level'!Q31</f>
        <v>0.45146695143884902</v>
      </c>
      <c r="R45" s="120">
        <f>'Inputs by network level'!R31</f>
        <v>0</v>
      </c>
      <c r="S45" s="120">
        <f>'Inputs by network level'!S31</f>
        <v>0</v>
      </c>
      <c r="T45" s="71"/>
      <c r="U45" s="71"/>
      <c r="W45" s="19"/>
    </row>
    <row r="46" spans="3:23" x14ac:dyDescent="0.25">
      <c r="F46" s="13" t="s">
        <v>83</v>
      </c>
      <c r="G46" s="34" t="s">
        <v>94</v>
      </c>
      <c r="H46" s="83"/>
      <c r="I46" s="83"/>
      <c r="J46" s="86"/>
      <c r="K46" s="86"/>
      <c r="L46" s="337">
        <f>'Inputs by network level'!L32</f>
        <v>0</v>
      </c>
      <c r="M46" s="337">
        <f>'Inputs by network level'!M32</f>
        <v>0</v>
      </c>
      <c r="N46" s="337">
        <f>'Inputs by network level'!N32</f>
        <v>3.11004784688995E-2</v>
      </c>
      <c r="O46" s="337">
        <f>'Inputs by network level'!O32</f>
        <v>0.14212259371833799</v>
      </c>
      <c r="P46" s="337">
        <f>'Inputs by network level'!P32</f>
        <v>0</v>
      </c>
      <c r="Q46" s="337">
        <f>'Inputs by network level'!Q32</f>
        <v>0</v>
      </c>
      <c r="R46" s="337">
        <f>'Inputs by network level'!R32</f>
        <v>0</v>
      </c>
      <c r="S46" s="337">
        <f>'Inputs by network level'!S32</f>
        <v>0</v>
      </c>
      <c r="T46" s="86"/>
      <c r="U46" s="86"/>
      <c r="W46" s="19"/>
    </row>
    <row r="47" spans="3:23" x14ac:dyDescent="0.25">
      <c r="G47" s="91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W47" s="19"/>
    </row>
    <row r="48" spans="3:23" x14ac:dyDescent="0.25">
      <c r="E48" s="52" t="s">
        <v>521</v>
      </c>
      <c r="H48" s="91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W48" s="19"/>
    </row>
    <row r="49" spans="5:23" x14ac:dyDescent="0.25">
      <c r="E49" s="73" t="s">
        <v>193</v>
      </c>
      <c r="H49" s="91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W49" s="19"/>
    </row>
    <row r="50" spans="5:23" x14ac:dyDescent="0.25">
      <c r="F50" s="29"/>
      <c r="G50" s="29"/>
      <c r="H50" s="139"/>
      <c r="I50" s="29"/>
      <c r="J50" s="29" t="s">
        <v>267</v>
      </c>
      <c r="K50" s="336" t="s">
        <v>43</v>
      </c>
      <c r="L50" s="336" t="s">
        <v>44</v>
      </c>
      <c r="M50" s="336" t="s">
        <v>45</v>
      </c>
      <c r="N50" s="336" t="s">
        <v>46</v>
      </c>
      <c r="O50" s="336" t="s">
        <v>47</v>
      </c>
      <c r="P50" s="336" t="s">
        <v>51</v>
      </c>
      <c r="Q50" s="336" t="s">
        <v>48</v>
      </c>
      <c r="R50" s="336" t="s">
        <v>49</v>
      </c>
      <c r="S50" s="336" t="s">
        <v>50</v>
      </c>
      <c r="T50" s="336" t="s">
        <v>124</v>
      </c>
      <c r="U50" s="336" t="s">
        <v>123</v>
      </c>
      <c r="W50" s="19"/>
    </row>
    <row r="51" spans="5:23" x14ac:dyDescent="0.25">
      <c r="F51" s="12" t="s">
        <v>925</v>
      </c>
      <c r="G51" s="12"/>
      <c r="H51" s="92" t="s">
        <v>94</v>
      </c>
      <c r="J51" s="317"/>
      <c r="K51" s="317"/>
      <c r="L51" s="15">
        <f t="shared" ref="L51:S66" si="0">$M21 * L$43 + $L21 * L$44 + $K21 * L$45 + $J21 * L$46</f>
        <v>0</v>
      </c>
      <c r="M51" s="15">
        <f t="shared" si="0"/>
        <v>0</v>
      </c>
      <c r="N51" s="15">
        <f t="shared" si="0"/>
        <v>0</v>
      </c>
      <c r="O51" s="15">
        <f t="shared" si="0"/>
        <v>0</v>
      </c>
      <c r="P51" s="15">
        <f t="shared" si="0"/>
        <v>0</v>
      </c>
      <c r="Q51" s="15">
        <f t="shared" si="0"/>
        <v>0.20065197841726601</v>
      </c>
      <c r="R51" s="15">
        <f t="shared" si="0"/>
        <v>0.26968503937007898</v>
      </c>
      <c r="S51" s="15">
        <f t="shared" si="0"/>
        <v>0.92371773930088197</v>
      </c>
      <c r="T51" s="317"/>
      <c r="U51" s="317"/>
    </row>
    <row r="52" spans="5:23" x14ac:dyDescent="0.25">
      <c r="F52" s="12" t="s">
        <v>926</v>
      </c>
      <c r="G52" s="12"/>
      <c r="H52" s="92" t="s">
        <v>94</v>
      </c>
      <c r="J52" s="317"/>
      <c r="K52" s="317"/>
      <c r="L52" s="15">
        <f t="shared" si="0"/>
        <v>0</v>
      </c>
      <c r="M52" s="15">
        <f t="shared" si="0"/>
        <v>0</v>
      </c>
      <c r="N52" s="15">
        <f t="shared" si="0"/>
        <v>0</v>
      </c>
      <c r="O52" s="15">
        <f t="shared" si="0"/>
        <v>0</v>
      </c>
      <c r="P52" s="15">
        <f t="shared" si="0"/>
        <v>0</v>
      </c>
      <c r="Q52" s="15">
        <f t="shared" si="0"/>
        <v>0.20065197841726601</v>
      </c>
      <c r="R52" s="15">
        <f t="shared" si="0"/>
        <v>0.26968503937007898</v>
      </c>
      <c r="S52" s="15">
        <f t="shared" si="0"/>
        <v>0.92371773930088197</v>
      </c>
      <c r="T52" s="317"/>
      <c r="U52" s="317"/>
    </row>
    <row r="53" spans="5:23" x14ac:dyDescent="0.25">
      <c r="F53" s="12" t="s">
        <v>927</v>
      </c>
      <c r="G53" s="12"/>
      <c r="H53" s="92" t="s">
        <v>94</v>
      </c>
      <c r="J53" s="317"/>
      <c r="K53" s="317"/>
      <c r="L53" s="15">
        <f t="shared" si="0"/>
        <v>0</v>
      </c>
      <c r="M53" s="15">
        <f t="shared" si="0"/>
        <v>0</v>
      </c>
      <c r="N53" s="15">
        <f t="shared" si="0"/>
        <v>0</v>
      </c>
      <c r="O53" s="15">
        <f t="shared" si="0"/>
        <v>0</v>
      </c>
      <c r="P53" s="15">
        <f t="shared" si="0"/>
        <v>0</v>
      </c>
      <c r="Q53" s="15">
        <f t="shared" si="0"/>
        <v>0.20065197841726601</v>
      </c>
      <c r="R53" s="15">
        <f t="shared" si="0"/>
        <v>0.26968503937007898</v>
      </c>
      <c r="S53" s="15">
        <f t="shared" si="0"/>
        <v>0.92371773930088197</v>
      </c>
      <c r="T53" s="317"/>
      <c r="U53" s="317"/>
    </row>
    <row r="54" spans="5:23" x14ac:dyDescent="0.25">
      <c r="F54" s="12" t="s">
        <v>928</v>
      </c>
      <c r="G54" s="12"/>
      <c r="H54" s="92" t="s">
        <v>94</v>
      </c>
      <c r="J54" s="317"/>
      <c r="K54" s="317"/>
      <c r="L54" s="15">
        <f t="shared" si="0"/>
        <v>0</v>
      </c>
      <c r="M54" s="15">
        <f t="shared" si="0"/>
        <v>0</v>
      </c>
      <c r="N54" s="15">
        <f t="shared" si="0"/>
        <v>0</v>
      </c>
      <c r="O54" s="15">
        <f t="shared" si="0"/>
        <v>0</v>
      </c>
      <c r="P54" s="15">
        <f t="shared" si="0"/>
        <v>0</v>
      </c>
      <c r="Q54" s="15">
        <f t="shared" si="0"/>
        <v>0.20065197841726601</v>
      </c>
      <c r="R54" s="15">
        <f t="shared" si="0"/>
        <v>0.26968503937007898</v>
      </c>
      <c r="S54" s="15">
        <f t="shared" si="0"/>
        <v>0.92371773930088197</v>
      </c>
      <c r="T54" s="317"/>
      <c r="U54" s="317"/>
    </row>
    <row r="55" spans="5:23" x14ac:dyDescent="0.25">
      <c r="F55" s="12" t="s">
        <v>929</v>
      </c>
      <c r="G55" s="12"/>
      <c r="H55" s="92" t="s">
        <v>94</v>
      </c>
      <c r="J55" s="317"/>
      <c r="K55" s="317"/>
      <c r="L55" s="15">
        <f t="shared" si="0"/>
        <v>0</v>
      </c>
      <c r="M55" s="15">
        <f t="shared" si="0"/>
        <v>0</v>
      </c>
      <c r="N55" s="15">
        <f t="shared" si="0"/>
        <v>0</v>
      </c>
      <c r="O55" s="15">
        <f t="shared" si="0"/>
        <v>0</v>
      </c>
      <c r="P55" s="15">
        <f t="shared" si="0"/>
        <v>0</v>
      </c>
      <c r="Q55" s="15">
        <f t="shared" si="0"/>
        <v>0.20065197841726601</v>
      </c>
      <c r="R55" s="15">
        <f t="shared" si="0"/>
        <v>0.26968503937007898</v>
      </c>
      <c r="S55" s="15">
        <f t="shared" si="0"/>
        <v>0.92371773930088197</v>
      </c>
      <c r="T55" s="317"/>
      <c r="U55" s="317"/>
    </row>
    <row r="56" spans="5:23" x14ac:dyDescent="0.25">
      <c r="F56" s="12" t="s">
        <v>930</v>
      </c>
      <c r="G56" s="12"/>
      <c r="H56" s="92" t="s">
        <v>94</v>
      </c>
      <c r="J56" s="317"/>
      <c r="K56" s="317"/>
      <c r="L56" s="15">
        <f t="shared" si="0"/>
        <v>0</v>
      </c>
      <c r="M56" s="15">
        <f t="shared" si="0"/>
        <v>0</v>
      </c>
      <c r="N56" s="15">
        <f t="shared" si="0"/>
        <v>0</v>
      </c>
      <c r="O56" s="15">
        <f t="shared" si="0"/>
        <v>0</v>
      </c>
      <c r="P56" s="15">
        <f t="shared" si="0"/>
        <v>0</v>
      </c>
      <c r="Q56" s="15">
        <f t="shared" si="0"/>
        <v>0.20065197841726601</v>
      </c>
      <c r="R56" s="15">
        <f t="shared" si="0"/>
        <v>0.26968503937007898</v>
      </c>
      <c r="S56" s="15">
        <f t="shared" si="0"/>
        <v>0</v>
      </c>
      <c r="T56" s="317"/>
      <c r="U56" s="317"/>
    </row>
    <row r="57" spans="5:23" x14ac:dyDescent="0.25">
      <c r="F57" s="12" t="s">
        <v>931</v>
      </c>
      <c r="G57" s="12"/>
      <c r="H57" s="92" t="s">
        <v>94</v>
      </c>
      <c r="J57" s="317"/>
      <c r="K57" s="317"/>
      <c r="L57" s="15">
        <f t="shared" si="0"/>
        <v>0</v>
      </c>
      <c r="M57" s="15">
        <f t="shared" si="0"/>
        <v>0</v>
      </c>
      <c r="N57" s="15">
        <f t="shared" si="0"/>
        <v>3.11004784688995E-2</v>
      </c>
      <c r="O57" s="15">
        <f t="shared" si="0"/>
        <v>0.14212259371833799</v>
      </c>
      <c r="P57" s="15">
        <f t="shared" si="0"/>
        <v>0</v>
      </c>
      <c r="Q57" s="15">
        <f t="shared" si="0"/>
        <v>0.45146695143884902</v>
      </c>
      <c r="R57" s="15">
        <f t="shared" si="0"/>
        <v>0</v>
      </c>
      <c r="S57" s="15">
        <f t="shared" si="0"/>
        <v>0</v>
      </c>
      <c r="T57" s="317"/>
      <c r="U57" s="317"/>
    </row>
    <row r="58" spans="5:23" x14ac:dyDescent="0.25">
      <c r="F58" s="12" t="s">
        <v>932</v>
      </c>
      <c r="G58" s="12"/>
      <c r="H58" s="92" t="s">
        <v>94</v>
      </c>
      <c r="J58" s="317"/>
      <c r="K58" s="317"/>
      <c r="L58" s="15">
        <f t="shared" si="0"/>
        <v>0</v>
      </c>
      <c r="M58" s="15">
        <f t="shared" si="0"/>
        <v>0</v>
      </c>
      <c r="N58" s="15">
        <f t="shared" si="0"/>
        <v>0</v>
      </c>
      <c r="O58" s="15">
        <f t="shared" si="0"/>
        <v>0</v>
      </c>
      <c r="P58" s="15">
        <f t="shared" si="0"/>
        <v>0</v>
      </c>
      <c r="Q58" s="15">
        <f t="shared" si="0"/>
        <v>0.20065197841726601</v>
      </c>
      <c r="R58" s="15">
        <f t="shared" si="0"/>
        <v>0.26968503937007898</v>
      </c>
      <c r="S58" s="15">
        <f t="shared" si="0"/>
        <v>0.92371773930088197</v>
      </c>
      <c r="T58" s="317"/>
      <c r="U58" s="317"/>
    </row>
    <row r="59" spans="5:23" x14ac:dyDescent="0.25">
      <c r="F59" s="12" t="s">
        <v>933</v>
      </c>
      <c r="G59" s="12"/>
      <c r="H59" s="92" t="s">
        <v>94</v>
      </c>
      <c r="J59" s="317"/>
      <c r="K59" s="317"/>
      <c r="L59" s="15">
        <f t="shared" si="0"/>
        <v>0</v>
      </c>
      <c r="M59" s="15">
        <f t="shared" si="0"/>
        <v>0</v>
      </c>
      <c r="N59" s="15">
        <f t="shared" si="0"/>
        <v>0</v>
      </c>
      <c r="O59" s="15">
        <f t="shared" si="0"/>
        <v>0</v>
      </c>
      <c r="P59" s="15">
        <f t="shared" si="0"/>
        <v>0</v>
      </c>
      <c r="Q59" s="15">
        <f t="shared" si="0"/>
        <v>0.20065197841726601</v>
      </c>
      <c r="R59" s="15">
        <f t="shared" si="0"/>
        <v>0.26968503937007898</v>
      </c>
      <c r="S59" s="15">
        <f t="shared" si="0"/>
        <v>0.92371773930088197</v>
      </c>
      <c r="T59" s="317"/>
      <c r="U59" s="317"/>
    </row>
    <row r="60" spans="5:23" x14ac:dyDescent="0.25">
      <c r="F60" s="12" t="s">
        <v>934</v>
      </c>
      <c r="G60" s="12"/>
      <c r="H60" s="92" t="s">
        <v>94</v>
      </c>
      <c r="J60" s="317"/>
      <c r="K60" s="317"/>
      <c r="L60" s="15">
        <f t="shared" si="0"/>
        <v>0</v>
      </c>
      <c r="M60" s="15">
        <f t="shared" si="0"/>
        <v>0</v>
      </c>
      <c r="N60" s="15">
        <f t="shared" si="0"/>
        <v>0</v>
      </c>
      <c r="O60" s="15">
        <f t="shared" si="0"/>
        <v>0</v>
      </c>
      <c r="P60" s="15">
        <f t="shared" si="0"/>
        <v>0</v>
      </c>
      <c r="Q60" s="15">
        <f t="shared" si="0"/>
        <v>0.20065197841726601</v>
      </c>
      <c r="R60" s="15">
        <f t="shared" si="0"/>
        <v>0.26968503937007898</v>
      </c>
      <c r="S60" s="15">
        <f t="shared" si="0"/>
        <v>0</v>
      </c>
      <c r="T60" s="317"/>
      <c r="U60" s="317"/>
    </row>
    <row r="61" spans="5:23" x14ac:dyDescent="0.25">
      <c r="F61" s="12" t="s">
        <v>935</v>
      </c>
      <c r="G61" s="12"/>
      <c r="H61" s="92" t="s">
        <v>94</v>
      </c>
      <c r="J61" s="317"/>
      <c r="K61" s="317"/>
      <c r="L61" s="15">
        <f t="shared" si="0"/>
        <v>0</v>
      </c>
      <c r="M61" s="15">
        <f t="shared" si="0"/>
        <v>0</v>
      </c>
      <c r="N61" s="15">
        <f t="shared" si="0"/>
        <v>0</v>
      </c>
      <c r="O61" s="15">
        <f t="shared" si="0"/>
        <v>0</v>
      </c>
      <c r="P61" s="15">
        <f t="shared" si="0"/>
        <v>0</v>
      </c>
      <c r="Q61" s="15">
        <f t="shared" si="0"/>
        <v>0.20065197841726601</v>
      </c>
      <c r="R61" s="15">
        <f t="shared" si="0"/>
        <v>0.26968503937007898</v>
      </c>
      <c r="S61" s="15">
        <f t="shared" si="0"/>
        <v>0.92371773930088197</v>
      </c>
      <c r="T61" s="317"/>
      <c r="U61" s="317"/>
    </row>
    <row r="62" spans="5:23" x14ac:dyDescent="0.25">
      <c r="F62" s="12" t="s">
        <v>936</v>
      </c>
      <c r="G62" s="12"/>
      <c r="H62" s="92" t="s">
        <v>94</v>
      </c>
      <c r="J62" s="317"/>
      <c r="K62" s="317"/>
      <c r="L62" s="15">
        <f t="shared" si="0"/>
        <v>0</v>
      </c>
      <c r="M62" s="15">
        <f t="shared" si="0"/>
        <v>0</v>
      </c>
      <c r="N62" s="15">
        <f t="shared" si="0"/>
        <v>0</v>
      </c>
      <c r="O62" s="15">
        <f t="shared" si="0"/>
        <v>0</v>
      </c>
      <c r="P62" s="15">
        <f t="shared" si="0"/>
        <v>0</v>
      </c>
      <c r="Q62" s="15">
        <f t="shared" si="0"/>
        <v>0.20065197841726601</v>
      </c>
      <c r="R62" s="15">
        <f t="shared" si="0"/>
        <v>0.26968503937007898</v>
      </c>
      <c r="S62" s="15">
        <f t="shared" si="0"/>
        <v>0.92371773930088197</v>
      </c>
      <c r="T62" s="317"/>
      <c r="U62" s="317"/>
    </row>
    <row r="63" spans="5:23" x14ac:dyDescent="0.25">
      <c r="F63" s="12" t="s">
        <v>937</v>
      </c>
      <c r="G63" s="12"/>
      <c r="H63" s="92" t="s">
        <v>94</v>
      </c>
      <c r="J63" s="317"/>
      <c r="K63" s="317"/>
      <c r="L63" s="15">
        <f t="shared" si="0"/>
        <v>0</v>
      </c>
      <c r="M63" s="15">
        <f t="shared" si="0"/>
        <v>0</v>
      </c>
      <c r="N63" s="15">
        <f t="shared" si="0"/>
        <v>0</v>
      </c>
      <c r="O63" s="15">
        <f t="shared" si="0"/>
        <v>0</v>
      </c>
      <c r="P63" s="15">
        <f t="shared" si="0"/>
        <v>0</v>
      </c>
      <c r="Q63" s="15">
        <f t="shared" si="0"/>
        <v>0.20065197841726601</v>
      </c>
      <c r="R63" s="15">
        <f t="shared" si="0"/>
        <v>0.26968503937007898</v>
      </c>
      <c r="S63" s="15">
        <f t="shared" si="0"/>
        <v>0</v>
      </c>
      <c r="T63" s="317"/>
      <c r="U63" s="317"/>
    </row>
    <row r="64" spans="5:23" x14ac:dyDescent="0.25">
      <c r="F64" s="12" t="s">
        <v>938</v>
      </c>
      <c r="G64" s="12"/>
      <c r="H64" s="92" t="s">
        <v>94</v>
      </c>
      <c r="J64" s="317"/>
      <c r="K64" s="317"/>
      <c r="L64" s="15">
        <f t="shared" si="0"/>
        <v>0</v>
      </c>
      <c r="M64" s="15">
        <f t="shared" si="0"/>
        <v>0</v>
      </c>
      <c r="N64" s="15">
        <f t="shared" si="0"/>
        <v>0</v>
      </c>
      <c r="O64" s="15">
        <f t="shared" si="0"/>
        <v>0</v>
      </c>
      <c r="P64" s="15">
        <f t="shared" si="0"/>
        <v>0</v>
      </c>
      <c r="Q64" s="15">
        <f t="shared" si="0"/>
        <v>0.20065197841726601</v>
      </c>
      <c r="R64" s="15">
        <f t="shared" si="0"/>
        <v>0.26968503937007898</v>
      </c>
      <c r="S64" s="15">
        <f t="shared" si="0"/>
        <v>0</v>
      </c>
      <c r="T64" s="317"/>
      <c r="U64" s="317"/>
    </row>
    <row r="65" spans="2:23" x14ac:dyDescent="0.25">
      <c r="F65" s="12" t="s">
        <v>939</v>
      </c>
      <c r="G65" s="12"/>
      <c r="H65" s="92" t="s">
        <v>94</v>
      </c>
      <c r="J65" s="317"/>
      <c r="K65" s="317"/>
      <c r="L65" s="15">
        <f t="shared" si="0"/>
        <v>0</v>
      </c>
      <c r="M65" s="15">
        <f t="shared" si="0"/>
        <v>0</v>
      </c>
      <c r="N65" s="15">
        <f t="shared" si="0"/>
        <v>3.11004784688995E-2</v>
      </c>
      <c r="O65" s="15">
        <f t="shared" si="0"/>
        <v>0.14212259371833799</v>
      </c>
      <c r="P65" s="15">
        <f t="shared" si="0"/>
        <v>0</v>
      </c>
      <c r="Q65" s="15">
        <f t="shared" si="0"/>
        <v>0.45146695143884902</v>
      </c>
      <c r="R65" s="15">
        <f t="shared" si="0"/>
        <v>0</v>
      </c>
      <c r="S65" s="15">
        <f t="shared" si="0"/>
        <v>0</v>
      </c>
      <c r="T65" s="317"/>
      <c r="U65" s="317"/>
    </row>
    <row r="66" spans="2:23" x14ac:dyDescent="0.25">
      <c r="F66" s="13" t="s">
        <v>940</v>
      </c>
      <c r="G66" s="13"/>
      <c r="H66" s="34" t="s">
        <v>94</v>
      </c>
      <c r="I66" s="17"/>
      <c r="J66" s="36"/>
      <c r="K66" s="36"/>
      <c r="L66" s="16">
        <f t="shared" si="0"/>
        <v>0</v>
      </c>
      <c r="M66" s="16">
        <f t="shared" si="0"/>
        <v>0</v>
      </c>
      <c r="N66" s="16">
        <f t="shared" si="0"/>
        <v>3.11004784688995E-2</v>
      </c>
      <c r="O66" s="16">
        <f t="shared" si="0"/>
        <v>0.14212259371833799</v>
      </c>
      <c r="P66" s="16">
        <f t="shared" si="0"/>
        <v>0</v>
      </c>
      <c r="Q66" s="16">
        <f t="shared" si="0"/>
        <v>0.45146695143884902</v>
      </c>
      <c r="R66" s="16">
        <f t="shared" si="0"/>
        <v>0</v>
      </c>
      <c r="S66" s="16">
        <f t="shared" si="0"/>
        <v>0</v>
      </c>
      <c r="T66" s="36"/>
      <c r="U66" s="36"/>
    </row>
    <row r="68" spans="2:23" x14ac:dyDescent="0.25">
      <c r="B68" s="82" t="s">
        <v>109</v>
      </c>
      <c r="C68" s="65"/>
      <c r="D68" s="64"/>
      <c r="E68" s="64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70" spans="2:23" x14ac:dyDescent="0.25">
      <c r="E70" t="s">
        <v>415</v>
      </c>
      <c r="G70" s="46" t="s">
        <v>588</v>
      </c>
      <c r="H70" s="263">
        <f t="array" ref="H70">SUM(IF(ISERROR(H21:U66), 1))</f>
        <v>0</v>
      </c>
    </row>
    <row r="72" spans="2:23" x14ac:dyDescent="0.25">
      <c r="B72" s="82" t="s">
        <v>110</v>
      </c>
      <c r="C72" s="65"/>
      <c r="D72" s="64"/>
      <c r="E72" s="64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0" activePane="bottomRight" state="frozen"/>
      <selection pane="topRight"/>
      <selection pane="bottomLeft"/>
      <selection pane="bottomRight" activeCell="L88" sqref="L88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8" customFormat="1" x14ac:dyDescent="0.25">
      <c r="A1" s="8" t="str">
        <f ca="1">MID(CELL("filename",A1),FIND("]",CELL("filename",A1))+1,255)</f>
        <v>Volume adjustments</v>
      </c>
    </row>
    <row r="2" spans="1:43" s="8" customFormat="1" x14ac:dyDescent="0.25">
      <c r="A2" s="8" t="str">
        <f>Cover!D21&amp;" - "&amp;Cover!D23</f>
        <v>SP Distribution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H693 &amp; IF(H693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Q7" s="82"/>
    </row>
    <row r="9" spans="1:43" x14ac:dyDescent="0.25">
      <c r="C9" s="73" t="s">
        <v>335</v>
      </c>
    </row>
    <row r="10" spans="1:43" x14ac:dyDescent="0.25">
      <c r="C10" s="73" t="s">
        <v>577</v>
      </c>
    </row>
    <row r="11" spans="1:43" x14ac:dyDescent="0.25">
      <c r="C11" s="73" t="s">
        <v>578</v>
      </c>
    </row>
    <row r="13" spans="1:43" x14ac:dyDescent="0.25">
      <c r="B13" s="82" t="s">
        <v>148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Q13" s="82"/>
    </row>
    <row r="14" spans="1:43" x14ac:dyDescent="0.25">
      <c r="C14" s="73"/>
    </row>
    <row r="15" spans="1:43" x14ac:dyDescent="0.25">
      <c r="C15" s="5" t="str">
        <f ca="1">INDEX('Version control'!$H$36:$H$62,MATCH($A$1,'Version control'!$F$36:$F$62,0),1)&amp;"-A: LDNO discounts"</f>
        <v>Section 507-A: LDNO discounts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Q15" s="82"/>
    </row>
    <row r="16" spans="1:43" x14ac:dyDescent="0.25">
      <c r="C16" s="73"/>
    </row>
    <row r="17" spans="4:43" x14ac:dyDescent="0.25">
      <c r="D17" s="73" t="s">
        <v>337</v>
      </c>
    </row>
    <row r="18" spans="4:43" x14ac:dyDescent="0.25">
      <c r="D18" s="73" t="s">
        <v>338</v>
      </c>
    </row>
    <row r="19" spans="4:43" x14ac:dyDescent="0.25">
      <c r="D19" s="73"/>
    </row>
    <row r="20" spans="4:43" x14ac:dyDescent="0.25">
      <c r="E20" s="76" t="s">
        <v>156</v>
      </c>
      <c r="I20" t="s">
        <v>359</v>
      </c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</row>
    <row r="21" spans="4:43" x14ac:dyDescent="0.25">
      <c r="E21" s="73" t="s">
        <v>336</v>
      </c>
      <c r="AA21" t="s">
        <v>712</v>
      </c>
    </row>
    <row r="22" spans="4:43" x14ac:dyDescent="0.25">
      <c r="F22" s="80" t="s">
        <v>66</v>
      </c>
      <c r="G22" s="80" t="s">
        <v>94</v>
      </c>
      <c r="H22" s="114">
        <f>'General inputs'!H33</f>
        <v>0.40624392198207837</v>
      </c>
      <c r="AQ22" s="19"/>
    </row>
    <row r="23" spans="4:43" x14ac:dyDescent="0.25">
      <c r="F23" t="s">
        <v>67</v>
      </c>
      <c r="G23" t="s">
        <v>94</v>
      </c>
      <c r="H23" s="120">
        <f>'General inputs'!H34</f>
        <v>0.60699642425647604</v>
      </c>
      <c r="AQ23" s="19"/>
    </row>
    <row r="24" spans="4:43" x14ac:dyDescent="0.25">
      <c r="F24" t="s">
        <v>68</v>
      </c>
      <c r="G24" t="s">
        <v>94</v>
      </c>
      <c r="H24" s="120">
        <f>'General inputs'!H35</f>
        <v>0.33703941159411843</v>
      </c>
      <c r="AQ24" s="19"/>
    </row>
    <row r="25" spans="4:43" x14ac:dyDescent="0.25">
      <c r="F25" s="17" t="s">
        <v>69</v>
      </c>
      <c r="G25" s="17" t="s">
        <v>94</v>
      </c>
      <c r="H25" s="337">
        <f>'General inputs'!H36</f>
        <v>0.23936190643348279</v>
      </c>
      <c r="AQ25" s="19"/>
    </row>
    <row r="27" spans="4:43" x14ac:dyDescent="0.25">
      <c r="E27" s="52" t="s">
        <v>157</v>
      </c>
      <c r="I27" t="s">
        <v>359</v>
      </c>
      <c r="AA27" t="s">
        <v>915</v>
      </c>
      <c r="AQ27" s="19"/>
    </row>
    <row r="28" spans="4:43" x14ac:dyDescent="0.25">
      <c r="E28" s="73" t="s">
        <v>575</v>
      </c>
    </row>
    <row r="29" spans="4:43" x14ac:dyDescent="0.25">
      <c r="E29" s="73" t="s">
        <v>576</v>
      </c>
    </row>
    <row r="30" spans="4:43" x14ac:dyDescent="0.25">
      <c r="F30" s="80" t="s">
        <v>66</v>
      </c>
      <c r="G30" s="80" t="s">
        <v>132</v>
      </c>
      <c r="H30" s="80"/>
      <c r="I30" s="80"/>
      <c r="J30" s="250">
        <f>'Fixed inputs'!J46</f>
        <v>1</v>
      </c>
      <c r="K30" s="250">
        <f>'Fixed inputs'!K46</f>
        <v>1</v>
      </c>
      <c r="L30" s="250">
        <f>'Fixed inputs'!L46</f>
        <v>1</v>
      </c>
      <c r="M30" s="250">
        <f>'Fixed inputs'!M46</f>
        <v>1</v>
      </c>
      <c r="N30" s="250">
        <f>'Fixed inputs'!N46</f>
        <v>1</v>
      </c>
      <c r="O30" s="250">
        <f>'Fixed inputs'!O46</f>
        <v>0</v>
      </c>
      <c r="P30" s="250">
        <f>'Fixed inputs'!P46</f>
        <v>0</v>
      </c>
      <c r="Q30" s="250">
        <f>'Fixed inputs'!Q46</f>
        <v>1</v>
      </c>
      <c r="R30" s="250">
        <f>'Fixed inputs'!R46</f>
        <v>0</v>
      </c>
      <c r="S30" s="250">
        <f>'Fixed inputs'!S46</f>
        <v>0</v>
      </c>
      <c r="T30" s="250">
        <f>'Fixed inputs'!T46</f>
        <v>0</v>
      </c>
      <c r="U30" s="250">
        <f>'Fixed inputs'!U46</f>
        <v>0</v>
      </c>
      <c r="V30" s="250">
        <f>'Fixed inputs'!V46</f>
        <v>0</v>
      </c>
      <c r="W30" s="250">
        <f>'Fixed inputs'!W46</f>
        <v>0</v>
      </c>
      <c r="X30" s="250">
        <f>'Fixed inputs'!X46</f>
        <v>0</v>
      </c>
      <c r="Y30" s="250">
        <f>'Fixed inputs'!Y46</f>
        <v>0</v>
      </c>
      <c r="AQ30" s="19"/>
    </row>
    <row r="31" spans="4:43" x14ac:dyDescent="0.25">
      <c r="F31" t="s">
        <v>67</v>
      </c>
      <c r="G31" t="s">
        <v>132</v>
      </c>
      <c r="J31" s="116">
        <f>'Fixed inputs'!J47</f>
        <v>1</v>
      </c>
      <c r="K31" s="116">
        <f>'Fixed inputs'!K47</f>
        <v>1</v>
      </c>
      <c r="L31" s="116">
        <f>'Fixed inputs'!L47</f>
        <v>1</v>
      </c>
      <c r="M31" s="116">
        <f>'Fixed inputs'!M47</f>
        <v>1</v>
      </c>
      <c r="N31" s="116">
        <f>'Fixed inputs'!N47</f>
        <v>1</v>
      </c>
      <c r="O31" s="116">
        <f>'Fixed inputs'!O47</f>
        <v>0</v>
      </c>
      <c r="P31" s="116">
        <f>'Fixed inputs'!P47</f>
        <v>0</v>
      </c>
      <c r="Q31" s="116">
        <f>'Fixed inputs'!Q47</f>
        <v>1</v>
      </c>
      <c r="R31" s="116">
        <f>'Fixed inputs'!R47</f>
        <v>0</v>
      </c>
      <c r="S31" s="116">
        <f>'Fixed inputs'!S47</f>
        <v>0</v>
      </c>
      <c r="T31" s="116">
        <f>'Fixed inputs'!T47</f>
        <v>0</v>
      </c>
      <c r="U31" s="116">
        <f>'Fixed inputs'!U47</f>
        <v>0</v>
      </c>
      <c r="V31" s="116">
        <f>'Fixed inputs'!V47</f>
        <v>0</v>
      </c>
      <c r="W31" s="116">
        <f>'Fixed inputs'!W47</f>
        <v>0</v>
      </c>
      <c r="X31" s="116">
        <f>'Fixed inputs'!X47</f>
        <v>0</v>
      </c>
      <c r="Y31" s="116">
        <f>'Fixed inputs'!Y47</f>
        <v>0</v>
      </c>
      <c r="AQ31" s="19"/>
    </row>
    <row r="32" spans="4:43" x14ac:dyDescent="0.25">
      <c r="F32" t="s">
        <v>68</v>
      </c>
      <c r="G32" t="s">
        <v>132</v>
      </c>
      <c r="J32" s="116">
        <f>'Fixed inputs'!J48</f>
        <v>0</v>
      </c>
      <c r="K32" s="116">
        <f>'Fixed inputs'!K48</f>
        <v>0</v>
      </c>
      <c r="L32" s="116">
        <f>'Fixed inputs'!L48</f>
        <v>0</v>
      </c>
      <c r="M32" s="116">
        <f>'Fixed inputs'!M48</f>
        <v>0</v>
      </c>
      <c r="N32" s="116">
        <f>'Fixed inputs'!N48</f>
        <v>0</v>
      </c>
      <c r="O32" s="116">
        <f>'Fixed inputs'!O48</f>
        <v>1</v>
      </c>
      <c r="P32" s="116">
        <f>'Fixed inputs'!P48</f>
        <v>0</v>
      </c>
      <c r="Q32" s="116">
        <f>'Fixed inputs'!Q48</f>
        <v>0</v>
      </c>
      <c r="R32" s="116">
        <f>'Fixed inputs'!R48</f>
        <v>0</v>
      </c>
      <c r="S32" s="116">
        <f>'Fixed inputs'!S48</f>
        <v>0</v>
      </c>
      <c r="T32" s="116">
        <f>'Fixed inputs'!T48</f>
        <v>0</v>
      </c>
      <c r="U32" s="116">
        <f>'Fixed inputs'!U48</f>
        <v>0</v>
      </c>
      <c r="V32" s="116">
        <f>'Fixed inputs'!V48</f>
        <v>0</v>
      </c>
      <c r="W32" s="116">
        <f>'Fixed inputs'!W48</f>
        <v>0</v>
      </c>
      <c r="X32" s="116">
        <f>'Fixed inputs'!X48</f>
        <v>0</v>
      </c>
      <c r="Y32" s="116">
        <f>'Fixed inputs'!Y48</f>
        <v>0</v>
      </c>
      <c r="AQ32" s="19"/>
    </row>
    <row r="33" spans="4:43" x14ac:dyDescent="0.25">
      <c r="F33" s="17" t="s">
        <v>69</v>
      </c>
      <c r="G33" s="17" t="s">
        <v>132</v>
      </c>
      <c r="H33" s="17"/>
      <c r="I33" s="17"/>
      <c r="J33" s="117">
        <f>'Fixed inputs'!J49</f>
        <v>0</v>
      </c>
      <c r="K33" s="117">
        <f>'Fixed inputs'!K49</f>
        <v>0</v>
      </c>
      <c r="L33" s="117">
        <f>'Fixed inputs'!L49</f>
        <v>0</v>
      </c>
      <c r="M33" s="117">
        <f>'Fixed inputs'!M49</f>
        <v>0</v>
      </c>
      <c r="N33" s="117">
        <f>'Fixed inputs'!N49</f>
        <v>0</v>
      </c>
      <c r="O33" s="117">
        <f>'Fixed inputs'!O49</f>
        <v>0</v>
      </c>
      <c r="P33" s="117">
        <f>'Fixed inputs'!P49</f>
        <v>1</v>
      </c>
      <c r="Q33" s="117">
        <f>'Fixed inputs'!Q49</f>
        <v>0</v>
      </c>
      <c r="R33" s="117">
        <f>'Fixed inputs'!R49</f>
        <v>0</v>
      </c>
      <c r="S33" s="117">
        <f>'Fixed inputs'!S49</f>
        <v>0</v>
      </c>
      <c r="T33" s="117">
        <f>'Fixed inputs'!T49</f>
        <v>0</v>
      </c>
      <c r="U33" s="117">
        <f>'Fixed inputs'!U49</f>
        <v>0</v>
      </c>
      <c r="V33" s="117">
        <f>'Fixed inputs'!V49</f>
        <v>0</v>
      </c>
      <c r="W33" s="117">
        <f>'Fixed inputs'!W49</f>
        <v>0</v>
      </c>
      <c r="X33" s="117">
        <f>'Fixed inputs'!X49</f>
        <v>0</v>
      </c>
      <c r="Y33" s="117">
        <f>'Fixed inputs'!Y49</f>
        <v>0</v>
      </c>
      <c r="AQ33" s="19"/>
    </row>
    <row r="34" spans="4:43" x14ac:dyDescent="0.25">
      <c r="F34" s="12" t="s">
        <v>149</v>
      </c>
      <c r="G34" s="12" t="s">
        <v>94</v>
      </c>
      <c r="J34" s="338">
        <f t="shared" ref="J34:Y34" si="0">J30 * $H$22</f>
        <v>0.40624392198207837</v>
      </c>
      <c r="K34" s="338">
        <f t="shared" si="0"/>
        <v>0.40624392198207837</v>
      </c>
      <c r="L34" s="338">
        <f t="shared" si="0"/>
        <v>0.40624392198207837</v>
      </c>
      <c r="M34" s="338">
        <f t="shared" si="0"/>
        <v>0.40624392198207837</v>
      </c>
      <c r="N34" s="338">
        <f t="shared" si="0"/>
        <v>0.40624392198207837</v>
      </c>
      <c r="O34" s="338">
        <f t="shared" si="0"/>
        <v>0</v>
      </c>
      <c r="P34" s="338">
        <f t="shared" si="0"/>
        <v>0</v>
      </c>
      <c r="Q34" s="338">
        <f t="shared" si="0"/>
        <v>0.40624392198207837</v>
      </c>
      <c r="R34" s="338">
        <f t="shared" si="0"/>
        <v>0</v>
      </c>
      <c r="S34" s="338">
        <f t="shared" si="0"/>
        <v>0</v>
      </c>
      <c r="T34" s="338">
        <f t="shared" si="0"/>
        <v>0</v>
      </c>
      <c r="U34" s="338">
        <f t="shared" si="0"/>
        <v>0</v>
      </c>
      <c r="V34" s="338">
        <f t="shared" si="0"/>
        <v>0</v>
      </c>
      <c r="W34" s="338">
        <f t="shared" si="0"/>
        <v>0</v>
      </c>
      <c r="X34" s="338">
        <f t="shared" si="0"/>
        <v>0</v>
      </c>
      <c r="Y34" s="338">
        <f t="shared" si="0"/>
        <v>0</v>
      </c>
      <c r="AQ34" s="19"/>
    </row>
    <row r="35" spans="4:43" x14ac:dyDescent="0.25">
      <c r="F35" s="12" t="s">
        <v>150</v>
      </c>
      <c r="G35" s="12" t="s">
        <v>94</v>
      </c>
      <c r="J35" s="338">
        <f t="shared" ref="J35:Y35" si="1">SUMPRODUCT(J31:J33,$H$23:$H$25)</f>
        <v>0.60699642425647604</v>
      </c>
      <c r="K35" s="338">
        <f t="shared" si="1"/>
        <v>0.60699642425647604</v>
      </c>
      <c r="L35" s="338">
        <f t="shared" si="1"/>
        <v>0.60699642425647604</v>
      </c>
      <c r="M35" s="338">
        <f t="shared" si="1"/>
        <v>0.60699642425647604</v>
      </c>
      <c r="N35" s="338">
        <f t="shared" si="1"/>
        <v>0.60699642425647604</v>
      </c>
      <c r="O35" s="338">
        <f t="shared" si="1"/>
        <v>0.33703941159411843</v>
      </c>
      <c r="P35" s="338">
        <f t="shared" si="1"/>
        <v>0.23936190643348279</v>
      </c>
      <c r="Q35" s="338">
        <f t="shared" si="1"/>
        <v>0.60699642425647604</v>
      </c>
      <c r="R35" s="338">
        <f t="shared" si="1"/>
        <v>0</v>
      </c>
      <c r="S35" s="338">
        <f t="shared" si="1"/>
        <v>0</v>
      </c>
      <c r="T35" s="338">
        <f t="shared" si="1"/>
        <v>0</v>
      </c>
      <c r="U35" s="338">
        <f t="shared" si="1"/>
        <v>0</v>
      </c>
      <c r="V35" s="338">
        <f t="shared" si="1"/>
        <v>0</v>
      </c>
      <c r="W35" s="338">
        <f t="shared" si="1"/>
        <v>0</v>
      </c>
      <c r="X35" s="338">
        <f t="shared" si="1"/>
        <v>0</v>
      </c>
      <c r="Y35" s="338">
        <f t="shared" si="1"/>
        <v>0</v>
      </c>
      <c r="AQ35" s="19"/>
    </row>
    <row r="36" spans="4:43" x14ac:dyDescent="0.25">
      <c r="D36" s="52"/>
      <c r="AQ36" s="19"/>
    </row>
    <row r="37" spans="4:43" x14ac:dyDescent="0.25">
      <c r="E37" s="52" t="s">
        <v>172</v>
      </c>
      <c r="I37" t="s">
        <v>359</v>
      </c>
      <c r="AA37" t="s">
        <v>915</v>
      </c>
      <c r="AQ37" s="19"/>
    </row>
    <row r="38" spans="4:43" x14ac:dyDescent="0.25">
      <c r="E38" s="73" t="s">
        <v>339</v>
      </c>
    </row>
    <row r="39" spans="4:43" x14ac:dyDescent="0.25">
      <c r="F39" s="12" t="s">
        <v>368</v>
      </c>
      <c r="G39" s="12" t="s">
        <v>174</v>
      </c>
      <c r="J39" s="339" t="b">
        <f>'Fixed inputs'!J105</f>
        <v>0</v>
      </c>
      <c r="K39" s="339" t="b">
        <f>'Fixed inputs'!K105</f>
        <v>0</v>
      </c>
      <c r="L39" s="339" t="b">
        <f>'Fixed inputs'!L105</f>
        <v>0</v>
      </c>
      <c r="M39" s="339" t="b">
        <f>'Fixed inputs'!M105</f>
        <v>0</v>
      </c>
      <c r="N39" s="339" t="b">
        <f>'Fixed inputs'!N105</f>
        <v>0</v>
      </c>
      <c r="O39" s="339" t="b">
        <f>'Fixed inputs'!O105</f>
        <v>0</v>
      </c>
      <c r="P39" s="339" t="b">
        <f>'Fixed inputs'!P105</f>
        <v>0</v>
      </c>
      <c r="Q39" s="339" t="b">
        <f>'Fixed inputs'!Q105</f>
        <v>0</v>
      </c>
      <c r="R39" s="339" t="b">
        <f>'Fixed inputs'!R105</f>
        <v>1</v>
      </c>
      <c r="S39" s="339" t="b">
        <f>'Fixed inputs'!S105</f>
        <v>1</v>
      </c>
      <c r="T39" s="339" t="b">
        <f>'Fixed inputs'!T105</f>
        <v>1</v>
      </c>
      <c r="U39" s="339" t="b">
        <f>'Fixed inputs'!U105</f>
        <v>1</v>
      </c>
      <c r="V39" s="339" t="b">
        <f>'Fixed inputs'!V105</f>
        <v>1</v>
      </c>
      <c r="W39" s="339" t="b">
        <f>'Fixed inputs'!W105</f>
        <v>1</v>
      </c>
      <c r="X39" s="339" t="b">
        <f>'Fixed inputs'!X105</f>
        <v>1</v>
      </c>
      <c r="Y39" s="339" t="b">
        <f>'Fixed inputs'!Y105</f>
        <v>1</v>
      </c>
      <c r="AQ39" s="19"/>
    </row>
    <row r="40" spans="4:43" x14ac:dyDescent="0.25">
      <c r="F40" s="12" t="s">
        <v>369</v>
      </c>
      <c r="G40" s="12" t="s">
        <v>174</v>
      </c>
      <c r="J40" s="339" t="b">
        <f>'Fixed inputs'!J109</f>
        <v>0</v>
      </c>
      <c r="K40" s="339" t="b">
        <f>'Fixed inputs'!K109</f>
        <v>0</v>
      </c>
      <c r="L40" s="339" t="b">
        <f>'Fixed inputs'!L109</f>
        <v>0</v>
      </c>
      <c r="M40" s="339" t="b">
        <f>'Fixed inputs'!M109</f>
        <v>0</v>
      </c>
      <c r="N40" s="339" t="b">
        <f>'Fixed inputs'!N109</f>
        <v>0</v>
      </c>
      <c r="O40" s="339" t="b">
        <f>'Fixed inputs'!O109</f>
        <v>0</v>
      </c>
      <c r="P40" s="339" t="b">
        <f>'Fixed inputs'!P109</f>
        <v>0</v>
      </c>
      <c r="Q40" s="339" t="b">
        <f>'Fixed inputs'!Q109</f>
        <v>0</v>
      </c>
      <c r="R40" s="339" t="b">
        <f>'Fixed inputs'!R109</f>
        <v>1</v>
      </c>
      <c r="S40" s="339" t="b">
        <f>'Fixed inputs'!S109</f>
        <v>1</v>
      </c>
      <c r="T40" s="339" t="b">
        <f>'Fixed inputs'!T109</f>
        <v>1</v>
      </c>
      <c r="U40" s="339" t="b">
        <f>'Fixed inputs'!U109</f>
        <v>1</v>
      </c>
      <c r="V40" s="339" t="b">
        <f>'Fixed inputs'!V109</f>
        <v>1</v>
      </c>
      <c r="W40" s="339" t="b">
        <f>'Fixed inputs'!W109</f>
        <v>1</v>
      </c>
      <c r="X40" s="339" t="b">
        <f>'Fixed inputs'!X109</f>
        <v>1</v>
      </c>
      <c r="Y40" s="339" t="b">
        <f>'Fixed inputs'!Y109</f>
        <v>1</v>
      </c>
      <c r="AQ40" s="19"/>
    </row>
    <row r="41" spans="4:43" x14ac:dyDescent="0.25">
      <c r="F41" s="12" t="s">
        <v>370</v>
      </c>
      <c r="G41" s="12" t="s">
        <v>174</v>
      </c>
      <c r="J41" s="339" t="b">
        <f>'Fixed inputs'!J113</f>
        <v>0</v>
      </c>
      <c r="K41" s="339" t="b">
        <f>'Fixed inputs'!K113</f>
        <v>0</v>
      </c>
      <c r="L41" s="339" t="b">
        <f>'Fixed inputs'!L113</f>
        <v>0</v>
      </c>
      <c r="M41" s="339" t="b">
        <f>'Fixed inputs'!M113</f>
        <v>0</v>
      </c>
      <c r="N41" s="339" t="b">
        <f>'Fixed inputs'!N113</f>
        <v>0</v>
      </c>
      <c r="O41" s="339" t="b">
        <f>'Fixed inputs'!O113</f>
        <v>0</v>
      </c>
      <c r="P41" s="339" t="b">
        <f>'Fixed inputs'!P113</f>
        <v>0</v>
      </c>
      <c r="Q41" s="339" t="b">
        <f>'Fixed inputs'!Q113</f>
        <v>0</v>
      </c>
      <c r="R41" s="339" t="b">
        <f>'Fixed inputs'!R113</f>
        <v>1</v>
      </c>
      <c r="S41" s="339" t="b">
        <f>'Fixed inputs'!S113</f>
        <v>1</v>
      </c>
      <c r="T41" s="339" t="b">
        <f>'Fixed inputs'!T113</f>
        <v>1</v>
      </c>
      <c r="U41" s="339" t="b">
        <f>'Fixed inputs'!U113</f>
        <v>1</v>
      </c>
      <c r="V41" s="339" t="b">
        <f>'Fixed inputs'!V113</f>
        <v>1</v>
      </c>
      <c r="W41" s="339" t="b">
        <f>'Fixed inputs'!W113</f>
        <v>1</v>
      </c>
      <c r="X41" s="339" t="b">
        <f>'Fixed inputs'!X113</f>
        <v>1</v>
      </c>
      <c r="Y41" s="339" t="b">
        <f>'Fixed inputs'!Y113</f>
        <v>1</v>
      </c>
      <c r="AQ41" s="19"/>
    </row>
    <row r="42" spans="4:43" x14ac:dyDescent="0.25">
      <c r="F42" s="12" t="s">
        <v>371</v>
      </c>
      <c r="G42" s="12" t="s">
        <v>174</v>
      </c>
      <c r="J42" s="339" t="b">
        <f>'Fixed inputs'!J117</f>
        <v>0</v>
      </c>
      <c r="K42" s="339" t="b">
        <f>'Fixed inputs'!K117</f>
        <v>0</v>
      </c>
      <c r="L42" s="339" t="b">
        <f>'Fixed inputs'!L117</f>
        <v>0</v>
      </c>
      <c r="M42" s="339" t="b">
        <f>'Fixed inputs'!M117</f>
        <v>0</v>
      </c>
      <c r="N42" s="339" t="b">
        <f>'Fixed inputs'!N117</f>
        <v>0</v>
      </c>
      <c r="O42" s="339" t="b">
        <f>'Fixed inputs'!O117</f>
        <v>0</v>
      </c>
      <c r="P42" s="339" t="b">
        <f>'Fixed inputs'!P117</f>
        <v>0</v>
      </c>
      <c r="Q42" s="339" t="b">
        <f>'Fixed inputs'!Q117</f>
        <v>0</v>
      </c>
      <c r="R42" s="339" t="b">
        <f>'Fixed inputs'!R117</f>
        <v>1</v>
      </c>
      <c r="S42" s="339" t="b">
        <f>'Fixed inputs'!S117</f>
        <v>1</v>
      </c>
      <c r="T42" s="339" t="b">
        <f>'Fixed inputs'!T117</f>
        <v>1</v>
      </c>
      <c r="U42" s="339" t="b">
        <f>'Fixed inputs'!U117</f>
        <v>1</v>
      </c>
      <c r="V42" s="339" t="b">
        <f>'Fixed inputs'!V117</f>
        <v>1</v>
      </c>
      <c r="W42" s="339" t="b">
        <f>'Fixed inputs'!W117</f>
        <v>1</v>
      </c>
      <c r="X42" s="339" t="b">
        <f>'Fixed inputs'!X117</f>
        <v>1</v>
      </c>
      <c r="Y42" s="339" t="b">
        <f>'Fixed inputs'!Y117</f>
        <v>1</v>
      </c>
      <c r="AQ42" s="19"/>
    </row>
    <row r="43" spans="4:43" x14ac:dyDescent="0.25">
      <c r="F43" s="12" t="s">
        <v>372</v>
      </c>
      <c r="G43" s="12" t="s">
        <v>174</v>
      </c>
      <c r="J43" s="339" t="b">
        <f>'Fixed inputs'!J121</f>
        <v>0</v>
      </c>
      <c r="K43" s="339" t="b">
        <f>'Fixed inputs'!K121</f>
        <v>0</v>
      </c>
      <c r="L43" s="339" t="b">
        <f>'Fixed inputs'!L121</f>
        <v>0</v>
      </c>
      <c r="M43" s="339" t="b">
        <f>'Fixed inputs'!M121</f>
        <v>0</v>
      </c>
      <c r="N43" s="339" t="b">
        <f>'Fixed inputs'!N121</f>
        <v>0</v>
      </c>
      <c r="O43" s="339" t="b">
        <f>'Fixed inputs'!O121</f>
        <v>0</v>
      </c>
      <c r="P43" s="339" t="b">
        <f>'Fixed inputs'!P121</f>
        <v>0</v>
      </c>
      <c r="Q43" s="339" t="b">
        <f>'Fixed inputs'!Q121</f>
        <v>0</v>
      </c>
      <c r="R43" s="339" t="b">
        <f>'Fixed inputs'!R121</f>
        <v>1</v>
      </c>
      <c r="S43" s="339" t="b">
        <f>'Fixed inputs'!S121</f>
        <v>1</v>
      </c>
      <c r="T43" s="339" t="b">
        <f>'Fixed inputs'!T121</f>
        <v>1</v>
      </c>
      <c r="U43" s="339" t="b">
        <f>'Fixed inputs'!U121</f>
        <v>1</v>
      </c>
      <c r="V43" s="339" t="b">
        <f>'Fixed inputs'!V121</f>
        <v>1</v>
      </c>
      <c r="W43" s="339" t="b">
        <f>'Fixed inputs'!W121</f>
        <v>1</v>
      </c>
      <c r="X43" s="339" t="b">
        <f>'Fixed inputs'!X121</f>
        <v>1</v>
      </c>
      <c r="Y43" s="339" t="b">
        <f>'Fixed inputs'!Y121</f>
        <v>1</v>
      </c>
      <c r="AQ43" s="19"/>
    </row>
    <row r="44" spans="4:43" x14ac:dyDescent="0.25">
      <c r="D44" s="52"/>
      <c r="AQ44" s="19"/>
    </row>
    <row r="45" spans="4:43" x14ac:dyDescent="0.25">
      <c r="F45" s="12" t="s">
        <v>175</v>
      </c>
      <c r="G45" s="12" t="s">
        <v>94</v>
      </c>
      <c r="J45" s="120">
        <f>'Fixed inputs'!J106</f>
        <v>0</v>
      </c>
      <c r="K45" s="120">
        <f>'Fixed inputs'!K106</f>
        <v>0</v>
      </c>
      <c r="L45" s="120">
        <f>'Fixed inputs'!L106</f>
        <v>0</v>
      </c>
      <c r="M45" s="120">
        <f>'Fixed inputs'!M106</f>
        <v>0</v>
      </c>
      <c r="N45" s="120">
        <f>'Fixed inputs'!N106</f>
        <v>0</v>
      </c>
      <c r="O45" s="120">
        <f>'Fixed inputs'!O106</f>
        <v>0</v>
      </c>
      <c r="P45" s="120">
        <f>'Fixed inputs'!P106</f>
        <v>0</v>
      </c>
      <c r="Q45" s="120">
        <f>'Fixed inputs'!Q106</f>
        <v>0</v>
      </c>
      <c r="R45" s="120">
        <f>'Fixed inputs'!R106</f>
        <v>0</v>
      </c>
      <c r="S45" s="120">
        <f>'Fixed inputs'!S106</f>
        <v>0</v>
      </c>
      <c r="T45" s="120">
        <f>'Fixed inputs'!T106</f>
        <v>0</v>
      </c>
      <c r="U45" s="120">
        <f>'Fixed inputs'!U106</f>
        <v>0</v>
      </c>
      <c r="V45" s="120">
        <f>'Fixed inputs'!V106</f>
        <v>0</v>
      </c>
      <c r="W45" s="120">
        <f>'Fixed inputs'!W106</f>
        <v>0</v>
      </c>
      <c r="X45" s="120">
        <f>'Fixed inputs'!X106</f>
        <v>0</v>
      </c>
      <c r="Y45" s="120">
        <f>'Fixed inputs'!Y106</f>
        <v>0</v>
      </c>
      <c r="AQ45" s="19"/>
    </row>
    <row r="46" spans="4:43" x14ac:dyDescent="0.25">
      <c r="F46" s="12" t="s">
        <v>176</v>
      </c>
      <c r="G46" s="12" t="s">
        <v>94</v>
      </c>
      <c r="J46" s="120">
        <f>'Fixed inputs'!J110</f>
        <v>0</v>
      </c>
      <c r="K46" s="120">
        <f>'Fixed inputs'!K110</f>
        <v>0</v>
      </c>
      <c r="L46" s="120">
        <f>'Fixed inputs'!L110</f>
        <v>0</v>
      </c>
      <c r="M46" s="120">
        <f>'Fixed inputs'!M110</f>
        <v>0</v>
      </c>
      <c r="N46" s="120">
        <f>'Fixed inputs'!N110</f>
        <v>0</v>
      </c>
      <c r="O46" s="120">
        <f>'Fixed inputs'!O110</f>
        <v>0</v>
      </c>
      <c r="P46" s="120">
        <f>'Fixed inputs'!P110</f>
        <v>0</v>
      </c>
      <c r="Q46" s="120">
        <f>'Fixed inputs'!Q110</f>
        <v>0</v>
      </c>
      <c r="R46" s="120">
        <f>'Fixed inputs'!R110</f>
        <v>1</v>
      </c>
      <c r="S46" s="120">
        <f>'Fixed inputs'!S110</f>
        <v>1</v>
      </c>
      <c r="T46" s="120">
        <f>'Fixed inputs'!T110</f>
        <v>1</v>
      </c>
      <c r="U46" s="120">
        <f>'Fixed inputs'!U110</f>
        <v>1</v>
      </c>
      <c r="V46" s="120">
        <f>'Fixed inputs'!V110</f>
        <v>1</v>
      </c>
      <c r="W46" s="120">
        <f>'Fixed inputs'!W110</f>
        <v>1</v>
      </c>
      <c r="X46" s="120">
        <f>'Fixed inputs'!X110</f>
        <v>1</v>
      </c>
      <c r="Y46" s="120">
        <f>'Fixed inputs'!Y110</f>
        <v>1</v>
      </c>
      <c r="AQ46" s="19"/>
    </row>
    <row r="47" spans="4:43" x14ac:dyDescent="0.25">
      <c r="F47" s="12" t="s">
        <v>180</v>
      </c>
      <c r="G47" s="12" t="s">
        <v>94</v>
      </c>
      <c r="J47" s="120">
        <f>'Fixed inputs'!J114</f>
        <v>0</v>
      </c>
      <c r="K47" s="120">
        <f>'Fixed inputs'!K114</f>
        <v>0</v>
      </c>
      <c r="L47" s="120">
        <f>'Fixed inputs'!L114</f>
        <v>0</v>
      </c>
      <c r="M47" s="120">
        <f>'Fixed inputs'!M114</f>
        <v>0</v>
      </c>
      <c r="N47" s="120">
        <f>'Fixed inputs'!N114</f>
        <v>0</v>
      </c>
      <c r="O47" s="120">
        <f>'Fixed inputs'!O114</f>
        <v>0</v>
      </c>
      <c r="P47" s="120">
        <f>'Fixed inputs'!P114</f>
        <v>0</v>
      </c>
      <c r="Q47" s="120">
        <f>'Fixed inputs'!Q114</f>
        <v>0</v>
      </c>
      <c r="R47" s="120">
        <f>'Fixed inputs'!R114</f>
        <v>0</v>
      </c>
      <c r="S47" s="120">
        <f>'Fixed inputs'!S114</f>
        <v>0</v>
      </c>
      <c r="T47" s="120">
        <f>'Fixed inputs'!T114</f>
        <v>0</v>
      </c>
      <c r="U47" s="120">
        <f>'Fixed inputs'!U114</f>
        <v>0</v>
      </c>
      <c r="V47" s="120">
        <f>'Fixed inputs'!V114</f>
        <v>0</v>
      </c>
      <c r="W47" s="120">
        <f>'Fixed inputs'!W114</f>
        <v>0</v>
      </c>
      <c r="X47" s="120">
        <f>'Fixed inputs'!X114</f>
        <v>0</v>
      </c>
      <c r="Y47" s="120">
        <f>'Fixed inputs'!Y114</f>
        <v>0</v>
      </c>
      <c r="AQ47" s="19"/>
    </row>
    <row r="48" spans="4:43" x14ac:dyDescent="0.25">
      <c r="F48" s="12" t="s">
        <v>181</v>
      </c>
      <c r="G48" s="12" t="s">
        <v>94</v>
      </c>
      <c r="J48" s="120">
        <f>'Fixed inputs'!J118</f>
        <v>0</v>
      </c>
      <c r="K48" s="120">
        <f>'Fixed inputs'!K118</f>
        <v>0</v>
      </c>
      <c r="L48" s="120">
        <f>'Fixed inputs'!L118</f>
        <v>0</v>
      </c>
      <c r="M48" s="120">
        <f>'Fixed inputs'!M118</f>
        <v>0</v>
      </c>
      <c r="N48" s="120">
        <f>'Fixed inputs'!N118</f>
        <v>0</v>
      </c>
      <c r="O48" s="120">
        <f>'Fixed inputs'!O118</f>
        <v>0</v>
      </c>
      <c r="P48" s="120">
        <f>'Fixed inputs'!P118</f>
        <v>0</v>
      </c>
      <c r="Q48" s="120">
        <f>'Fixed inputs'!Q118</f>
        <v>0</v>
      </c>
      <c r="R48" s="120">
        <f>'Fixed inputs'!R118</f>
        <v>0</v>
      </c>
      <c r="S48" s="120">
        <f>'Fixed inputs'!S118</f>
        <v>0</v>
      </c>
      <c r="T48" s="120">
        <f>'Fixed inputs'!T118</f>
        <v>0</v>
      </c>
      <c r="U48" s="120">
        <f>'Fixed inputs'!U118</f>
        <v>0</v>
      </c>
      <c r="V48" s="120">
        <f>'Fixed inputs'!V118</f>
        <v>0</v>
      </c>
      <c r="W48" s="120">
        <f>'Fixed inputs'!W118</f>
        <v>0</v>
      </c>
      <c r="X48" s="120">
        <f>'Fixed inputs'!X118</f>
        <v>0</v>
      </c>
      <c r="Y48" s="120">
        <f>'Fixed inputs'!Y118</f>
        <v>0</v>
      </c>
      <c r="AQ48" s="19"/>
    </row>
    <row r="49" spans="2:43" x14ac:dyDescent="0.25">
      <c r="F49" s="12" t="s">
        <v>182</v>
      </c>
      <c r="G49" s="12" t="s">
        <v>94</v>
      </c>
      <c r="J49" s="120">
        <f>'Fixed inputs'!J122</f>
        <v>0</v>
      </c>
      <c r="K49" s="120">
        <f>'Fixed inputs'!K122</f>
        <v>0</v>
      </c>
      <c r="L49" s="120">
        <f>'Fixed inputs'!L122</f>
        <v>0</v>
      </c>
      <c r="M49" s="120">
        <f>'Fixed inputs'!M122</f>
        <v>0</v>
      </c>
      <c r="N49" s="120">
        <f>'Fixed inputs'!N122</f>
        <v>0</v>
      </c>
      <c r="O49" s="120">
        <f>'Fixed inputs'!O122</f>
        <v>0</v>
      </c>
      <c r="P49" s="120">
        <f>'Fixed inputs'!P122</f>
        <v>0</v>
      </c>
      <c r="Q49" s="120">
        <f>'Fixed inputs'!Q122</f>
        <v>0</v>
      </c>
      <c r="R49" s="120">
        <f>'Fixed inputs'!R122</f>
        <v>0</v>
      </c>
      <c r="S49" s="120">
        <f>'Fixed inputs'!S122</f>
        <v>0</v>
      </c>
      <c r="T49" s="120">
        <f>'Fixed inputs'!T122</f>
        <v>0</v>
      </c>
      <c r="U49" s="120">
        <f>'Fixed inputs'!U122</f>
        <v>0</v>
      </c>
      <c r="V49" s="120">
        <f>'Fixed inputs'!V122</f>
        <v>0</v>
      </c>
      <c r="W49" s="120">
        <f>'Fixed inputs'!W122</f>
        <v>0</v>
      </c>
      <c r="X49" s="120">
        <f>'Fixed inputs'!X122</f>
        <v>0</v>
      </c>
      <c r="Y49" s="120">
        <f>'Fixed inputs'!Y122</f>
        <v>0</v>
      </c>
      <c r="AQ49" s="19"/>
    </row>
    <row r="50" spans="2:43" x14ac:dyDescent="0.25">
      <c r="C50" s="52"/>
      <c r="AQ50" s="19"/>
    </row>
    <row r="51" spans="2:43" x14ac:dyDescent="0.25">
      <c r="B51" s="82" t="s">
        <v>168</v>
      </c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Q51" s="82"/>
    </row>
    <row r="52" spans="2:43" x14ac:dyDescent="0.25">
      <c r="C52" s="52"/>
      <c r="AQ52" s="19"/>
    </row>
    <row r="53" spans="2:43" x14ac:dyDescent="0.25">
      <c r="C53" s="5" t="str">
        <f ca="1">INDEX('Version control'!$H$36:$H$62,MATCH($A$1,'Version control'!$F$36:$F$62,0),1)&amp;"-B: Aggregation of volumes"</f>
        <v>Section 507-B: Aggregation of volumes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Q53" s="19"/>
    </row>
    <row r="54" spans="2:43" x14ac:dyDescent="0.25">
      <c r="C54" s="73"/>
      <c r="AQ54" s="19"/>
    </row>
    <row r="55" spans="2:43" x14ac:dyDescent="0.25">
      <c r="C55" s="73"/>
      <c r="D55" s="73" t="s">
        <v>1071</v>
      </c>
      <c r="AQ55" s="19"/>
    </row>
    <row r="56" spans="2:43" x14ac:dyDescent="0.25">
      <c r="C56" s="73"/>
      <c r="AQ56" s="19"/>
    </row>
    <row r="57" spans="2:43" x14ac:dyDescent="0.25">
      <c r="C57" s="73"/>
      <c r="E57" s="52" t="s">
        <v>1042</v>
      </c>
      <c r="G57" s="91"/>
      <c r="I57" t="s">
        <v>359</v>
      </c>
      <c r="AQ57" s="19"/>
    </row>
    <row r="58" spans="2:43" x14ac:dyDescent="0.25">
      <c r="C58" s="73"/>
      <c r="E58" s="52"/>
      <c r="F58" s="38" t="s">
        <v>199</v>
      </c>
      <c r="G58" s="38" t="s">
        <v>120</v>
      </c>
      <c r="H58" s="80"/>
      <c r="I58" s="80"/>
      <c r="J58" s="201"/>
      <c r="K58" s="228">
        <f>'Inputs by customer type'!K26</f>
        <v>652.15353635409315</v>
      </c>
      <c r="L58" s="228">
        <f>'Inputs by customer type'!L26</f>
        <v>17.458206837827863</v>
      </c>
      <c r="M58" s="228">
        <f>'Inputs by customer type'!M26</f>
        <v>596.52194686342921</v>
      </c>
      <c r="N58" s="228">
        <f>'Inputs by customer type'!N26</f>
        <v>12.367051703011343</v>
      </c>
      <c r="O58" s="228">
        <f>'Inputs by customer type'!O26</f>
        <v>0.10809059005544162</v>
      </c>
      <c r="P58" s="228">
        <f>'Inputs by customer type'!P26</f>
        <v>303.00288221653483</v>
      </c>
      <c r="Q58" s="201"/>
      <c r="R58" s="228">
        <f>'Inputs by customer type'!R26</f>
        <v>931.43637713580506</v>
      </c>
      <c r="S58" s="228">
        <f>'Inputs by customer type'!S26</f>
        <v>11.571999999999999</v>
      </c>
      <c r="T58" s="228">
        <f>'Inputs by customer type'!T26</f>
        <v>5840.0349999999999</v>
      </c>
      <c r="U58" s="228">
        <f>'Inputs by customer type'!U26</f>
        <v>0</v>
      </c>
      <c r="V58" s="228">
        <f>'Inputs by customer type'!V26</f>
        <v>62.863</v>
      </c>
      <c r="W58" s="228">
        <f>'Inputs by customer type'!W26</f>
        <v>0</v>
      </c>
      <c r="X58" s="228">
        <f>'Inputs by customer type'!X26</f>
        <v>118436.88399999999</v>
      </c>
      <c r="Y58" s="228">
        <f>'Inputs by customer type'!Y26</f>
        <v>0</v>
      </c>
      <c r="AQ58" s="19"/>
    </row>
    <row r="59" spans="2:43" x14ac:dyDescent="0.25">
      <c r="E59" s="52"/>
      <c r="F59" s="92" t="s">
        <v>200</v>
      </c>
      <c r="G59" s="92" t="s">
        <v>120</v>
      </c>
      <c r="J59" s="202"/>
      <c r="K59" s="417">
        <f>'Inputs by customer type'!K27</f>
        <v>17758.957834530302</v>
      </c>
      <c r="L59" s="417">
        <f>'Inputs by customer type'!L27</f>
        <v>89.773682852368651</v>
      </c>
      <c r="M59" s="417">
        <f>'Inputs by customer type'!M27</f>
        <v>8872.4799352594691</v>
      </c>
      <c r="N59" s="417">
        <f>'Inputs by customer type'!N27</f>
        <v>59.332965344726659</v>
      </c>
      <c r="O59" s="417">
        <f>'Inputs by customer type'!O27</f>
        <v>0.50378073179162042</v>
      </c>
      <c r="P59" s="417">
        <f>'Inputs by customer type'!P27</f>
        <v>1405.3229265301227</v>
      </c>
      <c r="Q59" s="202"/>
      <c r="R59" s="417">
        <f>'Inputs by customer type'!R27</f>
        <v>5999.8136998466971</v>
      </c>
      <c r="S59" s="417">
        <f>'Inputs by customer type'!S27</f>
        <v>49.278999999999996</v>
      </c>
      <c r="T59" s="417">
        <f>'Inputs by customer type'!T27</f>
        <v>26458.666000000001</v>
      </c>
      <c r="U59" s="417">
        <f>'Inputs by customer type'!U27</f>
        <v>0</v>
      </c>
      <c r="V59" s="417">
        <f>'Inputs by customer type'!V27</f>
        <v>312.48</v>
      </c>
      <c r="W59" s="417">
        <f>'Inputs by customer type'!W27</f>
        <v>0</v>
      </c>
      <c r="X59" s="417">
        <f>'Inputs by customer type'!X27</f>
        <v>429284.261</v>
      </c>
      <c r="Y59" s="417">
        <f>'Inputs by customer type'!Y27</f>
        <v>0</v>
      </c>
      <c r="AQ59" s="19"/>
    </row>
    <row r="60" spans="2:43" x14ac:dyDescent="0.25">
      <c r="E60" s="52"/>
      <c r="F60" s="92" t="s">
        <v>201</v>
      </c>
      <c r="G60" s="92" t="s">
        <v>120</v>
      </c>
      <c r="J60" s="202"/>
      <c r="K60" s="417">
        <f>'Inputs by customer type'!K28</f>
        <v>171594.78624832345</v>
      </c>
      <c r="L60" s="417">
        <f>'Inputs by customer type'!L28</f>
        <v>72.20746328181572</v>
      </c>
      <c r="M60" s="417">
        <f>'Inputs by customer type'!M28</f>
        <v>35850.647959933427</v>
      </c>
      <c r="N60" s="417">
        <f>'Inputs by customer type'!N28</f>
        <v>52.629377636737694</v>
      </c>
      <c r="O60" s="417">
        <f>'Inputs by customer type'!O28</f>
        <v>0.51812867815293817</v>
      </c>
      <c r="P60" s="417">
        <f>'Inputs by customer type'!P28</f>
        <v>1546.3846427787762</v>
      </c>
      <c r="Q60" s="202"/>
      <c r="R60" s="417">
        <f>'Inputs by customer type'!R28</f>
        <v>2681.8786975178805</v>
      </c>
      <c r="S60" s="417">
        <f>'Inputs by customer type'!S28</f>
        <v>45.105000000000004</v>
      </c>
      <c r="T60" s="417">
        <f>'Inputs by customer type'!T28</f>
        <v>29713.727000000003</v>
      </c>
      <c r="U60" s="417">
        <f>'Inputs by customer type'!U28</f>
        <v>0</v>
      </c>
      <c r="V60" s="417">
        <f>'Inputs by customer type'!V28</f>
        <v>275.35399999999998</v>
      </c>
      <c r="W60" s="417">
        <f>'Inputs by customer type'!W28</f>
        <v>0</v>
      </c>
      <c r="X60" s="417">
        <f>'Inputs by customer type'!X28</f>
        <v>489264.26399999997</v>
      </c>
      <c r="Y60" s="417">
        <f>'Inputs by customer type'!Y28</f>
        <v>0</v>
      </c>
      <c r="AQ60" s="19"/>
    </row>
    <row r="61" spans="2:43" x14ac:dyDescent="0.25">
      <c r="E61" s="52"/>
      <c r="F61" s="92" t="s">
        <v>74</v>
      </c>
      <c r="G61" s="92" t="s">
        <v>74</v>
      </c>
      <c r="J61" s="202"/>
      <c r="K61" s="417">
        <f>'Inputs by customer type'!K29</f>
        <v>92980</v>
      </c>
      <c r="L61" s="417">
        <f>'Inputs by customer type'!L29</f>
        <v>60</v>
      </c>
      <c r="M61" s="417">
        <f>'Inputs by customer type'!M29</f>
        <v>5473</v>
      </c>
      <c r="N61" s="417">
        <f>'Inputs by customer type'!N29</f>
        <v>21</v>
      </c>
      <c r="O61" s="417">
        <f>'Inputs by customer type'!O29</f>
        <v>1</v>
      </c>
      <c r="P61" s="417">
        <f>'Inputs by customer type'!P29</f>
        <v>133</v>
      </c>
      <c r="Q61" s="202"/>
      <c r="R61" s="417">
        <f>'Inputs by customer type'!R29</f>
        <v>1153</v>
      </c>
      <c r="S61" s="417">
        <f>'Inputs by customer type'!S29</f>
        <v>4</v>
      </c>
      <c r="T61" s="417">
        <f>'Inputs by customer type'!T29</f>
        <v>496</v>
      </c>
      <c r="U61" s="417">
        <f>'Inputs by customer type'!U29</f>
        <v>0</v>
      </c>
      <c r="V61" s="417">
        <f>'Inputs by customer type'!V29</f>
        <v>9</v>
      </c>
      <c r="W61" s="417">
        <f>'Inputs by customer type'!W29</f>
        <v>0</v>
      </c>
      <c r="X61" s="417">
        <f>'Inputs by customer type'!X29</f>
        <v>261</v>
      </c>
      <c r="Y61" s="417">
        <f>'Inputs by customer type'!Y29</f>
        <v>0</v>
      </c>
      <c r="AQ61" s="19"/>
    </row>
    <row r="62" spans="2:43" x14ac:dyDescent="0.25">
      <c r="E62" s="52"/>
      <c r="F62" s="92" t="s">
        <v>202</v>
      </c>
      <c r="G62" s="92" t="s">
        <v>169</v>
      </c>
      <c r="J62" s="202"/>
      <c r="K62" s="417">
        <f>'Inputs by customer type'!K30</f>
        <v>0</v>
      </c>
      <c r="L62" s="417">
        <f>'Inputs by customer type'!L30</f>
        <v>0</v>
      </c>
      <c r="M62" s="417">
        <f>'Inputs by customer type'!M30</f>
        <v>0</v>
      </c>
      <c r="N62" s="417">
        <f>'Inputs by customer type'!N30</f>
        <v>952</v>
      </c>
      <c r="O62" s="417">
        <f>'Inputs by customer type'!O30</f>
        <v>8</v>
      </c>
      <c r="P62" s="417">
        <f>'Inputs by customer type'!P30</f>
        <v>7676</v>
      </c>
      <c r="Q62" s="202"/>
      <c r="R62" s="417">
        <f>'Inputs by customer type'!R30</f>
        <v>0</v>
      </c>
      <c r="S62" s="417">
        <f>'Inputs by customer type'!S30</f>
        <v>0</v>
      </c>
      <c r="T62" s="417">
        <f>'Inputs by customer type'!T30</f>
        <v>0</v>
      </c>
      <c r="U62" s="417">
        <f>'Inputs by customer type'!U30</f>
        <v>0</v>
      </c>
      <c r="V62" s="417">
        <f>'Inputs by customer type'!V30</f>
        <v>0</v>
      </c>
      <c r="W62" s="417">
        <f>'Inputs by customer type'!W30</f>
        <v>0</v>
      </c>
      <c r="X62" s="417">
        <f>'Inputs by customer type'!X30</f>
        <v>0</v>
      </c>
      <c r="Y62" s="417">
        <f>'Inputs by customer type'!Y30</f>
        <v>0</v>
      </c>
      <c r="AQ62" s="19"/>
    </row>
    <row r="63" spans="2:43" x14ac:dyDescent="0.25">
      <c r="E63" s="52"/>
      <c r="F63" s="92" t="s">
        <v>203</v>
      </c>
      <c r="G63" s="92" t="s">
        <v>169</v>
      </c>
      <c r="J63" s="202"/>
      <c r="K63" s="417">
        <f>'Inputs by customer type'!K31</f>
        <v>0</v>
      </c>
      <c r="L63" s="417">
        <f>'Inputs by customer type'!L31</f>
        <v>0</v>
      </c>
      <c r="M63" s="417">
        <f>'Inputs by customer type'!M31</f>
        <v>0</v>
      </c>
      <c r="N63" s="417">
        <f>'Inputs by customer type'!N31</f>
        <v>42</v>
      </c>
      <c r="O63" s="417">
        <f>'Inputs by customer type'!O31</f>
        <v>5</v>
      </c>
      <c r="P63" s="417">
        <f>'Inputs by customer type'!P31</f>
        <v>744</v>
      </c>
      <c r="Q63" s="202"/>
      <c r="R63" s="417">
        <f>'Inputs by customer type'!R31</f>
        <v>0</v>
      </c>
      <c r="S63" s="417">
        <f>'Inputs by customer type'!S31</f>
        <v>0</v>
      </c>
      <c r="T63" s="417">
        <f>'Inputs by customer type'!T31</f>
        <v>0</v>
      </c>
      <c r="U63" s="417">
        <f>'Inputs by customer type'!U31</f>
        <v>0</v>
      </c>
      <c r="V63" s="417">
        <f>'Inputs by customer type'!V31</f>
        <v>0</v>
      </c>
      <c r="W63" s="417">
        <f>'Inputs by customer type'!W31</f>
        <v>0</v>
      </c>
      <c r="X63" s="417">
        <f>'Inputs by customer type'!X31</f>
        <v>0</v>
      </c>
      <c r="Y63" s="417">
        <f>'Inputs by customer type'!Y31</f>
        <v>0</v>
      </c>
      <c r="AQ63" s="19"/>
    </row>
    <row r="64" spans="2:43" x14ac:dyDescent="0.25">
      <c r="E64" s="52"/>
      <c r="F64" s="34" t="s">
        <v>204</v>
      </c>
      <c r="G64" s="34" t="s">
        <v>170</v>
      </c>
      <c r="H64" s="17"/>
      <c r="I64" s="17"/>
      <c r="J64" s="203"/>
      <c r="K64" s="230">
        <f>'Inputs by customer type'!K32</f>
        <v>0</v>
      </c>
      <c r="L64" s="230">
        <f>'Inputs by customer type'!L32</f>
        <v>0</v>
      </c>
      <c r="M64" s="230">
        <f>'Inputs by customer type'!M32</f>
        <v>0</v>
      </c>
      <c r="N64" s="230">
        <f>'Inputs by customer type'!N32</f>
        <v>64.055000000000007</v>
      </c>
      <c r="O64" s="230">
        <f>'Inputs by customer type'!O32</f>
        <v>2.2480000000000002</v>
      </c>
      <c r="P64" s="230">
        <f>'Inputs by customer type'!P32</f>
        <v>1213.202</v>
      </c>
      <c r="Q64" s="203"/>
      <c r="R64" s="230">
        <f>'Inputs by customer type'!R32</f>
        <v>0</v>
      </c>
      <c r="S64" s="230">
        <f>'Inputs by customer type'!S32</f>
        <v>0</v>
      </c>
      <c r="T64" s="230">
        <f>'Inputs by customer type'!T32</f>
        <v>5379.1220000000003</v>
      </c>
      <c r="U64" s="230">
        <f>'Inputs by customer type'!U32</f>
        <v>0</v>
      </c>
      <c r="V64" s="230">
        <f>'Inputs by customer type'!V32</f>
        <v>157.29499999999999</v>
      </c>
      <c r="W64" s="230">
        <f>'Inputs by customer type'!W32</f>
        <v>0</v>
      </c>
      <c r="X64" s="230">
        <f>'Inputs by customer type'!X32</f>
        <v>20692.973000000002</v>
      </c>
      <c r="Y64" s="230">
        <f>'Inputs by customer type'!Y32</f>
        <v>0</v>
      </c>
      <c r="AQ64" s="19"/>
    </row>
    <row r="65" spans="3:43" x14ac:dyDescent="0.25">
      <c r="C65" s="73"/>
      <c r="AQ65" s="19"/>
    </row>
    <row r="66" spans="3:43" x14ac:dyDescent="0.25">
      <c r="C66" s="73"/>
      <c r="E66" s="52" t="s">
        <v>1043</v>
      </c>
      <c r="G66" s="91"/>
      <c r="I66" t="s">
        <v>359</v>
      </c>
      <c r="AQ66" s="19"/>
    </row>
    <row r="67" spans="3:43" x14ac:dyDescent="0.25">
      <c r="C67" s="73"/>
      <c r="E67" s="52"/>
      <c r="F67" s="38" t="s">
        <v>199</v>
      </c>
      <c r="G67" s="38" t="s">
        <v>120</v>
      </c>
      <c r="H67" s="80"/>
      <c r="I67" s="80"/>
      <c r="J67" s="228">
        <f>'Inputs by customer type'!J35</f>
        <v>690665.52756605227</v>
      </c>
      <c r="K67" s="201"/>
      <c r="L67" s="228">
        <f>'Inputs by customer type'!L35</f>
        <v>16636.262053683062</v>
      </c>
      <c r="M67" s="201"/>
      <c r="N67" s="228">
        <f>'Inputs by customer type'!N35</f>
        <v>45771.541992618622</v>
      </c>
      <c r="O67" s="228">
        <f>'Inputs by customer type'!O35</f>
        <v>138.40406993184831</v>
      </c>
      <c r="P67" s="228">
        <f>'Inputs by customer type'!P35</f>
        <v>16825.160368042096</v>
      </c>
      <c r="Q67" s="228">
        <f>'Inputs by customer type'!Q35</f>
        <v>11180.532790656171</v>
      </c>
      <c r="R67" s="201"/>
      <c r="S67" s="201"/>
      <c r="T67" s="201"/>
      <c r="U67" s="201"/>
      <c r="V67" s="201"/>
      <c r="W67" s="201"/>
      <c r="X67" s="201"/>
      <c r="Y67" s="201"/>
      <c r="AQ67" s="19"/>
    </row>
    <row r="68" spans="3:43" x14ac:dyDescent="0.25">
      <c r="E68" s="52"/>
      <c r="F68" s="92" t="s">
        <v>200</v>
      </c>
      <c r="G68" s="92" t="s">
        <v>120</v>
      </c>
      <c r="J68" s="417">
        <f>'Inputs by customer type'!J36</f>
        <v>2376763.4827184244</v>
      </c>
      <c r="K68" s="202"/>
      <c r="L68" s="417">
        <f>'Inputs by customer type'!L36</f>
        <v>85547.074068350208</v>
      </c>
      <c r="M68" s="202"/>
      <c r="N68" s="417">
        <f>'Inputs by customer type'!N36</f>
        <v>219596.50368094287</v>
      </c>
      <c r="O68" s="417">
        <f>'Inputs by customer type'!O36</f>
        <v>645.06358599246971</v>
      </c>
      <c r="P68" s="417">
        <f>'Inputs by customer type'!P36</f>
        <v>78034.847176332449</v>
      </c>
      <c r="Q68" s="417">
        <f>'Inputs by customer type'!Q36</f>
        <v>64407.420619468379</v>
      </c>
      <c r="R68" s="202"/>
      <c r="S68" s="202"/>
      <c r="T68" s="202"/>
      <c r="U68" s="202"/>
      <c r="V68" s="202"/>
      <c r="W68" s="202"/>
      <c r="X68" s="202"/>
      <c r="Y68" s="202"/>
      <c r="AQ68" s="19"/>
    </row>
    <row r="69" spans="3:43" x14ac:dyDescent="0.25">
      <c r="E69" s="52"/>
      <c r="F69" s="92" t="s">
        <v>201</v>
      </c>
      <c r="G69" s="92" t="s">
        <v>120</v>
      </c>
      <c r="J69" s="417">
        <f>'Inputs by customer type'!J37</f>
        <v>2257194.3085960886</v>
      </c>
      <c r="K69" s="202"/>
      <c r="L69" s="417">
        <f>'Inputs by customer type'!L37</f>
        <v>68807.884598155215</v>
      </c>
      <c r="M69" s="202"/>
      <c r="N69" s="417">
        <f>'Inputs by customer type'!N37</f>
        <v>194785.9381843415</v>
      </c>
      <c r="O69" s="417">
        <f>'Inputs by customer type'!O37</f>
        <v>663.435344075682</v>
      </c>
      <c r="P69" s="417">
        <f>'Inputs by customer type'!P37</f>
        <v>85867.729755907218</v>
      </c>
      <c r="Q69" s="417">
        <f>'Inputs by customer type'!Q37</f>
        <v>148584.05886729746</v>
      </c>
      <c r="R69" s="202"/>
      <c r="S69" s="202"/>
      <c r="T69" s="202"/>
      <c r="U69" s="202"/>
      <c r="V69" s="202"/>
      <c r="W69" s="202"/>
      <c r="X69" s="202"/>
      <c r="Y69" s="202"/>
      <c r="AQ69" s="19"/>
    </row>
    <row r="70" spans="3:43" x14ac:dyDescent="0.25">
      <c r="E70" s="52"/>
      <c r="F70" s="92" t="s">
        <v>74</v>
      </c>
      <c r="G70" s="92" t="s">
        <v>74</v>
      </c>
      <c r="J70" s="417">
        <f>'Inputs by customer type'!J38</f>
        <v>1858128</v>
      </c>
      <c r="K70" s="202"/>
      <c r="L70" s="417">
        <f>'Inputs by customer type'!L38</f>
        <v>46603</v>
      </c>
      <c r="M70" s="202"/>
      <c r="N70" s="417">
        <f>'Inputs by customer type'!N38</f>
        <v>4524</v>
      </c>
      <c r="O70" s="417">
        <f>'Inputs by customer type'!O38</f>
        <v>10</v>
      </c>
      <c r="P70" s="417">
        <f>'Inputs by customer type'!P38</f>
        <v>356</v>
      </c>
      <c r="Q70" s="417">
        <f>'Inputs by customer type'!Q38</f>
        <v>4804</v>
      </c>
      <c r="R70" s="202"/>
      <c r="S70" s="202"/>
      <c r="T70" s="202"/>
      <c r="U70" s="202"/>
      <c r="V70" s="202"/>
      <c r="W70" s="202"/>
      <c r="X70" s="202"/>
      <c r="Y70" s="202"/>
      <c r="AQ70" s="19"/>
    </row>
    <row r="71" spans="3:43" x14ac:dyDescent="0.25">
      <c r="E71" s="52"/>
      <c r="F71" s="92" t="s">
        <v>202</v>
      </c>
      <c r="G71" s="92" t="s">
        <v>169</v>
      </c>
      <c r="J71" s="417">
        <f>'Inputs by customer type'!J39</f>
        <v>0</v>
      </c>
      <c r="K71" s="202"/>
      <c r="L71" s="417">
        <f>'Inputs by customer type'!L39</f>
        <v>0</v>
      </c>
      <c r="M71" s="202"/>
      <c r="N71" s="417">
        <f>'Inputs by customer type'!N39</f>
        <v>253629</v>
      </c>
      <c r="O71" s="417">
        <f>'Inputs by customer type'!O39</f>
        <v>456</v>
      </c>
      <c r="P71" s="417">
        <f>'Inputs by customer type'!P39</f>
        <v>71629</v>
      </c>
      <c r="Q71" s="417">
        <f>'Inputs by customer type'!Q39</f>
        <v>0</v>
      </c>
      <c r="R71" s="202"/>
      <c r="S71" s="202"/>
      <c r="T71" s="202"/>
      <c r="U71" s="202"/>
      <c r="V71" s="202"/>
      <c r="W71" s="202"/>
      <c r="X71" s="202"/>
      <c r="Y71" s="202"/>
      <c r="AQ71" s="19"/>
    </row>
    <row r="72" spans="3:43" x14ac:dyDescent="0.25">
      <c r="E72" s="52"/>
      <c r="F72" s="92" t="s">
        <v>203</v>
      </c>
      <c r="G72" s="92" t="s">
        <v>169</v>
      </c>
      <c r="J72" s="417">
        <f>'Inputs by customer type'!J40</f>
        <v>0</v>
      </c>
      <c r="K72" s="202"/>
      <c r="L72" s="417">
        <f>'Inputs by customer type'!L40</f>
        <v>0</v>
      </c>
      <c r="M72" s="202"/>
      <c r="N72" s="417">
        <f>'Inputs by customer type'!N40</f>
        <v>12241</v>
      </c>
      <c r="O72" s="417">
        <f>'Inputs by customer type'!O40</f>
        <v>302</v>
      </c>
      <c r="P72" s="417">
        <f>'Inputs by customer type'!P40</f>
        <v>5846</v>
      </c>
      <c r="Q72" s="417">
        <f>'Inputs by customer type'!Q40</f>
        <v>0</v>
      </c>
      <c r="R72" s="202"/>
      <c r="S72" s="202"/>
      <c r="T72" s="202"/>
      <c r="U72" s="202"/>
      <c r="V72" s="202"/>
      <c r="W72" s="202"/>
      <c r="X72" s="202"/>
      <c r="Y72" s="202"/>
      <c r="AQ72" s="19"/>
    </row>
    <row r="73" spans="3:43" x14ac:dyDescent="0.25">
      <c r="E73" s="52"/>
      <c r="F73" s="34" t="s">
        <v>204</v>
      </c>
      <c r="G73" s="34" t="s">
        <v>170</v>
      </c>
      <c r="H73" s="17"/>
      <c r="I73" s="17"/>
      <c r="J73" s="230">
        <f>'Inputs by customer type'!J41</f>
        <v>0</v>
      </c>
      <c r="K73" s="203"/>
      <c r="L73" s="230">
        <f>'Inputs by customer type'!L41</f>
        <v>0</v>
      </c>
      <c r="M73" s="203"/>
      <c r="N73" s="230">
        <f>'Inputs by customer type'!N41</f>
        <v>48146.402999999998</v>
      </c>
      <c r="O73" s="230">
        <f>'Inputs by customer type'!O41</f>
        <v>502.32499999999999</v>
      </c>
      <c r="P73" s="230">
        <f>'Inputs by customer type'!P41</f>
        <v>24313.001</v>
      </c>
      <c r="Q73" s="230">
        <f>'Inputs by customer type'!Q41</f>
        <v>0</v>
      </c>
      <c r="R73" s="203"/>
      <c r="S73" s="203"/>
      <c r="T73" s="203"/>
      <c r="U73" s="203"/>
      <c r="V73" s="203"/>
      <c r="W73" s="203"/>
      <c r="X73" s="203"/>
      <c r="Y73" s="203"/>
      <c r="AQ73" s="19"/>
    </row>
    <row r="74" spans="3:43" x14ac:dyDescent="0.25">
      <c r="AQ74" s="19"/>
    </row>
    <row r="75" spans="3:43" x14ac:dyDescent="0.25">
      <c r="C75" s="73"/>
      <c r="E75" s="52" t="s">
        <v>1044</v>
      </c>
      <c r="G75" s="91"/>
      <c r="I75" t="s">
        <v>359</v>
      </c>
      <c r="AQ75" s="19"/>
    </row>
    <row r="76" spans="3:43" x14ac:dyDescent="0.25">
      <c r="C76" s="73"/>
      <c r="E76" s="52"/>
      <c r="F76" s="38" t="s">
        <v>199</v>
      </c>
      <c r="G76" s="38" t="s">
        <v>120</v>
      </c>
      <c r="H76" s="80"/>
      <c r="I76" s="80"/>
      <c r="J76" s="201"/>
      <c r="K76" s="201"/>
      <c r="L76" s="228">
        <f>'Inputs by customer type'!L44</f>
        <v>30057.319359680965</v>
      </c>
      <c r="M76" s="201"/>
      <c r="N76" s="228">
        <f>'Inputs by customer type'!N44</f>
        <v>65625.904093153804</v>
      </c>
      <c r="O76" s="228">
        <f>'Inputs by customer type'!O44</f>
        <v>622.15327059830827</v>
      </c>
      <c r="P76" s="228">
        <f>'Inputs by customer type'!P44</f>
        <v>57933.42611206969</v>
      </c>
      <c r="Q76" s="201"/>
      <c r="R76" s="201"/>
      <c r="S76" s="201"/>
      <c r="T76" s="201"/>
      <c r="U76" s="201"/>
      <c r="V76" s="201"/>
      <c r="W76" s="201"/>
      <c r="X76" s="201"/>
      <c r="Y76" s="201"/>
      <c r="AQ76" s="19"/>
    </row>
    <row r="77" spans="3:43" x14ac:dyDescent="0.25">
      <c r="E77" s="52"/>
      <c r="F77" s="92" t="s">
        <v>200</v>
      </c>
      <c r="G77" s="92" t="s">
        <v>120</v>
      </c>
      <c r="J77" s="202"/>
      <c r="K77" s="202"/>
      <c r="L77" s="417">
        <f>'Inputs by customer type'!L45</f>
        <v>154560.90540419368</v>
      </c>
      <c r="M77" s="202"/>
      <c r="N77" s="417">
        <f>'Inputs by customer type'!N45</f>
        <v>314851.0725743408</v>
      </c>
      <c r="O77" s="417">
        <f>'Inputs by customer type'!O45</f>
        <v>2899.6865479946259</v>
      </c>
      <c r="P77" s="417">
        <f>'Inputs by customer type'!P45</f>
        <v>268694.38116284559</v>
      </c>
      <c r="Q77" s="202"/>
      <c r="R77" s="202"/>
      <c r="S77" s="202"/>
      <c r="T77" s="202"/>
      <c r="U77" s="202"/>
      <c r="V77" s="202"/>
      <c r="W77" s="202"/>
      <c r="X77" s="202"/>
      <c r="Y77" s="202"/>
      <c r="AQ77" s="19"/>
    </row>
    <row r="78" spans="3:43" x14ac:dyDescent="0.25">
      <c r="E78" s="52"/>
      <c r="F78" s="92" t="s">
        <v>201</v>
      </c>
      <c r="G78" s="92" t="s">
        <v>120</v>
      </c>
      <c r="J78" s="202"/>
      <c r="K78" s="202"/>
      <c r="L78" s="417">
        <f>'Inputs by customer type'!L46</f>
        <v>124317.62346355653</v>
      </c>
      <c r="M78" s="202"/>
      <c r="N78" s="417">
        <f>'Inputs by customer type'!N46</f>
        <v>279278.4062210978</v>
      </c>
      <c r="O78" s="417">
        <f>'Inputs by customer type'!O46</f>
        <v>2982.2711814070658</v>
      </c>
      <c r="P78" s="417">
        <f>'Inputs by customer type'!P46</f>
        <v>295665.04380391253</v>
      </c>
      <c r="Q78" s="202"/>
      <c r="R78" s="202"/>
      <c r="S78" s="202"/>
      <c r="T78" s="202"/>
      <c r="U78" s="202"/>
      <c r="V78" s="202"/>
      <c r="W78" s="202"/>
      <c r="X78" s="202"/>
      <c r="Y78" s="202"/>
      <c r="AQ78" s="19"/>
    </row>
    <row r="79" spans="3:43" x14ac:dyDescent="0.25">
      <c r="E79" s="52"/>
      <c r="F79" s="92" t="s">
        <v>74</v>
      </c>
      <c r="G79" s="92" t="s">
        <v>74</v>
      </c>
      <c r="J79" s="202"/>
      <c r="K79" s="202"/>
      <c r="L79" s="417">
        <f>'Inputs by customer type'!L47</f>
        <v>36661</v>
      </c>
      <c r="M79" s="202"/>
      <c r="N79" s="417">
        <f>'Inputs by customer type'!N47</f>
        <v>3723</v>
      </c>
      <c r="O79" s="417">
        <f>'Inputs by customer type'!O47</f>
        <v>24</v>
      </c>
      <c r="P79" s="417">
        <f>'Inputs by customer type'!P47</f>
        <v>403</v>
      </c>
      <c r="Q79" s="202"/>
      <c r="R79" s="202"/>
      <c r="S79" s="202"/>
      <c r="T79" s="202"/>
      <c r="U79" s="202"/>
      <c r="V79" s="202"/>
      <c r="W79" s="202"/>
      <c r="X79" s="202"/>
      <c r="Y79" s="202"/>
      <c r="AQ79" s="19"/>
    </row>
    <row r="80" spans="3:43" x14ac:dyDescent="0.25">
      <c r="E80" s="52"/>
      <c r="F80" s="92" t="s">
        <v>202</v>
      </c>
      <c r="G80" s="92" t="s">
        <v>169</v>
      </c>
      <c r="J80" s="202"/>
      <c r="K80" s="202"/>
      <c r="L80" s="417">
        <f>'Inputs by customer type'!L48</f>
        <v>0</v>
      </c>
      <c r="M80" s="202"/>
      <c r="N80" s="417">
        <f>'Inputs by customer type'!N48</f>
        <v>420018</v>
      </c>
      <c r="O80" s="417">
        <f>'Inputs by customer type'!O48</f>
        <v>3051</v>
      </c>
      <c r="P80" s="417">
        <f>'Inputs by customer type'!P48</f>
        <v>277706</v>
      </c>
      <c r="Q80" s="202"/>
      <c r="R80" s="202"/>
      <c r="S80" s="202"/>
      <c r="T80" s="202"/>
      <c r="U80" s="202"/>
      <c r="V80" s="202"/>
      <c r="W80" s="202"/>
      <c r="X80" s="202"/>
      <c r="Y80" s="202"/>
      <c r="AQ80" s="19"/>
    </row>
    <row r="81" spans="3:43" x14ac:dyDescent="0.25">
      <c r="E81" s="52"/>
      <c r="F81" s="92" t="s">
        <v>203</v>
      </c>
      <c r="G81" s="92" t="s">
        <v>169</v>
      </c>
      <c r="J81" s="202"/>
      <c r="K81" s="202"/>
      <c r="L81" s="417">
        <f>'Inputs by customer type'!L49</f>
        <v>0</v>
      </c>
      <c r="M81" s="202"/>
      <c r="N81" s="417">
        <f>'Inputs by customer type'!N49</f>
        <v>6970</v>
      </c>
      <c r="O81" s="417">
        <f>'Inputs by customer type'!O49</f>
        <v>189</v>
      </c>
      <c r="P81" s="417">
        <f>'Inputs by customer type'!P49</f>
        <v>2073</v>
      </c>
      <c r="Q81" s="202"/>
      <c r="R81" s="202"/>
      <c r="S81" s="202"/>
      <c r="T81" s="202"/>
      <c r="U81" s="202"/>
      <c r="V81" s="202"/>
      <c r="W81" s="202"/>
      <c r="X81" s="202"/>
      <c r="Y81" s="202"/>
      <c r="AQ81" s="19"/>
    </row>
    <row r="82" spans="3:43" x14ac:dyDescent="0.25">
      <c r="E82" s="52"/>
      <c r="F82" s="34" t="s">
        <v>204</v>
      </c>
      <c r="G82" s="34" t="s">
        <v>170</v>
      </c>
      <c r="H82" s="17"/>
      <c r="I82" s="17"/>
      <c r="J82" s="203"/>
      <c r="K82" s="203"/>
      <c r="L82" s="230">
        <f>'Inputs by customer type'!L50</f>
        <v>0</v>
      </c>
      <c r="M82" s="203"/>
      <c r="N82" s="230">
        <f>'Inputs by customer type'!N50</f>
        <v>60478.904999999999</v>
      </c>
      <c r="O82" s="230">
        <f>'Inputs by customer type'!O50</f>
        <v>611.57899999999995</v>
      </c>
      <c r="P82" s="230">
        <f>'Inputs by customer type'!P50</f>
        <v>38777.107000000004</v>
      </c>
      <c r="Q82" s="203"/>
      <c r="R82" s="203"/>
      <c r="S82" s="203"/>
      <c r="T82" s="203"/>
      <c r="U82" s="203"/>
      <c r="V82" s="203"/>
      <c r="W82" s="203"/>
      <c r="X82" s="203"/>
      <c r="Y82" s="203"/>
      <c r="AQ82" s="19"/>
    </row>
    <row r="83" spans="3:43" x14ac:dyDescent="0.25">
      <c r="AQ83" s="19"/>
    </row>
    <row r="84" spans="3:43" x14ac:dyDescent="0.25">
      <c r="C84" s="73"/>
      <c r="E84" s="52" t="s">
        <v>1045</v>
      </c>
      <c r="G84" s="91"/>
      <c r="I84" t="s">
        <v>359</v>
      </c>
      <c r="AQ84" s="19"/>
    </row>
    <row r="85" spans="3:43" x14ac:dyDescent="0.25">
      <c r="C85" s="73"/>
      <c r="E85" s="52"/>
      <c r="F85" s="38" t="s">
        <v>199</v>
      </c>
      <c r="G85" s="38" t="s">
        <v>120</v>
      </c>
      <c r="H85" s="80"/>
      <c r="I85" s="80"/>
      <c r="J85" s="201"/>
      <c r="K85" s="201"/>
      <c r="L85" s="228">
        <f>'Inputs by customer type'!L53</f>
        <v>37425.923933004749</v>
      </c>
      <c r="M85" s="201"/>
      <c r="N85" s="228">
        <f>'Inputs by customer type'!N53</f>
        <v>36868.568333115407</v>
      </c>
      <c r="O85" s="228">
        <f>'Inputs by customer type'!O53</f>
        <v>2087.8978294873009</v>
      </c>
      <c r="P85" s="228">
        <f>'Inputs by customer type'!P53</f>
        <v>52159.250767746467</v>
      </c>
      <c r="Q85" s="201"/>
      <c r="R85" s="201"/>
      <c r="S85" s="201"/>
      <c r="T85" s="201"/>
      <c r="U85" s="201"/>
      <c r="V85" s="201"/>
      <c r="W85" s="201"/>
      <c r="X85" s="201"/>
      <c r="Y85" s="201"/>
      <c r="AQ85" s="19"/>
    </row>
    <row r="86" spans="3:43" x14ac:dyDescent="0.25">
      <c r="E86" s="52"/>
      <c r="F86" s="92" t="s">
        <v>200</v>
      </c>
      <c r="G86" s="92" t="s">
        <v>120</v>
      </c>
      <c r="J86" s="202"/>
      <c r="K86" s="202"/>
      <c r="L86" s="417">
        <f>'Inputs by customer type'!L54</f>
        <v>192451.78252433133</v>
      </c>
      <c r="M86" s="202"/>
      <c r="N86" s="417">
        <f>'Inputs by customer type'!N54</f>
        <v>176883.02270829573</v>
      </c>
      <c r="O86" s="417">
        <f>'Inputs by customer type'!O54</f>
        <v>9731.1217924311368</v>
      </c>
      <c r="P86" s="417">
        <f>'Inputs by customer type'!P54</f>
        <v>241913.84054942831</v>
      </c>
      <c r="Q86" s="202"/>
      <c r="R86" s="202"/>
      <c r="S86" s="202"/>
      <c r="T86" s="202"/>
      <c r="U86" s="202"/>
      <c r="V86" s="202"/>
      <c r="W86" s="202"/>
      <c r="X86" s="202"/>
      <c r="Y86" s="202"/>
      <c r="AQ86" s="19"/>
    </row>
    <row r="87" spans="3:43" x14ac:dyDescent="0.25">
      <c r="E87" s="52"/>
      <c r="F87" s="92" t="s">
        <v>201</v>
      </c>
      <c r="G87" s="92" t="s">
        <v>120</v>
      </c>
      <c r="J87" s="202"/>
      <c r="K87" s="202"/>
      <c r="L87" s="417">
        <f>'Inputs by customer type'!L55</f>
        <v>154794.30695739787</v>
      </c>
      <c r="M87" s="202"/>
      <c r="N87" s="417">
        <f>'Inputs by customer type'!N55</f>
        <v>156898.33376025464</v>
      </c>
      <c r="O87" s="417">
        <f>'Inputs by customer type'!O55</f>
        <v>10008.269378081564</v>
      </c>
      <c r="P87" s="417">
        <f>'Inputs by customer type'!P55</f>
        <v>266196.36016679689</v>
      </c>
      <c r="Q87" s="202"/>
      <c r="R87" s="202"/>
      <c r="S87" s="202"/>
      <c r="T87" s="202"/>
      <c r="U87" s="202"/>
      <c r="V87" s="202"/>
      <c r="W87" s="202"/>
      <c r="X87" s="202"/>
      <c r="Y87" s="202"/>
      <c r="AQ87" s="19"/>
    </row>
    <row r="88" spans="3:43" x14ac:dyDescent="0.25">
      <c r="E88" s="52"/>
      <c r="F88" s="92" t="s">
        <v>74</v>
      </c>
      <c r="G88" s="92" t="s">
        <v>74</v>
      </c>
      <c r="J88" s="202"/>
      <c r="K88" s="202"/>
      <c r="L88" s="417">
        <f>'Inputs by customer type'!L56</f>
        <v>21107</v>
      </c>
      <c r="M88" s="202"/>
      <c r="N88" s="417">
        <f>'Inputs by customer type'!N56</f>
        <v>1261</v>
      </c>
      <c r="O88" s="417">
        <f>'Inputs by customer type'!O56</f>
        <v>41</v>
      </c>
      <c r="P88" s="417">
        <f>'Inputs by customer type'!P56</f>
        <v>177</v>
      </c>
      <c r="Q88" s="202"/>
      <c r="R88" s="202"/>
      <c r="S88" s="202"/>
      <c r="T88" s="202"/>
      <c r="U88" s="202"/>
      <c r="V88" s="202"/>
      <c r="W88" s="202"/>
      <c r="X88" s="202"/>
      <c r="Y88" s="202"/>
      <c r="AQ88" s="19"/>
    </row>
    <row r="89" spans="3:43" x14ac:dyDescent="0.25">
      <c r="E89" s="52"/>
      <c r="F89" s="92" t="s">
        <v>202</v>
      </c>
      <c r="G89" s="92" t="s">
        <v>169</v>
      </c>
      <c r="J89" s="202"/>
      <c r="K89" s="202"/>
      <c r="L89" s="417">
        <f>'Inputs by customer type'!L57</f>
        <v>0</v>
      </c>
      <c r="M89" s="202"/>
      <c r="N89" s="417">
        <f>'Inputs by customer type'!N57</f>
        <v>237355</v>
      </c>
      <c r="O89" s="417">
        <f>'Inputs by customer type'!O57</f>
        <v>7741</v>
      </c>
      <c r="P89" s="417">
        <f>'Inputs by customer type'!P57</f>
        <v>239536</v>
      </c>
      <c r="Q89" s="202"/>
      <c r="R89" s="202"/>
      <c r="S89" s="202"/>
      <c r="T89" s="202"/>
      <c r="U89" s="202"/>
      <c r="V89" s="202"/>
      <c r="W89" s="202"/>
      <c r="X89" s="202"/>
      <c r="Y89" s="202"/>
      <c r="AQ89" s="19"/>
    </row>
    <row r="90" spans="3:43" x14ac:dyDescent="0.25">
      <c r="E90" s="52"/>
      <c r="F90" s="92" t="s">
        <v>203</v>
      </c>
      <c r="G90" s="92" t="s">
        <v>169</v>
      </c>
      <c r="J90" s="202"/>
      <c r="K90" s="202"/>
      <c r="L90" s="417">
        <f>'Inputs by customer type'!L58</f>
        <v>0</v>
      </c>
      <c r="M90" s="202"/>
      <c r="N90" s="417">
        <f>'Inputs by customer type'!N58</f>
        <v>1336</v>
      </c>
      <c r="O90" s="417">
        <f>'Inputs by customer type'!O58</f>
        <v>144</v>
      </c>
      <c r="P90" s="417">
        <f>'Inputs by customer type'!P58</f>
        <v>1688</v>
      </c>
      <c r="Q90" s="202"/>
      <c r="R90" s="202"/>
      <c r="S90" s="202"/>
      <c r="T90" s="202"/>
      <c r="U90" s="202"/>
      <c r="V90" s="202"/>
      <c r="W90" s="202"/>
      <c r="X90" s="202"/>
      <c r="Y90" s="202"/>
      <c r="AQ90" s="19"/>
    </row>
    <row r="91" spans="3:43" x14ac:dyDescent="0.25">
      <c r="E91" s="52"/>
      <c r="F91" s="34" t="s">
        <v>204</v>
      </c>
      <c r="G91" s="34" t="s">
        <v>170</v>
      </c>
      <c r="H91" s="17"/>
      <c r="I91" s="17"/>
      <c r="J91" s="203"/>
      <c r="K91" s="203"/>
      <c r="L91" s="230">
        <f>'Inputs by customer type'!L59</f>
        <v>0</v>
      </c>
      <c r="M91" s="203"/>
      <c r="N91" s="230">
        <f>'Inputs by customer type'!N59</f>
        <v>32197.821</v>
      </c>
      <c r="O91" s="230">
        <f>'Inputs by customer type'!O59</f>
        <v>1792.9359999999999</v>
      </c>
      <c r="P91" s="230">
        <f>'Inputs by customer type'!P59</f>
        <v>34030.400000000001</v>
      </c>
      <c r="Q91" s="203"/>
      <c r="R91" s="203"/>
      <c r="S91" s="203"/>
      <c r="T91" s="203"/>
      <c r="U91" s="203"/>
      <c r="V91" s="203"/>
      <c r="W91" s="203"/>
      <c r="X91" s="203"/>
      <c r="Y91" s="203"/>
      <c r="AQ91" s="19"/>
    </row>
    <row r="92" spans="3:43" x14ac:dyDescent="0.25">
      <c r="AQ92" s="19"/>
    </row>
    <row r="93" spans="3:43" x14ac:dyDescent="0.25">
      <c r="C93" s="73"/>
      <c r="E93" s="52" t="s">
        <v>1046</v>
      </c>
      <c r="G93" s="91"/>
      <c r="I93" t="s">
        <v>359</v>
      </c>
      <c r="AQ93" s="19"/>
    </row>
    <row r="94" spans="3:43" x14ac:dyDescent="0.25">
      <c r="C94" s="73"/>
      <c r="E94" s="52"/>
      <c r="F94" s="38" t="s">
        <v>199</v>
      </c>
      <c r="G94" s="38" t="s">
        <v>120</v>
      </c>
      <c r="H94" s="80"/>
      <c r="I94" s="80"/>
      <c r="J94" s="201"/>
      <c r="K94" s="201"/>
      <c r="L94" s="228">
        <f>'Inputs by customer type'!L62</f>
        <v>113078.7546939583</v>
      </c>
      <c r="M94" s="201"/>
      <c r="N94" s="228">
        <f>'Inputs by customer type'!N62</f>
        <v>90934.026821706211</v>
      </c>
      <c r="O94" s="228">
        <f>'Inputs by customer type'!O62</f>
        <v>21698.50373939249</v>
      </c>
      <c r="P94" s="228">
        <f>'Inputs by customer type'!P62</f>
        <v>164544.48604752985</v>
      </c>
      <c r="Q94" s="201"/>
      <c r="R94" s="201"/>
      <c r="S94" s="201"/>
      <c r="T94" s="201"/>
      <c r="U94" s="201"/>
      <c r="V94" s="201"/>
      <c r="W94" s="201"/>
      <c r="X94" s="201"/>
      <c r="Y94" s="201"/>
      <c r="AQ94" s="19"/>
    </row>
    <row r="95" spans="3:43" x14ac:dyDescent="0.25">
      <c r="E95" s="52"/>
      <c r="F95" s="92" t="s">
        <v>200</v>
      </c>
      <c r="G95" s="92" t="s">
        <v>120</v>
      </c>
      <c r="J95" s="202"/>
      <c r="K95" s="202"/>
      <c r="L95" s="417">
        <f>'Inputs by customer type'!L63</f>
        <v>581474.16602032015</v>
      </c>
      <c r="M95" s="202"/>
      <c r="N95" s="417">
        <f>'Inputs by customer type'!N63</f>
        <v>436270.95540928131</v>
      </c>
      <c r="O95" s="417">
        <f>'Inputs by customer type'!O63</f>
        <v>101130.80229284996</v>
      </c>
      <c r="P95" s="417">
        <f>'Inputs by customer type'!P63</f>
        <v>763154.91451813979</v>
      </c>
      <c r="Q95" s="202"/>
      <c r="R95" s="202"/>
      <c r="S95" s="202"/>
      <c r="T95" s="202"/>
      <c r="U95" s="202"/>
      <c r="V95" s="202"/>
      <c r="W95" s="202"/>
      <c r="X95" s="202"/>
      <c r="Y95" s="202"/>
      <c r="AQ95" s="19"/>
    </row>
    <row r="96" spans="3:43" x14ac:dyDescent="0.25">
      <c r="E96" s="52"/>
      <c r="F96" s="92" t="s">
        <v>201</v>
      </c>
      <c r="G96" s="92" t="s">
        <v>120</v>
      </c>
      <c r="J96" s="202"/>
      <c r="K96" s="202"/>
      <c r="L96" s="417">
        <f>'Inputs by customer type'!L64</f>
        <v>467695.8007981386</v>
      </c>
      <c r="M96" s="202"/>
      <c r="N96" s="417">
        <f>'Inputs by customer type'!N64</f>
        <v>386979.96519764536</v>
      </c>
      <c r="O96" s="417">
        <f>'Inputs by customer type'!O64</f>
        <v>104011.06196775756</v>
      </c>
      <c r="P96" s="417">
        <f>'Inputs by customer type'!P64</f>
        <v>839757.90730594413</v>
      </c>
      <c r="Q96" s="202"/>
      <c r="R96" s="202"/>
      <c r="S96" s="202"/>
      <c r="T96" s="202"/>
      <c r="U96" s="202"/>
      <c r="V96" s="202"/>
      <c r="W96" s="202"/>
      <c r="X96" s="202"/>
      <c r="Y96" s="202"/>
      <c r="AQ96" s="19"/>
    </row>
    <row r="97" spans="3:43" x14ac:dyDescent="0.25">
      <c r="E97" s="52"/>
      <c r="F97" s="92" t="s">
        <v>74</v>
      </c>
      <c r="G97" s="92" t="s">
        <v>74</v>
      </c>
      <c r="J97" s="202"/>
      <c r="K97" s="202"/>
      <c r="L97" s="417">
        <f>'Inputs by customer type'!L65</f>
        <v>21705</v>
      </c>
      <c r="M97" s="202"/>
      <c r="N97" s="417">
        <f>'Inputs by customer type'!N65</f>
        <v>1557</v>
      </c>
      <c r="O97" s="417">
        <f>'Inputs by customer type'!O65</f>
        <v>202</v>
      </c>
      <c r="P97" s="417">
        <f>'Inputs by customer type'!P65</f>
        <v>210</v>
      </c>
      <c r="Q97" s="202"/>
      <c r="R97" s="202"/>
      <c r="S97" s="202"/>
      <c r="T97" s="202"/>
      <c r="U97" s="202"/>
      <c r="V97" s="202"/>
      <c r="W97" s="202"/>
      <c r="X97" s="202"/>
      <c r="Y97" s="202"/>
      <c r="AQ97" s="19"/>
    </row>
    <row r="98" spans="3:43" x14ac:dyDescent="0.25">
      <c r="E98" s="52"/>
      <c r="F98" s="92" t="s">
        <v>202</v>
      </c>
      <c r="G98" s="92" t="s">
        <v>169</v>
      </c>
      <c r="J98" s="202"/>
      <c r="K98" s="202"/>
      <c r="L98" s="417">
        <f>'Inputs by customer type'!L66</f>
        <v>0</v>
      </c>
      <c r="M98" s="202"/>
      <c r="N98" s="417">
        <f>'Inputs by customer type'!N66</f>
        <v>608702</v>
      </c>
      <c r="O98" s="417">
        <f>'Inputs by customer type'!O66</f>
        <v>97640</v>
      </c>
      <c r="P98" s="417">
        <f>'Inputs by customer type'!P66</f>
        <v>722539</v>
      </c>
      <c r="Q98" s="202"/>
      <c r="R98" s="202"/>
      <c r="S98" s="202"/>
      <c r="T98" s="202"/>
      <c r="U98" s="202"/>
      <c r="V98" s="202"/>
      <c r="W98" s="202"/>
      <c r="X98" s="202"/>
      <c r="Y98" s="202"/>
      <c r="AQ98" s="19"/>
    </row>
    <row r="99" spans="3:43" x14ac:dyDescent="0.25">
      <c r="E99" s="52"/>
      <c r="F99" s="92" t="s">
        <v>203</v>
      </c>
      <c r="G99" s="92" t="s">
        <v>169</v>
      </c>
      <c r="J99" s="202"/>
      <c r="K99" s="202"/>
      <c r="L99" s="417">
        <f>'Inputs by customer type'!L67</f>
        <v>0</v>
      </c>
      <c r="M99" s="202"/>
      <c r="N99" s="417">
        <f>'Inputs by customer type'!N67</f>
        <v>1593</v>
      </c>
      <c r="O99" s="417">
        <f>'Inputs by customer type'!O67</f>
        <v>319</v>
      </c>
      <c r="P99" s="417">
        <f>'Inputs by customer type'!P67</f>
        <v>3914</v>
      </c>
      <c r="Q99" s="202"/>
      <c r="R99" s="202"/>
      <c r="S99" s="202"/>
      <c r="T99" s="202"/>
      <c r="U99" s="202"/>
      <c r="V99" s="202"/>
      <c r="W99" s="202"/>
      <c r="X99" s="202"/>
      <c r="Y99" s="202"/>
      <c r="AQ99" s="19"/>
    </row>
    <row r="100" spans="3:43" x14ac:dyDescent="0.25">
      <c r="E100" s="52"/>
      <c r="F100" s="34" t="s">
        <v>204</v>
      </c>
      <c r="G100" s="34" t="s">
        <v>170</v>
      </c>
      <c r="H100" s="17"/>
      <c r="I100" s="17"/>
      <c r="J100" s="203"/>
      <c r="K100" s="203"/>
      <c r="L100" s="230">
        <f>'Inputs by customer type'!L68</f>
        <v>0</v>
      </c>
      <c r="M100" s="203"/>
      <c r="N100" s="230">
        <f>'Inputs by customer type'!N68</f>
        <v>85548.118000000002</v>
      </c>
      <c r="O100" s="230">
        <f>'Inputs by customer type'!O68</f>
        <v>17164.226999999999</v>
      </c>
      <c r="P100" s="230">
        <f>'Inputs by customer type'!P68</f>
        <v>139514.554</v>
      </c>
      <c r="Q100" s="203"/>
      <c r="R100" s="203"/>
      <c r="S100" s="203"/>
      <c r="T100" s="203"/>
      <c r="U100" s="203"/>
      <c r="V100" s="203"/>
      <c r="W100" s="203"/>
      <c r="X100" s="203"/>
      <c r="Y100" s="203"/>
      <c r="AQ100" s="19"/>
    </row>
    <row r="101" spans="3:43" x14ac:dyDescent="0.25">
      <c r="AQ101" s="19"/>
    </row>
    <row r="102" spans="3:43" x14ac:dyDescent="0.25">
      <c r="C102" s="73"/>
      <c r="D102" s="73" t="s">
        <v>1072</v>
      </c>
      <c r="AQ102" s="19"/>
    </row>
    <row r="103" spans="3:43" x14ac:dyDescent="0.25">
      <c r="AQ103" s="19"/>
    </row>
    <row r="104" spans="3:43" x14ac:dyDescent="0.25">
      <c r="E104" s="52" t="s">
        <v>1048</v>
      </c>
      <c r="G104" s="91"/>
      <c r="I104" t="s">
        <v>359</v>
      </c>
      <c r="AQ104" s="19"/>
    </row>
    <row r="105" spans="3:43" x14ac:dyDescent="0.25">
      <c r="E105" s="52"/>
      <c r="F105" s="38" t="s">
        <v>199</v>
      </c>
      <c r="G105" s="38" t="s">
        <v>120</v>
      </c>
      <c r="H105" s="80"/>
      <c r="I105" s="80"/>
      <c r="J105" s="201"/>
      <c r="K105" s="228">
        <f>'Inputs by customer type'!K73</f>
        <v>1.76</v>
      </c>
      <c r="L105" s="228">
        <f>'Inputs by customer type'!L73</f>
        <v>0</v>
      </c>
      <c r="M105" s="228">
        <f>'Inputs by customer type'!M73</f>
        <v>0</v>
      </c>
      <c r="N105" s="228">
        <f>'Inputs by customer type'!N73</f>
        <v>0</v>
      </c>
      <c r="O105" s="228">
        <f>'Inputs by customer type'!O73</f>
        <v>0</v>
      </c>
      <c r="P105" s="228">
        <f>'Inputs by customer type'!P73</f>
        <v>0</v>
      </c>
      <c r="Q105" s="201"/>
      <c r="R105" s="228">
        <f>'Inputs by customer type'!R73</f>
        <v>148.179</v>
      </c>
      <c r="S105" s="201"/>
      <c r="T105" s="228">
        <f>'Inputs by customer type'!T73</f>
        <v>0</v>
      </c>
      <c r="U105" s="201"/>
      <c r="V105" s="201"/>
      <c r="W105" s="201"/>
      <c r="X105" s="201"/>
      <c r="Y105" s="201"/>
      <c r="AQ105" s="19"/>
    </row>
    <row r="106" spans="3:43" x14ac:dyDescent="0.25">
      <c r="E106" s="52"/>
      <c r="F106" s="92" t="s">
        <v>200</v>
      </c>
      <c r="G106" s="92" t="s">
        <v>120</v>
      </c>
      <c r="J106" s="202"/>
      <c r="K106" s="417">
        <f>'Inputs by customer type'!K74</f>
        <v>29.321000000000005</v>
      </c>
      <c r="L106" s="417">
        <f>'Inputs by customer type'!L74</f>
        <v>0</v>
      </c>
      <c r="M106" s="417">
        <f>'Inputs by customer type'!M74</f>
        <v>0</v>
      </c>
      <c r="N106" s="417">
        <f>'Inputs by customer type'!N74</f>
        <v>0</v>
      </c>
      <c r="O106" s="417">
        <f>'Inputs by customer type'!O74</f>
        <v>0</v>
      </c>
      <c r="P106" s="417">
        <f>'Inputs by customer type'!P74</f>
        <v>0</v>
      </c>
      <c r="Q106" s="202"/>
      <c r="R106" s="417">
        <f>'Inputs by customer type'!R74</f>
        <v>594.94400000000007</v>
      </c>
      <c r="S106" s="202"/>
      <c r="T106" s="417">
        <f>'Inputs by customer type'!T74</f>
        <v>0</v>
      </c>
      <c r="U106" s="202"/>
      <c r="V106" s="202"/>
      <c r="W106" s="202"/>
      <c r="X106" s="202"/>
      <c r="Y106" s="202"/>
      <c r="AQ106" s="19"/>
    </row>
    <row r="107" spans="3:43" x14ac:dyDescent="0.25">
      <c r="E107" s="52"/>
      <c r="F107" s="92" t="s">
        <v>201</v>
      </c>
      <c r="G107" s="92" t="s">
        <v>120</v>
      </c>
      <c r="J107" s="202"/>
      <c r="K107" s="417">
        <f>'Inputs by customer type'!K75</f>
        <v>158.858</v>
      </c>
      <c r="L107" s="417">
        <f>'Inputs by customer type'!L75</f>
        <v>0</v>
      </c>
      <c r="M107" s="417">
        <f>'Inputs by customer type'!M75</f>
        <v>0</v>
      </c>
      <c r="N107" s="417">
        <f>'Inputs by customer type'!N75</f>
        <v>0</v>
      </c>
      <c r="O107" s="417">
        <f>'Inputs by customer type'!O75</f>
        <v>0</v>
      </c>
      <c r="P107" s="417">
        <f>'Inputs by customer type'!P75</f>
        <v>0</v>
      </c>
      <c r="Q107" s="202"/>
      <c r="R107" s="417">
        <f>'Inputs by customer type'!R75</f>
        <v>276.19200000000001</v>
      </c>
      <c r="S107" s="202"/>
      <c r="T107" s="417">
        <f>'Inputs by customer type'!T75</f>
        <v>0</v>
      </c>
      <c r="U107" s="202"/>
      <c r="V107" s="202"/>
      <c r="W107" s="202"/>
      <c r="X107" s="202"/>
      <c r="Y107" s="202"/>
      <c r="AQ107" s="19"/>
    </row>
    <row r="108" spans="3:43" x14ac:dyDescent="0.25">
      <c r="E108" s="52"/>
      <c r="F108" s="92" t="s">
        <v>74</v>
      </c>
      <c r="G108" s="92" t="s">
        <v>74</v>
      </c>
      <c r="J108" s="202"/>
      <c r="K108" s="417">
        <f>'Inputs by customer type'!K76</f>
        <v>61</v>
      </c>
      <c r="L108" s="417">
        <f>'Inputs by customer type'!L76</f>
        <v>0</v>
      </c>
      <c r="M108" s="417">
        <f>'Inputs by customer type'!M76</f>
        <v>0</v>
      </c>
      <c r="N108" s="417">
        <f>'Inputs by customer type'!N76</f>
        <v>0</v>
      </c>
      <c r="O108" s="417">
        <f>'Inputs by customer type'!O76</f>
        <v>0</v>
      </c>
      <c r="P108" s="417">
        <f>'Inputs by customer type'!P76</f>
        <v>0</v>
      </c>
      <c r="Q108" s="202"/>
      <c r="R108" s="417">
        <f>'Inputs by customer type'!R76</f>
        <v>62</v>
      </c>
      <c r="S108" s="202"/>
      <c r="T108" s="417">
        <f>'Inputs by customer type'!T76</f>
        <v>0</v>
      </c>
      <c r="U108" s="202"/>
      <c r="V108" s="202"/>
      <c r="W108" s="202"/>
      <c r="X108" s="202"/>
      <c r="Y108" s="202"/>
      <c r="AQ108" s="19"/>
    </row>
    <row r="109" spans="3:43" x14ac:dyDescent="0.25">
      <c r="E109" s="52"/>
      <c r="F109" s="92" t="s">
        <v>202</v>
      </c>
      <c r="G109" s="92" t="s">
        <v>169</v>
      </c>
      <c r="J109" s="202"/>
      <c r="K109" s="417">
        <f>'Inputs by customer type'!K77</f>
        <v>0</v>
      </c>
      <c r="L109" s="417">
        <f>'Inputs by customer type'!L77</f>
        <v>0</v>
      </c>
      <c r="M109" s="417">
        <f>'Inputs by customer type'!M77</f>
        <v>0</v>
      </c>
      <c r="N109" s="417">
        <f>'Inputs by customer type'!N77</f>
        <v>0</v>
      </c>
      <c r="O109" s="417">
        <f>'Inputs by customer type'!O77</f>
        <v>0</v>
      </c>
      <c r="P109" s="417">
        <f>'Inputs by customer type'!P77</f>
        <v>0</v>
      </c>
      <c r="Q109" s="202"/>
      <c r="R109" s="417">
        <f>'Inputs by customer type'!R77</f>
        <v>0</v>
      </c>
      <c r="S109" s="202"/>
      <c r="T109" s="417">
        <f>'Inputs by customer type'!T77</f>
        <v>0</v>
      </c>
      <c r="U109" s="202"/>
      <c r="V109" s="202"/>
      <c r="W109" s="202"/>
      <c r="X109" s="202"/>
      <c r="Y109" s="202"/>
      <c r="AQ109" s="19"/>
    </row>
    <row r="110" spans="3:43" x14ac:dyDescent="0.25">
      <c r="E110" s="52"/>
      <c r="F110" s="92" t="s">
        <v>203</v>
      </c>
      <c r="G110" s="92" t="s">
        <v>169</v>
      </c>
      <c r="J110" s="202"/>
      <c r="K110" s="417">
        <f>'Inputs by customer type'!K78</f>
        <v>0</v>
      </c>
      <c r="L110" s="417">
        <f>'Inputs by customer type'!L78</f>
        <v>0</v>
      </c>
      <c r="M110" s="417">
        <f>'Inputs by customer type'!M78</f>
        <v>0</v>
      </c>
      <c r="N110" s="417">
        <f>'Inputs by customer type'!N78</f>
        <v>0</v>
      </c>
      <c r="O110" s="417">
        <f>'Inputs by customer type'!O78</f>
        <v>0</v>
      </c>
      <c r="P110" s="417">
        <f>'Inputs by customer type'!P78</f>
        <v>0</v>
      </c>
      <c r="Q110" s="202"/>
      <c r="R110" s="417">
        <f>'Inputs by customer type'!R78</f>
        <v>0</v>
      </c>
      <c r="S110" s="202"/>
      <c r="T110" s="417">
        <f>'Inputs by customer type'!T78</f>
        <v>0</v>
      </c>
      <c r="U110" s="202"/>
      <c r="V110" s="202"/>
      <c r="W110" s="202"/>
      <c r="X110" s="202"/>
      <c r="Y110" s="202"/>
      <c r="AQ110" s="19"/>
    </row>
    <row r="111" spans="3:43" x14ac:dyDescent="0.25">
      <c r="E111" s="52"/>
      <c r="F111" s="34" t="s">
        <v>204</v>
      </c>
      <c r="G111" s="34" t="s">
        <v>170</v>
      </c>
      <c r="H111" s="17"/>
      <c r="I111" s="17"/>
      <c r="J111" s="203"/>
      <c r="K111" s="230">
        <f>'Inputs by customer type'!K79</f>
        <v>0</v>
      </c>
      <c r="L111" s="230">
        <f>'Inputs by customer type'!L79</f>
        <v>0</v>
      </c>
      <c r="M111" s="230">
        <f>'Inputs by customer type'!M79</f>
        <v>0</v>
      </c>
      <c r="N111" s="230">
        <f>'Inputs by customer type'!N79</f>
        <v>0</v>
      </c>
      <c r="O111" s="230">
        <f>'Inputs by customer type'!O79</f>
        <v>0</v>
      </c>
      <c r="P111" s="230">
        <f>'Inputs by customer type'!P79</f>
        <v>0</v>
      </c>
      <c r="Q111" s="203"/>
      <c r="R111" s="230">
        <f>'Inputs by customer type'!R79</f>
        <v>0</v>
      </c>
      <c r="S111" s="203"/>
      <c r="T111" s="230">
        <f>'Inputs by customer type'!T79</f>
        <v>0</v>
      </c>
      <c r="U111" s="203"/>
      <c r="V111" s="203"/>
      <c r="W111" s="203"/>
      <c r="X111" s="203"/>
      <c r="Y111" s="203"/>
      <c r="AQ111" s="19"/>
    </row>
    <row r="112" spans="3:43" x14ac:dyDescent="0.25">
      <c r="C112" s="73"/>
      <c r="AQ112" s="19"/>
    </row>
    <row r="113" spans="5:43" x14ac:dyDescent="0.25">
      <c r="E113" s="52" t="s">
        <v>1049</v>
      </c>
      <c r="G113" s="91"/>
      <c r="I113" t="s">
        <v>359</v>
      </c>
      <c r="AQ113" s="19"/>
    </row>
    <row r="114" spans="5:43" x14ac:dyDescent="0.25">
      <c r="E114" s="52"/>
      <c r="F114" s="38" t="s">
        <v>199</v>
      </c>
      <c r="G114" s="38" t="s">
        <v>120</v>
      </c>
      <c r="H114" s="80"/>
      <c r="I114" s="80"/>
      <c r="J114" s="228">
        <f>'Inputs by customer type'!J82</f>
        <v>20086.258114403387</v>
      </c>
      <c r="K114" s="201"/>
      <c r="L114" s="228">
        <f>'Inputs by customer type'!L82</f>
        <v>176.73692201913369</v>
      </c>
      <c r="M114" s="201"/>
      <c r="N114" s="228">
        <f>'Inputs by customer type'!N82</f>
        <v>186.44116259697142</v>
      </c>
      <c r="O114" s="228">
        <f>'Inputs by customer type'!O82</f>
        <v>0</v>
      </c>
      <c r="P114" s="228">
        <f>'Inputs by customer type'!P82</f>
        <v>0</v>
      </c>
      <c r="Q114" s="228">
        <f>'Inputs by customer type'!Q82</f>
        <v>27.518494778325124</v>
      </c>
      <c r="R114" s="201"/>
      <c r="S114" s="201"/>
      <c r="T114" s="201"/>
      <c r="U114" s="201"/>
      <c r="V114" s="201"/>
      <c r="W114" s="201"/>
      <c r="X114" s="201"/>
      <c r="Y114" s="201"/>
      <c r="AQ114" s="19"/>
    </row>
    <row r="115" spans="5:43" x14ac:dyDescent="0.25">
      <c r="E115" s="52"/>
      <c r="F115" s="92" t="s">
        <v>200</v>
      </c>
      <c r="G115" s="92" t="s">
        <v>120</v>
      </c>
      <c r="J115" s="417">
        <f>'Inputs by customer type'!J83</f>
        <v>69532.309980270977</v>
      </c>
      <c r="K115" s="202"/>
      <c r="L115" s="417">
        <f>'Inputs by customer type'!L83</f>
        <v>915.56999609230968</v>
      </c>
      <c r="M115" s="202"/>
      <c r="N115" s="417">
        <f>'Inputs by customer type'!N83</f>
        <v>839.82213731571881</v>
      </c>
      <c r="O115" s="417">
        <f>'Inputs by customer type'!O83</f>
        <v>0</v>
      </c>
      <c r="P115" s="417">
        <f>'Inputs by customer type'!P83</f>
        <v>0</v>
      </c>
      <c r="Q115" s="417">
        <f>'Inputs by customer type'!Q83</f>
        <v>308.80785736453203</v>
      </c>
      <c r="R115" s="202"/>
      <c r="S115" s="202"/>
      <c r="T115" s="202"/>
      <c r="U115" s="202"/>
      <c r="V115" s="202"/>
      <c r="W115" s="202"/>
      <c r="X115" s="202"/>
      <c r="Y115" s="202"/>
      <c r="AQ115" s="19"/>
    </row>
    <row r="116" spans="5:43" x14ac:dyDescent="0.25">
      <c r="E116" s="52"/>
      <c r="F116" s="92" t="s">
        <v>201</v>
      </c>
      <c r="G116" s="92" t="s">
        <v>120</v>
      </c>
      <c r="J116" s="417">
        <f>'Inputs by customer type'!J84</f>
        <v>61812.930833280705</v>
      </c>
      <c r="K116" s="202"/>
      <c r="L116" s="417">
        <f>'Inputs by customer type'!L84</f>
        <v>695.14352925185995</v>
      </c>
      <c r="M116" s="202"/>
      <c r="N116" s="417">
        <f>'Inputs by customer type'!N84</f>
        <v>749.20020265161486</v>
      </c>
      <c r="O116" s="417">
        <f>'Inputs by customer type'!O84</f>
        <v>0</v>
      </c>
      <c r="P116" s="417">
        <f>'Inputs by customer type'!P84</f>
        <v>0</v>
      </c>
      <c r="Q116" s="417">
        <f>'Inputs by customer type'!Q84</f>
        <v>331.63771002463056</v>
      </c>
      <c r="R116" s="202"/>
      <c r="S116" s="202"/>
      <c r="T116" s="202"/>
      <c r="U116" s="202"/>
      <c r="V116" s="202"/>
      <c r="W116" s="202"/>
      <c r="X116" s="202"/>
      <c r="Y116" s="202"/>
      <c r="AQ116" s="19"/>
    </row>
    <row r="117" spans="5:43" x14ac:dyDescent="0.25">
      <c r="E117" s="52"/>
      <c r="F117" s="92" t="s">
        <v>74</v>
      </c>
      <c r="G117" s="92" t="s">
        <v>74</v>
      </c>
      <c r="J117" s="417">
        <f>'Inputs by customer type'!J85</f>
        <v>55364.654773703347</v>
      </c>
      <c r="K117" s="202"/>
      <c r="L117" s="417">
        <f>'Inputs by customer type'!L85</f>
        <v>639</v>
      </c>
      <c r="M117" s="202"/>
      <c r="N117" s="417">
        <f>'Inputs by customer type'!N85</f>
        <v>30</v>
      </c>
      <c r="O117" s="417">
        <f>'Inputs by customer type'!O85</f>
        <v>0</v>
      </c>
      <c r="P117" s="417">
        <f>'Inputs by customer type'!P85</f>
        <v>0</v>
      </c>
      <c r="Q117" s="417">
        <f>'Inputs by customer type'!Q85</f>
        <v>71</v>
      </c>
      <c r="R117" s="202"/>
      <c r="S117" s="202"/>
      <c r="T117" s="202"/>
      <c r="U117" s="202"/>
      <c r="V117" s="202"/>
      <c r="W117" s="202"/>
      <c r="X117" s="202"/>
      <c r="Y117" s="202"/>
      <c r="AQ117" s="19"/>
    </row>
    <row r="118" spans="5:43" x14ac:dyDescent="0.25">
      <c r="E118" s="52"/>
      <c r="F118" s="92" t="s">
        <v>202</v>
      </c>
      <c r="G118" s="92" t="s">
        <v>169</v>
      </c>
      <c r="J118" s="417">
        <f>'Inputs by customer type'!J86</f>
        <v>0</v>
      </c>
      <c r="K118" s="202"/>
      <c r="L118" s="417">
        <f>'Inputs by customer type'!L86</f>
        <v>0</v>
      </c>
      <c r="M118" s="202"/>
      <c r="N118" s="417">
        <f>'Inputs by customer type'!N86</f>
        <v>1490</v>
      </c>
      <c r="O118" s="417">
        <f>'Inputs by customer type'!O86</f>
        <v>0</v>
      </c>
      <c r="P118" s="417">
        <f>'Inputs by customer type'!P86</f>
        <v>0</v>
      </c>
      <c r="Q118" s="417">
        <f>'Inputs by customer type'!Q86</f>
        <v>0</v>
      </c>
      <c r="R118" s="202"/>
      <c r="S118" s="202"/>
      <c r="T118" s="202"/>
      <c r="U118" s="202"/>
      <c r="V118" s="202"/>
      <c r="W118" s="202"/>
      <c r="X118" s="202"/>
      <c r="Y118" s="202"/>
      <c r="AQ118" s="19"/>
    </row>
    <row r="119" spans="5:43" x14ac:dyDescent="0.25">
      <c r="E119" s="52"/>
      <c r="F119" s="92" t="s">
        <v>203</v>
      </c>
      <c r="G119" s="92" t="s">
        <v>169</v>
      </c>
      <c r="J119" s="417">
        <f>'Inputs by customer type'!J87</f>
        <v>0</v>
      </c>
      <c r="K119" s="202"/>
      <c r="L119" s="417">
        <f>'Inputs by customer type'!L87</f>
        <v>0</v>
      </c>
      <c r="M119" s="202"/>
      <c r="N119" s="417">
        <f>'Inputs by customer type'!N87</f>
        <v>5</v>
      </c>
      <c r="O119" s="417">
        <f>'Inputs by customer type'!O87</f>
        <v>0</v>
      </c>
      <c r="P119" s="417">
        <f>'Inputs by customer type'!P87</f>
        <v>0</v>
      </c>
      <c r="Q119" s="417">
        <f>'Inputs by customer type'!Q87</f>
        <v>0</v>
      </c>
      <c r="R119" s="202"/>
      <c r="S119" s="202"/>
      <c r="T119" s="202"/>
      <c r="U119" s="202"/>
      <c r="V119" s="202"/>
      <c r="W119" s="202"/>
      <c r="X119" s="202"/>
      <c r="Y119" s="202"/>
      <c r="AQ119" s="19"/>
    </row>
    <row r="120" spans="5:43" x14ac:dyDescent="0.25">
      <c r="E120" s="52"/>
      <c r="F120" s="34" t="s">
        <v>204</v>
      </c>
      <c r="G120" s="34" t="s">
        <v>170</v>
      </c>
      <c r="H120" s="17"/>
      <c r="I120" s="17"/>
      <c r="J120" s="230">
        <f>'Inputs by customer type'!J88</f>
        <v>0</v>
      </c>
      <c r="K120" s="203"/>
      <c r="L120" s="230">
        <f>'Inputs by customer type'!L88</f>
        <v>0</v>
      </c>
      <c r="M120" s="203"/>
      <c r="N120" s="230">
        <f>'Inputs by customer type'!N88</f>
        <v>99.444000000000003</v>
      </c>
      <c r="O120" s="230">
        <f>'Inputs by customer type'!O88</f>
        <v>0</v>
      </c>
      <c r="P120" s="230">
        <f>'Inputs by customer type'!P88</f>
        <v>0</v>
      </c>
      <c r="Q120" s="230">
        <f>'Inputs by customer type'!Q88</f>
        <v>0</v>
      </c>
      <c r="R120" s="203"/>
      <c r="S120" s="203"/>
      <c r="T120" s="203"/>
      <c r="U120" s="203"/>
      <c r="V120" s="203"/>
      <c r="W120" s="203"/>
      <c r="X120" s="203"/>
      <c r="Y120" s="203"/>
      <c r="AQ120" s="19"/>
    </row>
    <row r="121" spans="5:43" x14ac:dyDescent="0.25">
      <c r="AQ121" s="19"/>
    </row>
    <row r="122" spans="5:43" x14ac:dyDescent="0.25">
      <c r="E122" s="52" t="s">
        <v>1050</v>
      </c>
      <c r="G122" s="91"/>
      <c r="I122" t="s">
        <v>359</v>
      </c>
      <c r="AQ122" s="19"/>
    </row>
    <row r="123" spans="5:43" x14ac:dyDescent="0.25">
      <c r="E123" s="52"/>
      <c r="F123" s="38" t="s">
        <v>199</v>
      </c>
      <c r="G123" s="38" t="s">
        <v>120</v>
      </c>
      <c r="H123" s="80"/>
      <c r="I123" s="80"/>
      <c r="J123" s="201"/>
      <c r="K123" s="201"/>
      <c r="L123" s="228">
        <f>'Inputs by customer type'!L91</f>
        <v>234.45560805277455</v>
      </c>
      <c r="M123" s="201"/>
      <c r="N123" s="228">
        <f>'Inputs by customer type'!N91</f>
        <v>454.96648805542816</v>
      </c>
      <c r="O123" s="228">
        <f>'Inputs by customer type'!O91</f>
        <v>0</v>
      </c>
      <c r="P123" s="228">
        <f>'Inputs by customer type'!P91</f>
        <v>0</v>
      </c>
      <c r="Q123" s="201"/>
      <c r="R123" s="201"/>
      <c r="S123" s="201"/>
      <c r="T123" s="201"/>
      <c r="U123" s="201"/>
      <c r="V123" s="201"/>
      <c r="W123" s="201"/>
      <c r="X123" s="201"/>
      <c r="Y123" s="201"/>
      <c r="AQ123" s="19"/>
    </row>
    <row r="124" spans="5:43" x14ac:dyDescent="0.25">
      <c r="E124" s="52"/>
      <c r="F124" s="92" t="s">
        <v>200</v>
      </c>
      <c r="G124" s="92" t="s">
        <v>120</v>
      </c>
      <c r="J124" s="202"/>
      <c r="K124" s="202"/>
      <c r="L124" s="417">
        <f>'Inputs by customer type'!L92</f>
        <v>1214.5765451627567</v>
      </c>
      <c r="M124" s="202"/>
      <c r="N124" s="417">
        <f>'Inputs by customer type'!N92</f>
        <v>2049.3914706576866</v>
      </c>
      <c r="O124" s="417">
        <f>'Inputs by customer type'!O92</f>
        <v>0</v>
      </c>
      <c r="P124" s="417">
        <f>'Inputs by customer type'!P92</f>
        <v>0</v>
      </c>
      <c r="Q124" s="202"/>
      <c r="R124" s="202"/>
      <c r="S124" s="202"/>
      <c r="T124" s="202"/>
      <c r="U124" s="202"/>
      <c r="V124" s="202"/>
      <c r="W124" s="202"/>
      <c r="X124" s="202"/>
      <c r="Y124" s="202"/>
      <c r="AQ124" s="19"/>
    </row>
    <row r="125" spans="5:43" x14ac:dyDescent="0.25">
      <c r="E125" s="52"/>
      <c r="F125" s="92" t="s">
        <v>201</v>
      </c>
      <c r="G125" s="92" t="s">
        <v>120</v>
      </c>
      <c r="J125" s="202"/>
      <c r="K125" s="202"/>
      <c r="L125" s="417">
        <f>'Inputs by customer type'!L93</f>
        <v>922.1632750685344</v>
      </c>
      <c r="M125" s="202"/>
      <c r="N125" s="417">
        <f>'Inputs by customer type'!N93</f>
        <v>1828.2496220411217</v>
      </c>
      <c r="O125" s="417">
        <f>'Inputs by customer type'!O93</f>
        <v>0</v>
      </c>
      <c r="P125" s="417">
        <f>'Inputs by customer type'!P93</f>
        <v>0</v>
      </c>
      <c r="Q125" s="202"/>
      <c r="R125" s="202"/>
      <c r="S125" s="202"/>
      <c r="T125" s="202"/>
      <c r="U125" s="202"/>
      <c r="V125" s="202"/>
      <c r="W125" s="202"/>
      <c r="X125" s="202"/>
      <c r="Y125" s="202"/>
      <c r="AQ125" s="19"/>
    </row>
    <row r="126" spans="5:43" x14ac:dyDescent="0.25">
      <c r="E126" s="52"/>
      <c r="F126" s="92" t="s">
        <v>74</v>
      </c>
      <c r="G126" s="92" t="s">
        <v>74</v>
      </c>
      <c r="J126" s="202"/>
      <c r="K126" s="202"/>
      <c r="L126" s="417">
        <f>'Inputs by customer type'!L94</f>
        <v>307</v>
      </c>
      <c r="M126" s="202"/>
      <c r="N126" s="417">
        <f>'Inputs by customer type'!N94</f>
        <v>34</v>
      </c>
      <c r="O126" s="417">
        <f>'Inputs by customer type'!O94</f>
        <v>0</v>
      </c>
      <c r="P126" s="417">
        <f>'Inputs by customer type'!P94</f>
        <v>0</v>
      </c>
      <c r="Q126" s="202"/>
      <c r="R126" s="202"/>
      <c r="S126" s="202"/>
      <c r="T126" s="202"/>
      <c r="U126" s="202"/>
      <c r="V126" s="202"/>
      <c r="W126" s="202"/>
      <c r="X126" s="202"/>
      <c r="Y126" s="202"/>
      <c r="AQ126" s="19"/>
    </row>
    <row r="127" spans="5:43" x14ac:dyDescent="0.25">
      <c r="E127" s="52"/>
      <c r="F127" s="92" t="s">
        <v>202</v>
      </c>
      <c r="G127" s="92" t="s">
        <v>169</v>
      </c>
      <c r="J127" s="202"/>
      <c r="K127" s="202"/>
      <c r="L127" s="417">
        <f>'Inputs by customer type'!L95</f>
        <v>0</v>
      </c>
      <c r="M127" s="202"/>
      <c r="N127" s="417">
        <f>'Inputs by customer type'!N95</f>
        <v>3636</v>
      </c>
      <c r="O127" s="417">
        <f>'Inputs by customer type'!O95</f>
        <v>0</v>
      </c>
      <c r="P127" s="417">
        <f>'Inputs by customer type'!P95</f>
        <v>0</v>
      </c>
      <c r="Q127" s="202"/>
      <c r="R127" s="202"/>
      <c r="S127" s="202"/>
      <c r="T127" s="202"/>
      <c r="U127" s="202"/>
      <c r="V127" s="202"/>
      <c r="W127" s="202"/>
      <c r="X127" s="202"/>
      <c r="Y127" s="202"/>
      <c r="AQ127" s="19"/>
    </row>
    <row r="128" spans="5:43" x14ac:dyDescent="0.25">
      <c r="E128" s="52"/>
      <c r="F128" s="92" t="s">
        <v>203</v>
      </c>
      <c r="G128" s="92" t="s">
        <v>169</v>
      </c>
      <c r="J128" s="202"/>
      <c r="K128" s="202"/>
      <c r="L128" s="417">
        <f>'Inputs by customer type'!L96</f>
        <v>0</v>
      </c>
      <c r="M128" s="202"/>
      <c r="N128" s="417">
        <f>'Inputs by customer type'!N96</f>
        <v>12</v>
      </c>
      <c r="O128" s="417">
        <f>'Inputs by customer type'!O96</f>
        <v>0</v>
      </c>
      <c r="P128" s="417">
        <f>'Inputs by customer type'!P96</f>
        <v>0</v>
      </c>
      <c r="Q128" s="202"/>
      <c r="R128" s="202"/>
      <c r="S128" s="202"/>
      <c r="T128" s="202"/>
      <c r="U128" s="202"/>
      <c r="V128" s="202"/>
      <c r="W128" s="202"/>
      <c r="X128" s="202"/>
      <c r="Y128" s="202"/>
      <c r="AQ128" s="19"/>
    </row>
    <row r="129" spans="5:43" x14ac:dyDescent="0.25">
      <c r="E129" s="52"/>
      <c r="F129" s="34" t="s">
        <v>204</v>
      </c>
      <c r="G129" s="34" t="s">
        <v>170</v>
      </c>
      <c r="H129" s="17"/>
      <c r="I129" s="17"/>
      <c r="J129" s="203"/>
      <c r="K129" s="203"/>
      <c r="L129" s="230">
        <f>'Inputs by customer type'!L97</f>
        <v>0</v>
      </c>
      <c r="M129" s="203"/>
      <c r="N129" s="230">
        <f>'Inputs by customer type'!N97</f>
        <v>242.67099999999999</v>
      </c>
      <c r="O129" s="230">
        <f>'Inputs by customer type'!O97</f>
        <v>0</v>
      </c>
      <c r="P129" s="230">
        <f>'Inputs by customer type'!P97</f>
        <v>0</v>
      </c>
      <c r="Q129" s="203"/>
      <c r="R129" s="203"/>
      <c r="S129" s="203"/>
      <c r="T129" s="203"/>
      <c r="U129" s="203"/>
      <c r="V129" s="203"/>
      <c r="W129" s="203"/>
      <c r="X129" s="203"/>
      <c r="Y129" s="203"/>
      <c r="AQ129" s="19"/>
    </row>
    <row r="130" spans="5:43" x14ac:dyDescent="0.25">
      <c r="AQ130" s="19"/>
    </row>
    <row r="131" spans="5:43" x14ac:dyDescent="0.25">
      <c r="E131" s="52" t="s">
        <v>1051</v>
      </c>
      <c r="G131" s="91"/>
      <c r="I131" t="s">
        <v>359</v>
      </c>
      <c r="AQ131" s="19"/>
    </row>
    <row r="132" spans="5:43" x14ac:dyDescent="0.25">
      <c r="E132" s="52"/>
      <c r="F132" s="38" t="s">
        <v>199</v>
      </c>
      <c r="G132" s="38" t="s">
        <v>120</v>
      </c>
      <c r="H132" s="80"/>
      <c r="I132" s="80"/>
      <c r="J132" s="201"/>
      <c r="K132" s="201"/>
      <c r="L132" s="228">
        <f>'Inputs by customer type'!L100</f>
        <v>163.62443809251536</v>
      </c>
      <c r="M132" s="201"/>
      <c r="N132" s="228">
        <f>'Inputs by customer type'!N100</f>
        <v>842.48882400362993</v>
      </c>
      <c r="O132" s="228">
        <f>'Inputs by customer type'!O100</f>
        <v>0</v>
      </c>
      <c r="P132" s="228">
        <f>'Inputs by customer type'!P100</f>
        <v>0</v>
      </c>
      <c r="Q132" s="201"/>
      <c r="R132" s="201"/>
      <c r="S132" s="201"/>
      <c r="T132" s="201"/>
      <c r="U132" s="201"/>
      <c r="V132" s="201"/>
      <c r="W132" s="201"/>
      <c r="X132" s="201"/>
      <c r="Y132" s="201"/>
      <c r="AQ132" s="19"/>
    </row>
    <row r="133" spans="5:43" x14ac:dyDescent="0.25">
      <c r="E133" s="52"/>
      <c r="F133" s="92" t="s">
        <v>200</v>
      </c>
      <c r="G133" s="92" t="s">
        <v>120</v>
      </c>
      <c r="J133" s="202"/>
      <c r="K133" s="202"/>
      <c r="L133" s="417">
        <f>'Inputs by customer type'!L101</f>
        <v>847.64193261639002</v>
      </c>
      <c r="M133" s="202"/>
      <c r="N133" s="417">
        <f>'Inputs by customer type'!N101</f>
        <v>3794.9815104340501</v>
      </c>
      <c r="O133" s="417">
        <f>'Inputs by customer type'!O101</f>
        <v>0</v>
      </c>
      <c r="P133" s="417">
        <f>'Inputs by customer type'!P101</f>
        <v>0</v>
      </c>
      <c r="Q133" s="202"/>
      <c r="R133" s="202"/>
      <c r="S133" s="202"/>
      <c r="T133" s="202"/>
      <c r="U133" s="202"/>
      <c r="V133" s="202"/>
      <c r="W133" s="202"/>
      <c r="X133" s="202"/>
      <c r="Y133" s="202"/>
      <c r="AQ133" s="19"/>
    </row>
    <row r="134" spans="5:43" x14ac:dyDescent="0.25">
      <c r="E134" s="52"/>
      <c r="F134" s="92" t="s">
        <v>201</v>
      </c>
      <c r="G134" s="92" t="s">
        <v>120</v>
      </c>
      <c r="J134" s="202"/>
      <c r="K134" s="202"/>
      <c r="L134" s="417">
        <f>'Inputs by customer type'!L102</f>
        <v>643.56936891302064</v>
      </c>
      <c r="M134" s="202"/>
      <c r="N134" s="417">
        <f>'Inputs by customer type'!N102</f>
        <v>3385.479841914982</v>
      </c>
      <c r="O134" s="417">
        <f>'Inputs by customer type'!O102</f>
        <v>0</v>
      </c>
      <c r="P134" s="417">
        <f>'Inputs by customer type'!P102</f>
        <v>0</v>
      </c>
      <c r="Q134" s="202"/>
      <c r="R134" s="202"/>
      <c r="S134" s="202"/>
      <c r="T134" s="202"/>
      <c r="U134" s="202"/>
      <c r="V134" s="202"/>
      <c r="W134" s="202"/>
      <c r="X134" s="202"/>
      <c r="Y134" s="202"/>
      <c r="AQ134" s="19"/>
    </row>
    <row r="135" spans="5:43" x14ac:dyDescent="0.25">
      <c r="E135" s="52"/>
      <c r="F135" s="92" t="s">
        <v>74</v>
      </c>
      <c r="G135" s="92" t="s">
        <v>74</v>
      </c>
      <c r="J135" s="202"/>
      <c r="K135" s="202"/>
      <c r="L135" s="417">
        <f>'Inputs by customer type'!L103</f>
        <v>160</v>
      </c>
      <c r="M135" s="202"/>
      <c r="N135" s="417">
        <f>'Inputs by customer type'!N103</f>
        <v>36</v>
      </c>
      <c r="O135" s="417">
        <f>'Inputs by customer type'!O103</f>
        <v>0</v>
      </c>
      <c r="P135" s="417">
        <f>'Inputs by customer type'!P103</f>
        <v>0</v>
      </c>
      <c r="Q135" s="202"/>
      <c r="R135" s="202"/>
      <c r="S135" s="202"/>
      <c r="T135" s="202"/>
      <c r="U135" s="202"/>
      <c r="V135" s="202"/>
      <c r="W135" s="202"/>
      <c r="X135" s="202"/>
      <c r="Y135" s="202"/>
      <c r="AQ135" s="19"/>
    </row>
    <row r="136" spans="5:43" x14ac:dyDescent="0.25">
      <c r="E136" s="52"/>
      <c r="F136" s="92" t="s">
        <v>202</v>
      </c>
      <c r="G136" s="92" t="s">
        <v>169</v>
      </c>
      <c r="J136" s="202"/>
      <c r="K136" s="202"/>
      <c r="L136" s="417">
        <f>'Inputs by customer type'!L104</f>
        <v>0</v>
      </c>
      <c r="M136" s="202"/>
      <c r="N136" s="417">
        <f>'Inputs by customer type'!N104</f>
        <v>6733</v>
      </c>
      <c r="O136" s="417">
        <f>'Inputs by customer type'!O104</f>
        <v>0</v>
      </c>
      <c r="P136" s="417">
        <f>'Inputs by customer type'!P104</f>
        <v>0</v>
      </c>
      <c r="Q136" s="202"/>
      <c r="R136" s="202"/>
      <c r="S136" s="202"/>
      <c r="T136" s="202"/>
      <c r="U136" s="202"/>
      <c r="V136" s="202"/>
      <c r="W136" s="202"/>
      <c r="X136" s="202"/>
      <c r="Y136" s="202"/>
      <c r="AQ136" s="19"/>
    </row>
    <row r="137" spans="5:43" x14ac:dyDescent="0.25">
      <c r="E137" s="52"/>
      <c r="F137" s="92" t="s">
        <v>203</v>
      </c>
      <c r="G137" s="92" t="s">
        <v>169</v>
      </c>
      <c r="J137" s="202"/>
      <c r="K137" s="202"/>
      <c r="L137" s="417">
        <f>'Inputs by customer type'!L105</f>
        <v>0</v>
      </c>
      <c r="M137" s="202"/>
      <c r="N137" s="417">
        <f>'Inputs by customer type'!N105</f>
        <v>22</v>
      </c>
      <c r="O137" s="417">
        <f>'Inputs by customer type'!O105</f>
        <v>0</v>
      </c>
      <c r="P137" s="417">
        <f>'Inputs by customer type'!P105</f>
        <v>0</v>
      </c>
      <c r="Q137" s="202"/>
      <c r="R137" s="202"/>
      <c r="S137" s="202"/>
      <c r="T137" s="202"/>
      <c r="U137" s="202"/>
      <c r="V137" s="202"/>
      <c r="W137" s="202"/>
      <c r="X137" s="202"/>
      <c r="Y137" s="202"/>
      <c r="AQ137" s="19"/>
    </row>
    <row r="138" spans="5:43" x14ac:dyDescent="0.25">
      <c r="E138" s="52"/>
      <c r="F138" s="34" t="s">
        <v>204</v>
      </c>
      <c r="G138" s="34" t="s">
        <v>170</v>
      </c>
      <c r="H138" s="17"/>
      <c r="I138" s="17"/>
      <c r="J138" s="203"/>
      <c r="K138" s="203"/>
      <c r="L138" s="230">
        <f>'Inputs by customer type'!L106</f>
        <v>0</v>
      </c>
      <c r="M138" s="203"/>
      <c r="N138" s="230">
        <f>'Inputs by customer type'!N106</f>
        <v>449.36799999999999</v>
      </c>
      <c r="O138" s="230">
        <f>'Inputs by customer type'!O106</f>
        <v>0</v>
      </c>
      <c r="P138" s="230">
        <f>'Inputs by customer type'!P106</f>
        <v>0</v>
      </c>
      <c r="Q138" s="203"/>
      <c r="R138" s="203"/>
      <c r="S138" s="203"/>
      <c r="T138" s="203"/>
      <c r="U138" s="203"/>
      <c r="V138" s="203"/>
      <c r="W138" s="203"/>
      <c r="X138" s="203"/>
      <c r="Y138" s="203"/>
      <c r="AQ138" s="19"/>
    </row>
    <row r="139" spans="5:43" x14ac:dyDescent="0.25">
      <c r="AQ139" s="19"/>
    </row>
    <row r="140" spans="5:43" x14ac:dyDescent="0.25">
      <c r="E140" s="52" t="s">
        <v>1052</v>
      </c>
      <c r="G140" s="91"/>
      <c r="I140" t="s">
        <v>359</v>
      </c>
      <c r="AQ140" s="19"/>
    </row>
    <row r="141" spans="5:43" x14ac:dyDescent="0.25">
      <c r="E141" s="52"/>
      <c r="F141" s="38" t="s">
        <v>199</v>
      </c>
      <c r="G141" s="38" t="s">
        <v>120</v>
      </c>
      <c r="H141" s="80"/>
      <c r="I141" s="80"/>
      <c r="J141" s="201"/>
      <c r="K141" s="201"/>
      <c r="L141" s="228">
        <f>'Inputs by customer type'!L109</f>
        <v>274.2552933536906</v>
      </c>
      <c r="M141" s="201"/>
      <c r="N141" s="228">
        <f>'Inputs by customer type'!N109</f>
        <v>610.7512178763875</v>
      </c>
      <c r="O141" s="228">
        <f>'Inputs by customer type'!O109</f>
        <v>0</v>
      </c>
      <c r="P141" s="228">
        <f>'Inputs by customer type'!P109</f>
        <v>0</v>
      </c>
      <c r="Q141" s="201"/>
      <c r="R141" s="201"/>
      <c r="S141" s="201"/>
      <c r="T141" s="201"/>
      <c r="U141" s="201"/>
      <c r="V141" s="201"/>
      <c r="W141" s="201"/>
      <c r="X141" s="201"/>
      <c r="Y141" s="201"/>
      <c r="AQ141" s="19"/>
    </row>
    <row r="142" spans="5:43" x14ac:dyDescent="0.25">
      <c r="E142" s="52"/>
      <c r="F142" s="92" t="s">
        <v>200</v>
      </c>
      <c r="G142" s="92" t="s">
        <v>120</v>
      </c>
      <c r="J142" s="202"/>
      <c r="K142" s="202"/>
      <c r="L142" s="417">
        <f>'Inputs by customer type'!L110</f>
        <v>1420.7552954721566</v>
      </c>
      <c r="M142" s="202"/>
      <c r="N142" s="417">
        <f>'Inputs by customer type'!N110</f>
        <v>2751.122048481895</v>
      </c>
      <c r="O142" s="417">
        <f>'Inputs by customer type'!O110</f>
        <v>0</v>
      </c>
      <c r="P142" s="417">
        <f>'Inputs by customer type'!P110</f>
        <v>0</v>
      </c>
      <c r="Q142" s="202"/>
      <c r="R142" s="202"/>
      <c r="S142" s="202"/>
      <c r="T142" s="202"/>
      <c r="U142" s="202"/>
      <c r="V142" s="202"/>
      <c r="W142" s="202"/>
      <c r="X142" s="202"/>
      <c r="Y142" s="202"/>
      <c r="AQ142" s="19"/>
    </row>
    <row r="143" spans="5:43" x14ac:dyDescent="0.25">
      <c r="E143" s="52"/>
      <c r="F143" s="92" t="s">
        <v>201</v>
      </c>
      <c r="G143" s="92" t="s">
        <v>120</v>
      </c>
      <c r="J143" s="202"/>
      <c r="K143" s="202"/>
      <c r="L143" s="417">
        <f>'Inputs by customer type'!L111</f>
        <v>1078.7038178544778</v>
      </c>
      <c r="M143" s="202"/>
      <c r="N143" s="417">
        <f>'Inputs by customer type'!N111</f>
        <v>2454.2591873439815</v>
      </c>
      <c r="O143" s="417">
        <f>'Inputs by customer type'!O111</f>
        <v>0</v>
      </c>
      <c r="P143" s="417">
        <f>'Inputs by customer type'!P111</f>
        <v>0</v>
      </c>
      <c r="Q143" s="202"/>
      <c r="R143" s="202"/>
      <c r="S143" s="202"/>
      <c r="T143" s="202"/>
      <c r="U143" s="202"/>
      <c r="V143" s="202"/>
      <c r="W143" s="202"/>
      <c r="X143" s="202"/>
      <c r="Y143" s="202"/>
      <c r="AQ143" s="19"/>
    </row>
    <row r="144" spans="5:43" x14ac:dyDescent="0.25">
      <c r="E144" s="52"/>
      <c r="F144" s="92" t="s">
        <v>74</v>
      </c>
      <c r="G144" s="92" t="s">
        <v>74</v>
      </c>
      <c r="J144" s="202"/>
      <c r="K144" s="202"/>
      <c r="L144" s="417">
        <f>'Inputs by customer type'!L112</f>
        <v>87</v>
      </c>
      <c r="M144" s="202"/>
      <c r="N144" s="417">
        <f>'Inputs by customer type'!N112</f>
        <v>9</v>
      </c>
      <c r="O144" s="417">
        <f>'Inputs by customer type'!O112</f>
        <v>0</v>
      </c>
      <c r="P144" s="417">
        <f>'Inputs by customer type'!P112</f>
        <v>0</v>
      </c>
      <c r="Q144" s="202"/>
      <c r="R144" s="202"/>
      <c r="S144" s="202"/>
      <c r="T144" s="202"/>
      <c r="U144" s="202"/>
      <c r="V144" s="202"/>
      <c r="W144" s="202"/>
      <c r="X144" s="202"/>
      <c r="Y144" s="202"/>
      <c r="AQ144" s="19"/>
    </row>
    <row r="145" spans="3:43" x14ac:dyDescent="0.25">
      <c r="E145" s="52"/>
      <c r="F145" s="92" t="s">
        <v>202</v>
      </c>
      <c r="G145" s="92" t="s">
        <v>169</v>
      </c>
      <c r="J145" s="202"/>
      <c r="K145" s="202"/>
      <c r="L145" s="417">
        <f>'Inputs by customer type'!L113</f>
        <v>0</v>
      </c>
      <c r="M145" s="202"/>
      <c r="N145" s="417">
        <f>'Inputs by customer type'!N113</f>
        <v>4881</v>
      </c>
      <c r="O145" s="417">
        <f>'Inputs by customer type'!O113</f>
        <v>0</v>
      </c>
      <c r="P145" s="417">
        <f>'Inputs by customer type'!P113</f>
        <v>0</v>
      </c>
      <c r="Q145" s="202"/>
      <c r="R145" s="202"/>
      <c r="S145" s="202"/>
      <c r="T145" s="202"/>
      <c r="U145" s="202"/>
      <c r="V145" s="202"/>
      <c r="W145" s="202"/>
      <c r="X145" s="202"/>
      <c r="Y145" s="202"/>
      <c r="AQ145" s="19"/>
    </row>
    <row r="146" spans="3:43" x14ac:dyDescent="0.25">
      <c r="E146" s="52"/>
      <c r="F146" s="92" t="s">
        <v>203</v>
      </c>
      <c r="G146" s="92" t="s">
        <v>169</v>
      </c>
      <c r="J146" s="202"/>
      <c r="K146" s="202"/>
      <c r="L146" s="417">
        <f>'Inputs by customer type'!L114</f>
        <v>0</v>
      </c>
      <c r="M146" s="202"/>
      <c r="N146" s="417">
        <f>'Inputs by customer type'!N114</f>
        <v>16</v>
      </c>
      <c r="O146" s="417">
        <f>'Inputs by customer type'!O114</f>
        <v>0</v>
      </c>
      <c r="P146" s="417">
        <f>'Inputs by customer type'!P114</f>
        <v>0</v>
      </c>
      <c r="Q146" s="202"/>
      <c r="R146" s="202"/>
      <c r="S146" s="202"/>
      <c r="T146" s="202"/>
      <c r="U146" s="202"/>
      <c r="V146" s="202"/>
      <c r="W146" s="202"/>
      <c r="X146" s="202"/>
      <c r="Y146" s="202"/>
      <c r="AQ146" s="19"/>
    </row>
    <row r="147" spans="3:43" x14ac:dyDescent="0.25">
      <c r="E147" s="52"/>
      <c r="F147" s="34" t="s">
        <v>204</v>
      </c>
      <c r="G147" s="34" t="s">
        <v>170</v>
      </c>
      <c r="H147" s="17"/>
      <c r="I147" s="17"/>
      <c r="J147" s="203"/>
      <c r="K147" s="203"/>
      <c r="L147" s="230">
        <f>'Inputs by customer type'!L115</f>
        <v>0</v>
      </c>
      <c r="M147" s="203"/>
      <c r="N147" s="230">
        <f>'Inputs by customer type'!N115</f>
        <v>325.76400000000001</v>
      </c>
      <c r="O147" s="230">
        <f>'Inputs by customer type'!O115</f>
        <v>0</v>
      </c>
      <c r="P147" s="230">
        <f>'Inputs by customer type'!P115</f>
        <v>0</v>
      </c>
      <c r="Q147" s="203"/>
      <c r="R147" s="203"/>
      <c r="S147" s="203"/>
      <c r="T147" s="203"/>
      <c r="U147" s="203"/>
      <c r="V147" s="203"/>
      <c r="W147" s="203"/>
      <c r="X147" s="203"/>
      <c r="Y147" s="203"/>
      <c r="AQ147" s="19"/>
    </row>
    <row r="148" spans="3:43" x14ac:dyDescent="0.25">
      <c r="AQ148" s="19"/>
    </row>
    <row r="149" spans="3:43" x14ac:dyDescent="0.25">
      <c r="C149" s="73"/>
      <c r="D149" s="73" t="s">
        <v>1073</v>
      </c>
      <c r="AQ149" s="19"/>
    </row>
    <row r="150" spans="3:43" x14ac:dyDescent="0.25">
      <c r="AQ150" s="19"/>
    </row>
    <row r="151" spans="3:43" x14ac:dyDescent="0.25">
      <c r="E151" s="52" t="s">
        <v>1054</v>
      </c>
      <c r="G151" s="91"/>
      <c r="I151" t="s">
        <v>359</v>
      </c>
      <c r="AQ151" s="19"/>
    </row>
    <row r="152" spans="3:43" x14ac:dyDescent="0.25">
      <c r="E152" s="52"/>
      <c r="F152" s="38" t="s">
        <v>199</v>
      </c>
      <c r="G152" s="38" t="s">
        <v>120</v>
      </c>
      <c r="H152" s="80"/>
      <c r="I152" s="80"/>
      <c r="J152" s="201"/>
      <c r="K152" s="228">
        <f>'Inputs by customer type'!K120</f>
        <v>0</v>
      </c>
      <c r="L152" s="228">
        <f>'Inputs by customer type'!L120</f>
        <v>0</v>
      </c>
      <c r="M152" s="228">
        <f>'Inputs by customer type'!M120</f>
        <v>0</v>
      </c>
      <c r="N152" s="228">
        <f>'Inputs by customer type'!N120</f>
        <v>0</v>
      </c>
      <c r="O152" s="228">
        <f>'Inputs by customer type'!O120</f>
        <v>0</v>
      </c>
      <c r="P152" s="228">
        <f>'Inputs by customer type'!P120</f>
        <v>0</v>
      </c>
      <c r="Q152" s="201"/>
      <c r="R152" s="228">
        <f>'Inputs by customer type'!R120</f>
        <v>560.25500000000011</v>
      </c>
      <c r="S152" s="228">
        <f>'Inputs by customer type'!S120</f>
        <v>7.944</v>
      </c>
      <c r="T152" s="228">
        <f>'Inputs by customer type'!T120</f>
        <v>0</v>
      </c>
      <c r="U152" s="228">
        <f>'Inputs by customer type'!U120</f>
        <v>0</v>
      </c>
      <c r="V152" s="228">
        <f>'Inputs by customer type'!V120</f>
        <v>0</v>
      </c>
      <c r="W152" s="228">
        <f>'Inputs by customer type'!W120</f>
        <v>0</v>
      </c>
      <c r="X152" s="228">
        <f>'Inputs by customer type'!X120</f>
        <v>0</v>
      </c>
      <c r="Y152" s="228">
        <f>'Inputs by customer type'!Y120</f>
        <v>0</v>
      </c>
      <c r="AQ152" s="19"/>
    </row>
    <row r="153" spans="3:43" x14ac:dyDescent="0.25">
      <c r="E153" s="52"/>
      <c r="F153" s="92" t="s">
        <v>200</v>
      </c>
      <c r="G153" s="92" t="s">
        <v>120</v>
      </c>
      <c r="J153" s="202"/>
      <c r="K153" s="417">
        <f>'Inputs by customer type'!K121</f>
        <v>13.045000000000002</v>
      </c>
      <c r="L153" s="417">
        <f>'Inputs by customer type'!L121</f>
        <v>0</v>
      </c>
      <c r="M153" s="417">
        <f>'Inputs by customer type'!M121</f>
        <v>0</v>
      </c>
      <c r="N153" s="417">
        <f>'Inputs by customer type'!N121</f>
        <v>0</v>
      </c>
      <c r="O153" s="417">
        <f>'Inputs by customer type'!O121</f>
        <v>0</v>
      </c>
      <c r="P153" s="417">
        <f>'Inputs by customer type'!P121</f>
        <v>0</v>
      </c>
      <c r="Q153" s="202"/>
      <c r="R153" s="417">
        <f>'Inputs by customer type'!R121</f>
        <v>2047.2030000000002</v>
      </c>
      <c r="S153" s="417">
        <f>'Inputs by customer type'!S121</f>
        <v>28.603999999999999</v>
      </c>
      <c r="T153" s="417">
        <f>'Inputs by customer type'!T121</f>
        <v>0</v>
      </c>
      <c r="U153" s="417">
        <f>'Inputs by customer type'!U121</f>
        <v>0</v>
      </c>
      <c r="V153" s="417">
        <f>'Inputs by customer type'!V121</f>
        <v>0</v>
      </c>
      <c r="W153" s="417">
        <f>'Inputs by customer type'!W121</f>
        <v>0</v>
      </c>
      <c r="X153" s="417">
        <f>'Inputs by customer type'!X121</f>
        <v>0</v>
      </c>
      <c r="Y153" s="417">
        <f>'Inputs by customer type'!Y121</f>
        <v>0</v>
      </c>
      <c r="AQ153" s="19"/>
    </row>
    <row r="154" spans="3:43" x14ac:dyDescent="0.25">
      <c r="E154" s="52"/>
      <c r="F154" s="92" t="s">
        <v>201</v>
      </c>
      <c r="G154" s="92" t="s">
        <v>120</v>
      </c>
      <c r="J154" s="202"/>
      <c r="K154" s="417">
        <f>'Inputs by customer type'!K122</f>
        <v>250.68800000000002</v>
      </c>
      <c r="L154" s="417">
        <f>'Inputs by customer type'!L122</f>
        <v>0</v>
      </c>
      <c r="M154" s="417">
        <f>'Inputs by customer type'!M122</f>
        <v>0</v>
      </c>
      <c r="N154" s="417">
        <f>'Inputs by customer type'!N122</f>
        <v>0</v>
      </c>
      <c r="O154" s="417">
        <f>'Inputs by customer type'!O122</f>
        <v>0</v>
      </c>
      <c r="P154" s="417">
        <f>'Inputs by customer type'!P122</f>
        <v>0</v>
      </c>
      <c r="Q154" s="202"/>
      <c r="R154" s="417">
        <f>'Inputs by customer type'!R122</f>
        <v>914.25899999999979</v>
      </c>
      <c r="S154" s="417">
        <f>'Inputs by customer type'!S122</f>
        <v>13.100000000000001</v>
      </c>
      <c r="T154" s="417">
        <f>'Inputs by customer type'!T122</f>
        <v>0</v>
      </c>
      <c r="U154" s="417">
        <f>'Inputs by customer type'!U122</f>
        <v>0</v>
      </c>
      <c r="V154" s="417">
        <f>'Inputs by customer type'!V122</f>
        <v>0</v>
      </c>
      <c r="W154" s="417">
        <f>'Inputs by customer type'!W122</f>
        <v>0</v>
      </c>
      <c r="X154" s="417">
        <f>'Inputs by customer type'!X122</f>
        <v>0</v>
      </c>
      <c r="Y154" s="417">
        <f>'Inputs by customer type'!Y122</f>
        <v>0</v>
      </c>
      <c r="AQ154" s="19"/>
    </row>
    <row r="155" spans="3:43" x14ac:dyDescent="0.25">
      <c r="E155" s="52"/>
      <c r="F155" s="92" t="s">
        <v>74</v>
      </c>
      <c r="G155" s="92" t="s">
        <v>74</v>
      </c>
      <c r="J155" s="202"/>
      <c r="K155" s="417">
        <f>'Inputs by customer type'!K123</f>
        <v>70</v>
      </c>
      <c r="L155" s="417">
        <f>'Inputs by customer type'!L123</f>
        <v>0</v>
      </c>
      <c r="M155" s="417">
        <f>'Inputs by customer type'!M123</f>
        <v>0</v>
      </c>
      <c r="N155" s="417">
        <f>'Inputs by customer type'!N123</f>
        <v>0</v>
      </c>
      <c r="O155" s="417">
        <f>'Inputs by customer type'!O123</f>
        <v>0</v>
      </c>
      <c r="P155" s="417">
        <f>'Inputs by customer type'!P123</f>
        <v>0</v>
      </c>
      <c r="Q155" s="202"/>
      <c r="R155" s="417">
        <f>'Inputs by customer type'!R123</f>
        <v>521</v>
      </c>
      <c r="S155" s="417">
        <f>'Inputs by customer type'!S123</f>
        <v>1</v>
      </c>
      <c r="T155" s="417">
        <f>'Inputs by customer type'!T123</f>
        <v>0</v>
      </c>
      <c r="U155" s="417">
        <f>'Inputs by customer type'!U123</f>
        <v>0</v>
      </c>
      <c r="V155" s="417">
        <f>'Inputs by customer type'!V123</f>
        <v>0</v>
      </c>
      <c r="W155" s="417">
        <f>'Inputs by customer type'!W123</f>
        <v>0</v>
      </c>
      <c r="X155" s="417">
        <f>'Inputs by customer type'!X123</f>
        <v>0</v>
      </c>
      <c r="Y155" s="417">
        <f>'Inputs by customer type'!Y123</f>
        <v>0</v>
      </c>
      <c r="AQ155" s="19"/>
    </row>
    <row r="156" spans="3:43" x14ac:dyDescent="0.25">
      <c r="E156" s="52"/>
      <c r="F156" s="92" t="s">
        <v>202</v>
      </c>
      <c r="G156" s="92" t="s">
        <v>169</v>
      </c>
      <c r="J156" s="202"/>
      <c r="K156" s="417">
        <f>'Inputs by customer type'!K124</f>
        <v>0</v>
      </c>
      <c r="L156" s="417">
        <f>'Inputs by customer type'!L124</f>
        <v>0</v>
      </c>
      <c r="M156" s="417">
        <f>'Inputs by customer type'!M124</f>
        <v>0</v>
      </c>
      <c r="N156" s="417">
        <f>'Inputs by customer type'!N124</f>
        <v>0</v>
      </c>
      <c r="O156" s="417">
        <f>'Inputs by customer type'!O124</f>
        <v>0</v>
      </c>
      <c r="P156" s="417">
        <f>'Inputs by customer type'!P124</f>
        <v>0</v>
      </c>
      <c r="Q156" s="202"/>
      <c r="R156" s="417">
        <f>'Inputs by customer type'!R124</f>
        <v>0</v>
      </c>
      <c r="S156" s="417">
        <f>'Inputs by customer type'!S124</f>
        <v>0</v>
      </c>
      <c r="T156" s="417">
        <f>'Inputs by customer type'!T124</f>
        <v>0</v>
      </c>
      <c r="U156" s="417">
        <f>'Inputs by customer type'!U124</f>
        <v>0</v>
      </c>
      <c r="V156" s="417">
        <f>'Inputs by customer type'!V124</f>
        <v>0</v>
      </c>
      <c r="W156" s="417">
        <f>'Inputs by customer type'!W124</f>
        <v>0</v>
      </c>
      <c r="X156" s="417">
        <f>'Inputs by customer type'!X124</f>
        <v>0</v>
      </c>
      <c r="Y156" s="417">
        <f>'Inputs by customer type'!Y124</f>
        <v>0</v>
      </c>
      <c r="AQ156" s="19"/>
    </row>
    <row r="157" spans="3:43" x14ac:dyDescent="0.25">
      <c r="E157" s="52"/>
      <c r="F157" s="92" t="s">
        <v>203</v>
      </c>
      <c r="G157" s="92" t="s">
        <v>169</v>
      </c>
      <c r="J157" s="202"/>
      <c r="K157" s="417">
        <f>'Inputs by customer type'!K125</f>
        <v>0</v>
      </c>
      <c r="L157" s="417">
        <f>'Inputs by customer type'!L125</f>
        <v>0</v>
      </c>
      <c r="M157" s="417">
        <f>'Inputs by customer type'!M125</f>
        <v>0</v>
      </c>
      <c r="N157" s="417">
        <f>'Inputs by customer type'!N125</f>
        <v>0</v>
      </c>
      <c r="O157" s="417">
        <f>'Inputs by customer type'!O125</f>
        <v>0</v>
      </c>
      <c r="P157" s="417">
        <f>'Inputs by customer type'!P125</f>
        <v>0</v>
      </c>
      <c r="Q157" s="202"/>
      <c r="R157" s="417">
        <f>'Inputs by customer type'!R125</f>
        <v>0</v>
      </c>
      <c r="S157" s="417">
        <f>'Inputs by customer type'!S125</f>
        <v>0</v>
      </c>
      <c r="T157" s="417">
        <f>'Inputs by customer type'!T125</f>
        <v>0</v>
      </c>
      <c r="U157" s="417">
        <f>'Inputs by customer type'!U125</f>
        <v>0</v>
      </c>
      <c r="V157" s="417">
        <f>'Inputs by customer type'!V125</f>
        <v>0</v>
      </c>
      <c r="W157" s="417">
        <f>'Inputs by customer type'!W125</f>
        <v>0</v>
      </c>
      <c r="X157" s="417">
        <f>'Inputs by customer type'!X125</f>
        <v>0</v>
      </c>
      <c r="Y157" s="417">
        <f>'Inputs by customer type'!Y125</f>
        <v>0</v>
      </c>
      <c r="AQ157" s="19"/>
    </row>
    <row r="158" spans="3:43" x14ac:dyDescent="0.25">
      <c r="E158" s="52"/>
      <c r="F158" s="34" t="s">
        <v>204</v>
      </c>
      <c r="G158" s="34" t="s">
        <v>170</v>
      </c>
      <c r="H158" s="17"/>
      <c r="I158" s="17"/>
      <c r="J158" s="203"/>
      <c r="K158" s="230">
        <f>'Inputs by customer type'!K126</f>
        <v>0</v>
      </c>
      <c r="L158" s="230">
        <f>'Inputs by customer type'!L126</f>
        <v>0</v>
      </c>
      <c r="M158" s="230">
        <f>'Inputs by customer type'!M126</f>
        <v>0</v>
      </c>
      <c r="N158" s="230">
        <f>'Inputs by customer type'!N126</f>
        <v>0</v>
      </c>
      <c r="O158" s="230">
        <f>'Inputs by customer type'!O126</f>
        <v>0</v>
      </c>
      <c r="P158" s="230">
        <f>'Inputs by customer type'!P126</f>
        <v>0</v>
      </c>
      <c r="Q158" s="203"/>
      <c r="R158" s="230">
        <f>'Inputs by customer type'!R126</f>
        <v>0</v>
      </c>
      <c r="S158" s="230">
        <f>'Inputs by customer type'!S126</f>
        <v>0</v>
      </c>
      <c r="T158" s="230">
        <f>'Inputs by customer type'!T126</f>
        <v>0</v>
      </c>
      <c r="U158" s="230">
        <f>'Inputs by customer type'!U126</f>
        <v>0</v>
      </c>
      <c r="V158" s="230">
        <f>'Inputs by customer type'!V126</f>
        <v>0</v>
      </c>
      <c r="W158" s="230">
        <f>'Inputs by customer type'!W126</f>
        <v>0</v>
      </c>
      <c r="X158" s="230">
        <f>'Inputs by customer type'!X126</f>
        <v>0</v>
      </c>
      <c r="Y158" s="230">
        <f>'Inputs by customer type'!Y126</f>
        <v>0</v>
      </c>
      <c r="AQ158" s="19"/>
    </row>
    <row r="159" spans="3:43" x14ac:dyDescent="0.25">
      <c r="AQ159" s="19"/>
    </row>
    <row r="160" spans="3:43" x14ac:dyDescent="0.25">
      <c r="E160" s="52" t="s">
        <v>1055</v>
      </c>
      <c r="G160" s="91"/>
      <c r="I160" t="s">
        <v>359</v>
      </c>
      <c r="AQ160" s="19"/>
    </row>
    <row r="161" spans="5:43" x14ac:dyDescent="0.25">
      <c r="E161" s="52"/>
      <c r="F161" s="38" t="s">
        <v>199</v>
      </c>
      <c r="G161" s="38" t="s">
        <v>120</v>
      </c>
      <c r="H161" s="80"/>
      <c r="I161" s="80"/>
      <c r="J161" s="228">
        <f>'Inputs by customer type'!J129</f>
        <v>32626.366864146377</v>
      </c>
      <c r="K161" s="201"/>
      <c r="L161" s="228">
        <f>'Inputs by customer type'!L129</f>
        <v>228.32699061290884</v>
      </c>
      <c r="M161" s="201"/>
      <c r="N161" s="228">
        <f>'Inputs by customer type'!N129</f>
        <v>730.50928978556692</v>
      </c>
      <c r="O161" s="228">
        <f>'Inputs by customer type'!O129</f>
        <v>0</v>
      </c>
      <c r="P161" s="228">
        <f>'Inputs by customer type'!P129</f>
        <v>405.92264581550916</v>
      </c>
      <c r="Q161" s="228">
        <f>'Inputs by customer type'!Q129</f>
        <v>24.693411835748794</v>
      </c>
      <c r="R161" s="201"/>
      <c r="S161" s="201"/>
      <c r="T161" s="201"/>
      <c r="U161" s="201"/>
      <c r="V161" s="201"/>
      <c r="W161" s="201"/>
      <c r="X161" s="201"/>
      <c r="Y161" s="201"/>
      <c r="AQ161" s="19"/>
    </row>
    <row r="162" spans="5:43" x14ac:dyDescent="0.25">
      <c r="E162" s="52"/>
      <c r="F162" s="92" t="s">
        <v>200</v>
      </c>
      <c r="G162" s="92" t="s">
        <v>120</v>
      </c>
      <c r="J162" s="417">
        <f>'Inputs by customer type'!J130</f>
        <v>111734.49537012567</v>
      </c>
      <c r="K162" s="202"/>
      <c r="L162" s="417">
        <f>'Inputs by customer type'!L130</f>
        <v>1184.7621059224277</v>
      </c>
      <c r="M162" s="202"/>
      <c r="N162" s="417">
        <f>'Inputs by customer type'!N130</f>
        <v>3229.4664471734022</v>
      </c>
      <c r="O162" s="417">
        <f>'Inputs by customer type'!O130</f>
        <v>0</v>
      </c>
      <c r="P162" s="417">
        <f>'Inputs by customer type'!P130</f>
        <v>1796.7110888868503</v>
      </c>
      <c r="Q162" s="417">
        <f>'Inputs by customer type'!Q130</f>
        <v>294.53399033816419</v>
      </c>
      <c r="R162" s="202"/>
      <c r="S162" s="202"/>
      <c r="T162" s="202"/>
      <c r="U162" s="202"/>
      <c r="V162" s="202"/>
      <c r="W162" s="202"/>
      <c r="X162" s="202"/>
      <c r="Y162" s="202"/>
      <c r="AQ162" s="19"/>
    </row>
    <row r="163" spans="5:43" x14ac:dyDescent="0.25">
      <c r="E163" s="52"/>
      <c r="F163" s="92" t="s">
        <v>201</v>
      </c>
      <c r="G163" s="92" t="s">
        <v>120</v>
      </c>
      <c r="J163" s="417">
        <f>'Inputs by customer type'!J131</f>
        <v>100076.82667142931</v>
      </c>
      <c r="K163" s="202"/>
      <c r="L163" s="417">
        <f>'Inputs by customer type'!L131</f>
        <v>924.10191609268861</v>
      </c>
      <c r="M163" s="202"/>
      <c r="N163" s="417">
        <f>'Inputs by customer type'!N131</f>
        <v>2941.2496578870246</v>
      </c>
      <c r="O163" s="417">
        <f>'Inputs by customer type'!O131</f>
        <v>0</v>
      </c>
      <c r="P163" s="417">
        <f>'Inputs by customer type'!P131</f>
        <v>2105.8513088995433</v>
      </c>
      <c r="Q163" s="417">
        <f>'Inputs by customer type'!Q131</f>
        <v>338.79760084541061</v>
      </c>
      <c r="R163" s="202"/>
      <c r="S163" s="202"/>
      <c r="T163" s="202"/>
      <c r="U163" s="202"/>
      <c r="V163" s="202"/>
      <c r="W163" s="202"/>
      <c r="X163" s="202"/>
      <c r="Y163" s="202"/>
      <c r="AQ163" s="19"/>
    </row>
    <row r="164" spans="5:43" x14ac:dyDescent="0.25">
      <c r="E164" s="52"/>
      <c r="F164" s="92" t="s">
        <v>74</v>
      </c>
      <c r="G164" s="92" t="s">
        <v>74</v>
      </c>
      <c r="J164" s="417">
        <f>'Inputs by customer type'!J132</f>
        <v>84249.703927492461</v>
      </c>
      <c r="K164" s="202"/>
      <c r="L164" s="417">
        <f>'Inputs by customer type'!L132</f>
        <v>587</v>
      </c>
      <c r="M164" s="202"/>
      <c r="N164" s="417">
        <f>'Inputs by customer type'!N132</f>
        <v>89</v>
      </c>
      <c r="O164" s="417">
        <f>'Inputs by customer type'!O132</f>
        <v>0</v>
      </c>
      <c r="P164" s="417">
        <f>'Inputs by customer type'!P132</f>
        <v>9</v>
      </c>
      <c r="Q164" s="417">
        <f>'Inputs by customer type'!Q132</f>
        <v>71</v>
      </c>
      <c r="R164" s="202"/>
      <c r="S164" s="202"/>
      <c r="T164" s="202"/>
      <c r="U164" s="202"/>
      <c r="V164" s="202"/>
      <c r="W164" s="202"/>
      <c r="X164" s="202"/>
      <c r="Y164" s="202"/>
      <c r="AQ164" s="19"/>
    </row>
    <row r="165" spans="5:43" x14ac:dyDescent="0.25">
      <c r="E165" s="52"/>
      <c r="F165" s="92" t="s">
        <v>202</v>
      </c>
      <c r="G165" s="92" t="s">
        <v>169</v>
      </c>
      <c r="J165" s="417">
        <f>'Inputs by customer type'!J133</f>
        <v>0</v>
      </c>
      <c r="K165" s="202"/>
      <c r="L165" s="417">
        <f>'Inputs by customer type'!L133</f>
        <v>0</v>
      </c>
      <c r="M165" s="202"/>
      <c r="N165" s="417">
        <f>'Inputs by customer type'!N133</f>
        <v>4960</v>
      </c>
      <c r="O165" s="417">
        <f>'Inputs by customer type'!O133</f>
        <v>0</v>
      </c>
      <c r="P165" s="417">
        <f>'Inputs by customer type'!P133</f>
        <v>2743</v>
      </c>
      <c r="Q165" s="417">
        <f>'Inputs by customer type'!Q133</f>
        <v>0</v>
      </c>
      <c r="R165" s="202"/>
      <c r="S165" s="202"/>
      <c r="T165" s="202"/>
      <c r="U165" s="202"/>
      <c r="V165" s="202"/>
      <c r="W165" s="202"/>
      <c r="X165" s="202"/>
      <c r="Y165" s="202"/>
      <c r="AQ165" s="19"/>
    </row>
    <row r="166" spans="5:43" x14ac:dyDescent="0.25">
      <c r="E166" s="52"/>
      <c r="F166" s="92" t="s">
        <v>203</v>
      </c>
      <c r="G166" s="92" t="s">
        <v>169</v>
      </c>
      <c r="J166" s="417">
        <f>'Inputs by customer type'!J134</f>
        <v>0</v>
      </c>
      <c r="K166" s="202"/>
      <c r="L166" s="417">
        <f>'Inputs by customer type'!L134</f>
        <v>0</v>
      </c>
      <c r="M166" s="202"/>
      <c r="N166" s="417">
        <f>'Inputs by customer type'!N134</f>
        <v>12</v>
      </c>
      <c r="O166" s="417">
        <f>'Inputs by customer type'!O134</f>
        <v>0</v>
      </c>
      <c r="P166" s="417">
        <f>'Inputs by customer type'!P134</f>
        <v>12</v>
      </c>
      <c r="Q166" s="417">
        <f>'Inputs by customer type'!Q134</f>
        <v>0</v>
      </c>
      <c r="R166" s="202"/>
      <c r="S166" s="202"/>
      <c r="T166" s="202"/>
      <c r="U166" s="202"/>
      <c r="V166" s="202"/>
      <c r="W166" s="202"/>
      <c r="X166" s="202"/>
      <c r="Y166" s="202"/>
      <c r="AQ166" s="19"/>
    </row>
    <row r="167" spans="5:43" x14ac:dyDescent="0.25">
      <c r="E167" s="52"/>
      <c r="F167" s="34" t="s">
        <v>204</v>
      </c>
      <c r="G167" s="34" t="s">
        <v>170</v>
      </c>
      <c r="H167" s="17"/>
      <c r="I167" s="17"/>
      <c r="J167" s="230">
        <f>'Inputs by customer type'!J135</f>
        <v>0</v>
      </c>
      <c r="K167" s="203"/>
      <c r="L167" s="230">
        <f>'Inputs by customer type'!L135</f>
        <v>0</v>
      </c>
      <c r="M167" s="203"/>
      <c r="N167" s="230">
        <f>'Inputs by customer type'!N135</f>
        <v>335.12900000000002</v>
      </c>
      <c r="O167" s="230">
        <f>'Inputs by customer type'!O135</f>
        <v>0</v>
      </c>
      <c r="P167" s="230">
        <f>'Inputs by customer type'!P135</f>
        <v>139.03299999999999</v>
      </c>
      <c r="Q167" s="230">
        <f>'Inputs by customer type'!Q135</f>
        <v>0</v>
      </c>
      <c r="R167" s="203"/>
      <c r="S167" s="203"/>
      <c r="T167" s="203"/>
      <c r="U167" s="203"/>
      <c r="V167" s="203"/>
      <c r="W167" s="203"/>
      <c r="X167" s="203"/>
      <c r="Y167" s="203"/>
      <c r="AQ167" s="19"/>
    </row>
    <row r="168" spans="5:43" x14ac:dyDescent="0.25">
      <c r="AQ168" s="19"/>
    </row>
    <row r="169" spans="5:43" x14ac:dyDescent="0.25">
      <c r="E169" s="52" t="s">
        <v>1056</v>
      </c>
      <c r="G169" s="91"/>
      <c r="I169" t="s">
        <v>359</v>
      </c>
      <c r="AQ169" s="19"/>
    </row>
    <row r="170" spans="5:43" x14ac:dyDescent="0.25">
      <c r="E170" s="52"/>
      <c r="F170" s="38" t="s">
        <v>199</v>
      </c>
      <c r="G170" s="38" t="s">
        <v>120</v>
      </c>
      <c r="H170" s="80"/>
      <c r="I170" s="80"/>
      <c r="J170" s="201"/>
      <c r="K170" s="201"/>
      <c r="L170" s="228">
        <f>'Inputs by customer type'!L138</f>
        <v>359.61296770970398</v>
      </c>
      <c r="M170" s="201"/>
      <c r="N170" s="228">
        <f>'Inputs by customer type'!N138</f>
        <v>2384.6120788141361</v>
      </c>
      <c r="O170" s="228">
        <f>'Inputs by customer type'!O138</f>
        <v>49.851444293283741</v>
      </c>
      <c r="P170" s="228">
        <f>'Inputs by customer type'!P138</f>
        <v>546.80429321484007</v>
      </c>
      <c r="Q170" s="201"/>
      <c r="R170" s="201"/>
      <c r="S170" s="201"/>
      <c r="T170" s="201"/>
      <c r="U170" s="201"/>
      <c r="V170" s="201"/>
      <c r="W170" s="201"/>
      <c r="X170" s="201"/>
      <c r="Y170" s="201"/>
      <c r="AQ170" s="19"/>
    </row>
    <row r="171" spans="5:43" x14ac:dyDescent="0.25">
      <c r="E171" s="52"/>
      <c r="F171" s="92" t="s">
        <v>200</v>
      </c>
      <c r="G171" s="92" t="s">
        <v>120</v>
      </c>
      <c r="J171" s="202"/>
      <c r="K171" s="202"/>
      <c r="L171" s="417">
        <f>'Inputs by customer type'!L139</f>
        <v>1865.9897185045068</v>
      </c>
      <c r="M171" s="202"/>
      <c r="N171" s="417">
        <f>'Inputs by customer type'!N139</f>
        <v>10541.994202859791</v>
      </c>
      <c r="O171" s="417">
        <f>'Inputs by customer type'!O139</f>
        <v>227.46351702797563</v>
      </c>
      <c r="P171" s="417">
        <f>'Inputs by customer type'!P139</f>
        <v>2420.2870847382105</v>
      </c>
      <c r="Q171" s="202"/>
      <c r="R171" s="202"/>
      <c r="S171" s="202"/>
      <c r="T171" s="202"/>
      <c r="U171" s="202"/>
      <c r="V171" s="202"/>
      <c r="W171" s="202"/>
      <c r="X171" s="202"/>
      <c r="Y171" s="202"/>
      <c r="AQ171" s="19"/>
    </row>
    <row r="172" spans="5:43" x14ac:dyDescent="0.25">
      <c r="E172" s="52"/>
      <c r="F172" s="92" t="s">
        <v>201</v>
      </c>
      <c r="G172" s="92" t="s">
        <v>120</v>
      </c>
      <c r="J172" s="202"/>
      <c r="K172" s="202"/>
      <c r="L172" s="417">
        <f>'Inputs by customer type'!L140</f>
        <v>1455.4522512658536</v>
      </c>
      <c r="M172" s="202"/>
      <c r="N172" s="417">
        <f>'Inputs by customer type'!N140</f>
        <v>9601.1639538001637</v>
      </c>
      <c r="O172" s="417">
        <f>'Inputs by customer type'!O140</f>
        <v>208.87225658450117</v>
      </c>
      <c r="P172" s="417">
        <f>'Inputs by customer type'!P140</f>
        <v>2836.719134664168</v>
      </c>
      <c r="Q172" s="202"/>
      <c r="R172" s="202"/>
      <c r="S172" s="202"/>
      <c r="T172" s="202"/>
      <c r="U172" s="202"/>
      <c r="V172" s="202"/>
      <c r="W172" s="202"/>
      <c r="X172" s="202"/>
      <c r="Y172" s="202"/>
      <c r="AQ172" s="19"/>
    </row>
    <row r="173" spans="5:43" x14ac:dyDescent="0.25">
      <c r="E173" s="52"/>
      <c r="F173" s="92" t="s">
        <v>74</v>
      </c>
      <c r="G173" s="92" t="s">
        <v>74</v>
      </c>
      <c r="J173" s="202"/>
      <c r="K173" s="202"/>
      <c r="L173" s="417">
        <f>'Inputs by customer type'!L141</f>
        <v>497</v>
      </c>
      <c r="M173" s="202"/>
      <c r="N173" s="417">
        <f>'Inputs by customer type'!N141</f>
        <v>140</v>
      </c>
      <c r="O173" s="417">
        <f>'Inputs by customer type'!O141</f>
        <v>3</v>
      </c>
      <c r="P173" s="417">
        <f>'Inputs by customer type'!P141</f>
        <v>6</v>
      </c>
      <c r="Q173" s="202"/>
      <c r="R173" s="202"/>
      <c r="S173" s="202"/>
      <c r="T173" s="202"/>
      <c r="U173" s="202"/>
      <c r="V173" s="202"/>
      <c r="W173" s="202"/>
      <c r="X173" s="202"/>
      <c r="Y173" s="202"/>
      <c r="AQ173" s="19"/>
    </row>
    <row r="174" spans="5:43" x14ac:dyDescent="0.25">
      <c r="E174" s="52"/>
      <c r="F174" s="92" t="s">
        <v>202</v>
      </c>
      <c r="G174" s="92" t="s">
        <v>169</v>
      </c>
      <c r="J174" s="202"/>
      <c r="K174" s="202"/>
      <c r="L174" s="417">
        <f>'Inputs by customer type'!L142</f>
        <v>0</v>
      </c>
      <c r="M174" s="202"/>
      <c r="N174" s="417">
        <f>'Inputs by customer type'!N142</f>
        <v>16191</v>
      </c>
      <c r="O174" s="417">
        <f>'Inputs by customer type'!O142</f>
        <v>327</v>
      </c>
      <c r="P174" s="417">
        <f>'Inputs by customer type'!P142</f>
        <v>3695</v>
      </c>
      <c r="Q174" s="202"/>
      <c r="R174" s="202"/>
      <c r="S174" s="202"/>
      <c r="T174" s="202"/>
      <c r="U174" s="202"/>
      <c r="V174" s="202"/>
      <c r="W174" s="202"/>
      <c r="X174" s="202"/>
      <c r="Y174" s="202"/>
      <c r="AQ174" s="19"/>
    </row>
    <row r="175" spans="5:43" x14ac:dyDescent="0.25">
      <c r="E175" s="52"/>
      <c r="F175" s="92" t="s">
        <v>203</v>
      </c>
      <c r="G175" s="92" t="s">
        <v>169</v>
      </c>
      <c r="J175" s="202"/>
      <c r="K175" s="202"/>
      <c r="L175" s="417">
        <f>'Inputs by customer type'!L143</f>
        <v>0</v>
      </c>
      <c r="M175" s="202"/>
      <c r="N175" s="417">
        <f>'Inputs by customer type'!N143</f>
        <v>39</v>
      </c>
      <c r="O175" s="417">
        <f>'Inputs by customer type'!O143</f>
        <v>0</v>
      </c>
      <c r="P175" s="417">
        <f>'Inputs by customer type'!P143</f>
        <v>17</v>
      </c>
      <c r="Q175" s="202"/>
      <c r="R175" s="202"/>
      <c r="S175" s="202"/>
      <c r="T175" s="202"/>
      <c r="U175" s="202"/>
      <c r="V175" s="202"/>
      <c r="W175" s="202"/>
      <c r="X175" s="202"/>
      <c r="Y175" s="202"/>
      <c r="AQ175" s="19"/>
    </row>
    <row r="176" spans="5:43" x14ac:dyDescent="0.25">
      <c r="E176" s="52"/>
      <c r="F176" s="34" t="s">
        <v>204</v>
      </c>
      <c r="G176" s="34" t="s">
        <v>170</v>
      </c>
      <c r="H176" s="17"/>
      <c r="I176" s="17"/>
      <c r="J176" s="203"/>
      <c r="K176" s="203"/>
      <c r="L176" s="230">
        <f>'Inputs by customer type'!L144</f>
        <v>0</v>
      </c>
      <c r="M176" s="203"/>
      <c r="N176" s="230">
        <f>'Inputs by customer type'!N144</f>
        <v>1093.9659999999999</v>
      </c>
      <c r="O176" s="230">
        <f>'Inputs by customer type'!O144</f>
        <v>26.922000000000001</v>
      </c>
      <c r="P176" s="230">
        <f>'Inputs by customer type'!P144</f>
        <v>187.28700000000001</v>
      </c>
      <c r="Q176" s="203"/>
      <c r="R176" s="203"/>
      <c r="S176" s="203"/>
      <c r="T176" s="203"/>
      <c r="U176" s="203"/>
      <c r="V176" s="203"/>
      <c r="W176" s="203"/>
      <c r="X176" s="203"/>
      <c r="Y176" s="203"/>
      <c r="AQ176" s="19"/>
    </row>
    <row r="177" spans="5:43" x14ac:dyDescent="0.25">
      <c r="AQ177" s="19"/>
    </row>
    <row r="178" spans="5:43" x14ac:dyDescent="0.25">
      <c r="E178" s="52" t="s">
        <v>1057</v>
      </c>
      <c r="G178" s="91"/>
      <c r="I178" t="s">
        <v>359</v>
      </c>
      <c r="AQ178" s="19"/>
    </row>
    <row r="179" spans="5:43" x14ac:dyDescent="0.25">
      <c r="E179" s="52"/>
      <c r="F179" s="38" t="s">
        <v>199</v>
      </c>
      <c r="G179" s="38" t="s">
        <v>120</v>
      </c>
      <c r="H179" s="80"/>
      <c r="I179" s="80"/>
      <c r="J179" s="201"/>
      <c r="K179" s="201"/>
      <c r="L179" s="228">
        <f>'Inputs by customer type'!L147</f>
        <v>568.53660376461573</v>
      </c>
      <c r="M179" s="201"/>
      <c r="N179" s="228">
        <f>'Inputs by customer type'!N147</f>
        <v>2728.2165491910973</v>
      </c>
      <c r="O179" s="228">
        <f>'Inputs by customer type'!O147</f>
        <v>34.301452495378719</v>
      </c>
      <c r="P179" s="228">
        <f>'Inputs by customer type'!P147</f>
        <v>1687.0281306222398</v>
      </c>
      <c r="Q179" s="201"/>
      <c r="R179" s="201"/>
      <c r="S179" s="201"/>
      <c r="T179" s="201"/>
      <c r="U179" s="201"/>
      <c r="V179" s="201"/>
      <c r="W179" s="201"/>
      <c r="X179" s="201"/>
      <c r="Y179" s="201"/>
      <c r="AQ179" s="19"/>
    </row>
    <row r="180" spans="5:43" x14ac:dyDescent="0.25">
      <c r="E180" s="52"/>
      <c r="F180" s="92" t="s">
        <v>200</v>
      </c>
      <c r="G180" s="92" t="s">
        <v>120</v>
      </c>
      <c r="J180" s="202"/>
      <c r="K180" s="202"/>
      <c r="L180" s="417">
        <f>'Inputs by customer type'!L148</f>
        <v>2950.0700822186059</v>
      </c>
      <c r="M180" s="202"/>
      <c r="N180" s="417">
        <f>'Inputs by customer type'!N148</f>
        <v>12061.015416822602</v>
      </c>
      <c r="O180" s="417">
        <f>'Inputs by customer type'!O148</f>
        <v>156.51159428530434</v>
      </c>
      <c r="P180" s="417">
        <f>'Inputs by customer type'!P148</f>
        <v>7467.1915469595669</v>
      </c>
      <c r="Q180" s="202"/>
      <c r="R180" s="202"/>
      <c r="S180" s="202"/>
      <c r="T180" s="202"/>
      <c r="U180" s="202"/>
      <c r="V180" s="202"/>
      <c r="W180" s="202"/>
      <c r="X180" s="202"/>
      <c r="Y180" s="202"/>
      <c r="AQ180" s="19"/>
    </row>
    <row r="181" spans="5:43" x14ac:dyDescent="0.25">
      <c r="E181" s="52"/>
      <c r="F181" s="92" t="s">
        <v>201</v>
      </c>
      <c r="G181" s="92" t="s">
        <v>120</v>
      </c>
      <c r="J181" s="202"/>
      <c r="K181" s="202"/>
      <c r="L181" s="417">
        <f>'Inputs by customer type'!L149</f>
        <v>2301.0234729472559</v>
      </c>
      <c r="M181" s="202"/>
      <c r="N181" s="417">
        <f>'Inputs by customer type'!N149</f>
        <v>10984.618681995815</v>
      </c>
      <c r="O181" s="417">
        <f>'Inputs by customer type'!O149</f>
        <v>143.71944260401457</v>
      </c>
      <c r="P181" s="417">
        <f>'Inputs by customer type'!P149</f>
        <v>8751.988669870505</v>
      </c>
      <c r="Q181" s="202"/>
      <c r="R181" s="202"/>
      <c r="S181" s="202"/>
      <c r="T181" s="202"/>
      <c r="U181" s="202"/>
      <c r="V181" s="202"/>
      <c r="W181" s="202"/>
      <c r="X181" s="202"/>
      <c r="Y181" s="202"/>
      <c r="AQ181" s="19"/>
    </row>
    <row r="182" spans="5:43" x14ac:dyDescent="0.25">
      <c r="E182" s="52"/>
      <c r="F182" s="92" t="s">
        <v>74</v>
      </c>
      <c r="G182" s="92" t="s">
        <v>74</v>
      </c>
      <c r="J182" s="202"/>
      <c r="K182" s="202"/>
      <c r="L182" s="417">
        <f>'Inputs by customer type'!L150</f>
        <v>350</v>
      </c>
      <c r="M182" s="202"/>
      <c r="N182" s="417">
        <f>'Inputs by customer type'!N150</f>
        <v>100</v>
      </c>
      <c r="O182" s="417">
        <f>'Inputs by customer type'!O150</f>
        <v>1</v>
      </c>
      <c r="P182" s="417">
        <f>'Inputs by customer type'!P150</f>
        <v>8</v>
      </c>
      <c r="Q182" s="202"/>
      <c r="R182" s="202"/>
      <c r="S182" s="202"/>
      <c r="T182" s="202"/>
      <c r="U182" s="202"/>
      <c r="V182" s="202"/>
      <c r="W182" s="202"/>
      <c r="X182" s="202"/>
      <c r="Y182" s="202"/>
      <c r="AQ182" s="19"/>
    </row>
    <row r="183" spans="5:43" x14ac:dyDescent="0.25">
      <c r="E183" s="52"/>
      <c r="F183" s="92" t="s">
        <v>202</v>
      </c>
      <c r="G183" s="92" t="s">
        <v>169</v>
      </c>
      <c r="J183" s="202"/>
      <c r="K183" s="202"/>
      <c r="L183" s="417">
        <f>'Inputs by customer type'!L151</f>
        <v>0</v>
      </c>
      <c r="M183" s="202"/>
      <c r="N183" s="417">
        <f>'Inputs by customer type'!N151</f>
        <v>18524</v>
      </c>
      <c r="O183" s="417">
        <f>'Inputs by customer type'!O151</f>
        <v>225</v>
      </c>
      <c r="P183" s="417">
        <f>'Inputs by customer type'!P151</f>
        <v>11400</v>
      </c>
      <c r="Q183" s="202"/>
      <c r="R183" s="202"/>
      <c r="S183" s="202"/>
      <c r="T183" s="202"/>
      <c r="U183" s="202"/>
      <c r="V183" s="202"/>
      <c r="W183" s="202"/>
      <c r="X183" s="202"/>
      <c r="Y183" s="202"/>
      <c r="AQ183" s="19"/>
    </row>
    <row r="184" spans="5:43" x14ac:dyDescent="0.25">
      <c r="E184" s="52"/>
      <c r="F184" s="92" t="s">
        <v>203</v>
      </c>
      <c r="G184" s="92" t="s">
        <v>169</v>
      </c>
      <c r="J184" s="202"/>
      <c r="K184" s="202"/>
      <c r="L184" s="417">
        <f>'Inputs by customer type'!L152</f>
        <v>0</v>
      </c>
      <c r="M184" s="202"/>
      <c r="N184" s="417">
        <f>'Inputs by customer type'!N152</f>
        <v>45</v>
      </c>
      <c r="O184" s="417">
        <f>'Inputs by customer type'!O152</f>
        <v>0</v>
      </c>
      <c r="P184" s="417">
        <f>'Inputs by customer type'!P152</f>
        <v>51</v>
      </c>
      <c r="Q184" s="202"/>
      <c r="R184" s="202"/>
      <c r="S184" s="202"/>
      <c r="T184" s="202"/>
      <c r="U184" s="202"/>
      <c r="V184" s="202"/>
      <c r="W184" s="202"/>
      <c r="X184" s="202"/>
      <c r="Y184" s="202"/>
      <c r="AQ184" s="19"/>
    </row>
    <row r="185" spans="5:43" x14ac:dyDescent="0.25">
      <c r="E185" s="52"/>
      <c r="F185" s="34" t="s">
        <v>204</v>
      </c>
      <c r="G185" s="34" t="s">
        <v>170</v>
      </c>
      <c r="H185" s="17"/>
      <c r="I185" s="17"/>
      <c r="J185" s="203"/>
      <c r="K185" s="203"/>
      <c r="L185" s="230">
        <f>'Inputs by customer type'!L153</f>
        <v>0</v>
      </c>
      <c r="M185" s="203"/>
      <c r="N185" s="230">
        <f>'Inputs by customer type'!N153</f>
        <v>1251.598</v>
      </c>
      <c r="O185" s="230">
        <f>'Inputs by customer type'!O153</f>
        <v>18.524000000000001</v>
      </c>
      <c r="P185" s="230">
        <f>'Inputs by customer type'!P153</f>
        <v>577.82799999999997</v>
      </c>
      <c r="Q185" s="203"/>
      <c r="R185" s="203"/>
      <c r="S185" s="203"/>
      <c r="T185" s="203"/>
      <c r="U185" s="203"/>
      <c r="V185" s="203"/>
      <c r="W185" s="203"/>
      <c r="X185" s="203"/>
      <c r="Y185" s="203"/>
      <c r="AQ185" s="19"/>
    </row>
    <row r="186" spans="5:43" x14ac:dyDescent="0.25">
      <c r="AQ186" s="19"/>
    </row>
    <row r="187" spans="5:43" x14ac:dyDescent="0.25">
      <c r="E187" s="52" t="s">
        <v>1058</v>
      </c>
      <c r="G187" s="91"/>
      <c r="I187" t="s">
        <v>359</v>
      </c>
      <c r="AQ187" s="19"/>
    </row>
    <row r="188" spans="5:43" x14ac:dyDescent="0.25">
      <c r="E188" s="52"/>
      <c r="F188" s="38" t="s">
        <v>199</v>
      </c>
      <c r="G188" s="38" t="s">
        <v>120</v>
      </c>
      <c r="H188" s="80"/>
      <c r="I188" s="80"/>
      <c r="J188" s="201"/>
      <c r="K188" s="201"/>
      <c r="L188" s="228">
        <f>'Inputs by customer type'!L156</f>
        <v>1205.2358848878739</v>
      </c>
      <c r="M188" s="201"/>
      <c r="N188" s="228">
        <f>'Inputs by customer type'!N156</f>
        <v>10015.193994900874</v>
      </c>
      <c r="O188" s="228">
        <f>'Inputs by customer type'!O156</f>
        <v>3162.4414691739385</v>
      </c>
      <c r="P188" s="228">
        <f>'Inputs by customer type'!P156</f>
        <v>2811.7135510370663</v>
      </c>
      <c r="Q188" s="201"/>
      <c r="R188" s="201"/>
      <c r="S188" s="201"/>
      <c r="T188" s="201"/>
      <c r="U188" s="201"/>
      <c r="V188" s="201"/>
      <c r="W188" s="201"/>
      <c r="X188" s="201"/>
      <c r="Y188" s="201"/>
      <c r="AQ188" s="19"/>
    </row>
    <row r="189" spans="5:43" x14ac:dyDescent="0.25">
      <c r="E189" s="52"/>
      <c r="F189" s="92" t="s">
        <v>200</v>
      </c>
      <c r="G189" s="92" t="s">
        <v>120</v>
      </c>
      <c r="J189" s="202"/>
      <c r="K189" s="202"/>
      <c r="L189" s="417">
        <f>'Inputs by customer type'!L157</f>
        <v>6253.8283418881465</v>
      </c>
      <c r="M189" s="202"/>
      <c r="N189" s="417">
        <f>'Inputs by customer type'!N157</f>
        <v>44275.594329483574</v>
      </c>
      <c r="O189" s="417">
        <f>'Inputs by customer type'!O157</f>
        <v>14429.673386019347</v>
      </c>
      <c r="P189" s="417">
        <f>'Inputs by customer type'!P157</f>
        <v>12445.319244932612</v>
      </c>
      <c r="Q189" s="202"/>
      <c r="R189" s="202"/>
      <c r="S189" s="202"/>
      <c r="T189" s="202"/>
      <c r="U189" s="202"/>
      <c r="V189" s="202"/>
      <c r="W189" s="202"/>
      <c r="X189" s="202"/>
      <c r="Y189" s="202"/>
      <c r="AQ189" s="19"/>
    </row>
    <row r="190" spans="5:43" x14ac:dyDescent="0.25">
      <c r="E190" s="52"/>
      <c r="F190" s="92" t="s">
        <v>201</v>
      </c>
      <c r="G190" s="92" t="s">
        <v>120</v>
      </c>
      <c r="J190" s="202"/>
      <c r="K190" s="202"/>
      <c r="L190" s="417">
        <f>'Inputs by customer type'!L158</f>
        <v>4877.9199847500777</v>
      </c>
      <c r="M190" s="202"/>
      <c r="N190" s="417">
        <f>'Inputs by customer type'!N158</f>
        <v>40324.177013301523</v>
      </c>
      <c r="O190" s="417">
        <f>'Inputs by customer type'!O158</f>
        <v>13250.293855011902</v>
      </c>
      <c r="P190" s="417">
        <f>'Inputs by customer type'!P158</f>
        <v>14586.647783117507</v>
      </c>
      <c r="Q190" s="202"/>
      <c r="R190" s="202"/>
      <c r="S190" s="202"/>
      <c r="T190" s="202"/>
      <c r="U190" s="202"/>
      <c r="V190" s="202"/>
      <c r="W190" s="202"/>
      <c r="X190" s="202"/>
      <c r="Y190" s="202"/>
      <c r="AQ190" s="19"/>
    </row>
    <row r="191" spans="5:43" x14ac:dyDescent="0.25">
      <c r="E191" s="52"/>
      <c r="F191" s="92" t="s">
        <v>74</v>
      </c>
      <c r="G191" s="92" t="s">
        <v>74</v>
      </c>
      <c r="J191" s="202"/>
      <c r="K191" s="202"/>
      <c r="L191" s="417">
        <f>'Inputs by customer type'!L159</f>
        <v>288</v>
      </c>
      <c r="M191" s="202"/>
      <c r="N191" s="417">
        <f>'Inputs by customer type'!N159</f>
        <v>152</v>
      </c>
      <c r="O191" s="417">
        <f>'Inputs by customer type'!O159</f>
        <v>34</v>
      </c>
      <c r="P191" s="417">
        <f>'Inputs by customer type'!P159</f>
        <v>7</v>
      </c>
      <c r="Q191" s="202"/>
      <c r="R191" s="202"/>
      <c r="S191" s="202"/>
      <c r="T191" s="202"/>
      <c r="U191" s="202"/>
      <c r="V191" s="202"/>
      <c r="W191" s="202"/>
      <c r="X191" s="202"/>
      <c r="Y191" s="202"/>
      <c r="AQ191" s="19"/>
    </row>
    <row r="192" spans="5:43" x14ac:dyDescent="0.25">
      <c r="E192" s="52"/>
      <c r="F192" s="92" t="s">
        <v>202</v>
      </c>
      <c r="G192" s="92" t="s">
        <v>169</v>
      </c>
      <c r="J192" s="202"/>
      <c r="K192" s="202"/>
      <c r="L192" s="417">
        <f>'Inputs by customer type'!L160</f>
        <v>0</v>
      </c>
      <c r="M192" s="202"/>
      <c r="N192" s="417">
        <f>'Inputs by customer type'!N160</f>
        <v>68001</v>
      </c>
      <c r="O192" s="417">
        <f>'Inputs by customer type'!O160</f>
        <v>20744</v>
      </c>
      <c r="P192" s="417">
        <f>'Inputs by customer type'!P160</f>
        <v>19000</v>
      </c>
      <c r="Q192" s="202"/>
      <c r="R192" s="202"/>
      <c r="S192" s="202"/>
      <c r="T192" s="202"/>
      <c r="U192" s="202"/>
      <c r="V192" s="202"/>
      <c r="W192" s="202"/>
      <c r="X192" s="202"/>
      <c r="Y192" s="202"/>
      <c r="AQ192" s="19"/>
    </row>
    <row r="193" spans="4:43" x14ac:dyDescent="0.25">
      <c r="E193" s="52"/>
      <c r="F193" s="92" t="s">
        <v>203</v>
      </c>
      <c r="G193" s="92" t="s">
        <v>169</v>
      </c>
      <c r="J193" s="202"/>
      <c r="K193" s="202"/>
      <c r="L193" s="417">
        <f>'Inputs by customer type'!L161</f>
        <v>0</v>
      </c>
      <c r="M193" s="202"/>
      <c r="N193" s="417">
        <f>'Inputs by customer type'!N161</f>
        <v>165</v>
      </c>
      <c r="O193" s="417">
        <f>'Inputs by customer type'!O161</f>
        <v>6</v>
      </c>
      <c r="P193" s="417">
        <f>'Inputs by customer type'!P161</f>
        <v>85</v>
      </c>
      <c r="Q193" s="202"/>
      <c r="R193" s="202"/>
      <c r="S193" s="202"/>
      <c r="T193" s="202"/>
      <c r="U193" s="202"/>
      <c r="V193" s="202"/>
      <c r="W193" s="202"/>
      <c r="X193" s="202"/>
      <c r="Y193" s="202"/>
      <c r="AQ193" s="19"/>
    </row>
    <row r="194" spans="4:43" x14ac:dyDescent="0.25">
      <c r="E194" s="52"/>
      <c r="F194" s="34" t="s">
        <v>204</v>
      </c>
      <c r="G194" s="34" t="s">
        <v>170</v>
      </c>
      <c r="H194" s="17"/>
      <c r="I194" s="17"/>
      <c r="J194" s="203"/>
      <c r="K194" s="203"/>
      <c r="L194" s="230">
        <f>'Inputs by customer type'!L162</f>
        <v>0</v>
      </c>
      <c r="M194" s="203"/>
      <c r="N194" s="230">
        <f>'Inputs by customer type'!N162</f>
        <v>4594.5749999999998</v>
      </c>
      <c r="O194" s="230">
        <f>'Inputs by customer type'!O162</f>
        <v>1707.8620000000001</v>
      </c>
      <c r="P194" s="230">
        <f>'Inputs by customer type'!P162</f>
        <v>963.04600000000005</v>
      </c>
      <c r="Q194" s="203"/>
      <c r="R194" s="203"/>
      <c r="S194" s="203"/>
      <c r="T194" s="203"/>
      <c r="U194" s="203"/>
      <c r="V194" s="203"/>
      <c r="W194" s="203"/>
      <c r="X194" s="203"/>
      <c r="Y194" s="203"/>
      <c r="AQ194" s="19"/>
    </row>
    <row r="195" spans="4:43" x14ac:dyDescent="0.25">
      <c r="AQ195" s="19"/>
    </row>
    <row r="196" spans="4:43" x14ac:dyDescent="0.25">
      <c r="D196" s="73" t="s">
        <v>1074</v>
      </c>
      <c r="AQ196" s="19"/>
    </row>
    <row r="197" spans="4:43" x14ac:dyDescent="0.25">
      <c r="AQ197" s="19"/>
    </row>
    <row r="198" spans="4:43" x14ac:dyDescent="0.25">
      <c r="E198" s="52" t="s">
        <v>899</v>
      </c>
      <c r="G198" s="91"/>
      <c r="I198" t="s">
        <v>359</v>
      </c>
      <c r="AA198" t="s">
        <v>691</v>
      </c>
    </row>
    <row r="199" spans="4:43" x14ac:dyDescent="0.25">
      <c r="E199" s="52"/>
      <c r="F199" s="38" t="s">
        <v>199</v>
      </c>
      <c r="G199" s="38" t="s">
        <v>120</v>
      </c>
      <c r="H199" s="80"/>
      <c r="I199" s="80"/>
      <c r="J199" s="224">
        <f t="shared" ref="J199:Y205" si="2">SUM( J67, J76, J85, J94, J58 )</f>
        <v>690665.52756605227</v>
      </c>
      <c r="K199" s="224">
        <f t="shared" si="2"/>
        <v>652.15353635409315</v>
      </c>
      <c r="L199" s="224">
        <f t="shared" si="2"/>
        <v>197215.71824716488</v>
      </c>
      <c r="M199" s="224">
        <f t="shared" si="2"/>
        <v>596.52194686342921</v>
      </c>
      <c r="N199" s="224">
        <f t="shared" si="2"/>
        <v>239212.40829229704</v>
      </c>
      <c r="O199" s="224">
        <f t="shared" si="2"/>
        <v>24547.067000000003</v>
      </c>
      <c r="P199" s="224">
        <f t="shared" si="2"/>
        <v>291765.32617760467</v>
      </c>
      <c r="Q199" s="224">
        <f t="shared" si="2"/>
        <v>11180.532790656171</v>
      </c>
      <c r="R199" s="224">
        <f t="shared" si="2"/>
        <v>931.43637713580506</v>
      </c>
      <c r="S199" s="224">
        <f t="shared" si="2"/>
        <v>11.571999999999999</v>
      </c>
      <c r="T199" s="224">
        <f t="shared" si="2"/>
        <v>5840.0349999999999</v>
      </c>
      <c r="U199" s="224">
        <f t="shared" si="2"/>
        <v>0</v>
      </c>
      <c r="V199" s="224">
        <f t="shared" si="2"/>
        <v>62.863</v>
      </c>
      <c r="W199" s="224">
        <f t="shared" si="2"/>
        <v>0</v>
      </c>
      <c r="X199" s="224">
        <f t="shared" si="2"/>
        <v>118436.88399999999</v>
      </c>
      <c r="Y199" s="224">
        <f t="shared" si="2"/>
        <v>0</v>
      </c>
    </row>
    <row r="200" spans="4:43" x14ac:dyDescent="0.25">
      <c r="E200" s="52"/>
      <c r="F200" s="92" t="s">
        <v>200</v>
      </c>
      <c r="G200" s="92" t="s">
        <v>120</v>
      </c>
      <c r="J200" s="221">
        <f t="shared" si="2"/>
        <v>2376763.4827184244</v>
      </c>
      <c r="K200" s="221">
        <f t="shared" si="2"/>
        <v>17758.957834530302</v>
      </c>
      <c r="L200" s="221">
        <f t="shared" si="2"/>
        <v>1014123.7017000477</v>
      </c>
      <c r="M200" s="221">
        <f t="shared" si="2"/>
        <v>8872.4799352594691</v>
      </c>
      <c r="N200" s="221">
        <f t="shared" si="2"/>
        <v>1147660.8873382052</v>
      </c>
      <c r="O200" s="221">
        <f t="shared" si="2"/>
        <v>114407.17799999997</v>
      </c>
      <c r="P200" s="221">
        <f t="shared" si="2"/>
        <v>1353203.3063332762</v>
      </c>
      <c r="Q200" s="418">
        <f t="shared" si="2"/>
        <v>64407.420619468379</v>
      </c>
      <c r="R200" s="418">
        <f t="shared" si="2"/>
        <v>5999.8136998466971</v>
      </c>
      <c r="S200" s="418">
        <f t="shared" si="2"/>
        <v>49.278999999999996</v>
      </c>
      <c r="T200" s="221">
        <f t="shared" si="2"/>
        <v>26458.666000000001</v>
      </c>
      <c r="U200" s="221">
        <f t="shared" si="2"/>
        <v>0</v>
      </c>
      <c r="V200" s="221">
        <f t="shared" si="2"/>
        <v>312.48</v>
      </c>
      <c r="W200" s="221">
        <f t="shared" si="2"/>
        <v>0</v>
      </c>
      <c r="X200" s="221">
        <f t="shared" si="2"/>
        <v>429284.261</v>
      </c>
      <c r="Y200" s="221">
        <f t="shared" si="2"/>
        <v>0</v>
      </c>
    </row>
    <row r="201" spans="4:43" x14ac:dyDescent="0.25">
      <c r="E201" s="52"/>
      <c r="F201" s="92" t="s">
        <v>201</v>
      </c>
      <c r="G201" s="92" t="s">
        <v>120</v>
      </c>
      <c r="J201" s="221">
        <f t="shared" si="2"/>
        <v>2257194.3085960886</v>
      </c>
      <c r="K201" s="221">
        <f t="shared" si="2"/>
        <v>171594.78624832345</v>
      </c>
      <c r="L201" s="221">
        <f t="shared" si="2"/>
        <v>815687.82328053005</v>
      </c>
      <c r="M201" s="221">
        <f t="shared" si="2"/>
        <v>35850.647959933427</v>
      </c>
      <c r="N201" s="221">
        <f t="shared" si="2"/>
        <v>1017995.2727409761</v>
      </c>
      <c r="O201" s="221">
        <f t="shared" si="2"/>
        <v>117665.55600000003</v>
      </c>
      <c r="P201" s="221">
        <f t="shared" si="2"/>
        <v>1489033.4256753393</v>
      </c>
      <c r="Q201" s="418">
        <f t="shared" si="2"/>
        <v>148584.05886729746</v>
      </c>
      <c r="R201" s="418">
        <f t="shared" si="2"/>
        <v>2681.8786975178805</v>
      </c>
      <c r="S201" s="418">
        <f t="shared" si="2"/>
        <v>45.105000000000004</v>
      </c>
      <c r="T201" s="221">
        <f t="shared" si="2"/>
        <v>29713.727000000003</v>
      </c>
      <c r="U201" s="221">
        <f t="shared" si="2"/>
        <v>0</v>
      </c>
      <c r="V201" s="221">
        <f t="shared" si="2"/>
        <v>275.35399999999998</v>
      </c>
      <c r="W201" s="221">
        <f t="shared" si="2"/>
        <v>0</v>
      </c>
      <c r="X201" s="221">
        <f t="shared" si="2"/>
        <v>489264.26399999997</v>
      </c>
      <c r="Y201" s="221">
        <f t="shared" si="2"/>
        <v>0</v>
      </c>
    </row>
    <row r="202" spans="4:43" x14ac:dyDescent="0.25">
      <c r="E202" s="52"/>
      <c r="F202" s="92" t="s">
        <v>74</v>
      </c>
      <c r="G202" s="92" t="s">
        <v>74</v>
      </c>
      <c r="J202" s="221">
        <f t="shared" si="2"/>
        <v>1858128</v>
      </c>
      <c r="K202" s="221">
        <f t="shared" si="2"/>
        <v>92980</v>
      </c>
      <c r="L202" s="221">
        <f t="shared" si="2"/>
        <v>126136</v>
      </c>
      <c r="M202" s="221">
        <f t="shared" si="2"/>
        <v>5473</v>
      </c>
      <c r="N202" s="221">
        <f t="shared" si="2"/>
        <v>11086</v>
      </c>
      <c r="O202" s="221">
        <f t="shared" si="2"/>
        <v>278</v>
      </c>
      <c r="P202" s="221">
        <f t="shared" si="2"/>
        <v>1279</v>
      </c>
      <c r="Q202" s="221">
        <f t="shared" si="2"/>
        <v>4804</v>
      </c>
      <c r="R202" s="221">
        <f t="shared" si="2"/>
        <v>1153</v>
      </c>
      <c r="S202" s="221">
        <f t="shared" si="2"/>
        <v>4</v>
      </c>
      <c r="T202" s="221">
        <f t="shared" si="2"/>
        <v>496</v>
      </c>
      <c r="U202" s="221">
        <f t="shared" si="2"/>
        <v>0</v>
      </c>
      <c r="V202" s="221">
        <f t="shared" si="2"/>
        <v>9</v>
      </c>
      <c r="W202" s="221">
        <f t="shared" si="2"/>
        <v>0</v>
      </c>
      <c r="X202" s="221">
        <f t="shared" si="2"/>
        <v>261</v>
      </c>
      <c r="Y202" s="221">
        <f t="shared" si="2"/>
        <v>0</v>
      </c>
    </row>
    <row r="203" spans="4:43" x14ac:dyDescent="0.25">
      <c r="E203" s="52"/>
      <c r="F203" s="92" t="s">
        <v>202</v>
      </c>
      <c r="G203" s="92" t="s">
        <v>169</v>
      </c>
      <c r="J203" s="234"/>
      <c r="K203" s="234"/>
      <c r="L203" s="234"/>
      <c r="M203" s="234"/>
      <c r="N203" s="221">
        <f t="shared" si="2"/>
        <v>1520656</v>
      </c>
      <c r="O203" s="221">
        <f t="shared" si="2"/>
        <v>108896</v>
      </c>
      <c r="P203" s="221">
        <f t="shared" si="2"/>
        <v>1319086</v>
      </c>
      <c r="Q203" s="234"/>
      <c r="R203" s="234"/>
      <c r="S203" s="234"/>
      <c r="T203" s="234"/>
      <c r="U203" s="234"/>
      <c r="V203" s="234"/>
      <c r="W203" s="234"/>
      <c r="X203" s="234"/>
      <c r="Y203" s="234"/>
    </row>
    <row r="204" spans="4:43" x14ac:dyDescent="0.25">
      <c r="E204" s="52"/>
      <c r="F204" s="92" t="s">
        <v>203</v>
      </c>
      <c r="G204" s="92" t="s">
        <v>169</v>
      </c>
      <c r="J204" s="234"/>
      <c r="K204" s="234"/>
      <c r="L204" s="234"/>
      <c r="M204" s="234"/>
      <c r="N204" s="221">
        <f t="shared" si="2"/>
        <v>22182</v>
      </c>
      <c r="O204" s="221">
        <f t="shared" si="2"/>
        <v>959</v>
      </c>
      <c r="P204" s="221">
        <f t="shared" si="2"/>
        <v>14265</v>
      </c>
      <c r="Q204" s="234"/>
      <c r="R204" s="234"/>
      <c r="S204" s="234"/>
      <c r="T204" s="234"/>
      <c r="U204" s="234"/>
      <c r="V204" s="234"/>
      <c r="W204" s="234"/>
      <c r="X204" s="234"/>
      <c r="Y204" s="234"/>
    </row>
    <row r="205" spans="4:43" x14ac:dyDescent="0.25">
      <c r="E205" s="52"/>
      <c r="F205" s="34" t="s">
        <v>204</v>
      </c>
      <c r="G205" s="34" t="s">
        <v>170</v>
      </c>
      <c r="H205" s="17"/>
      <c r="I205" s="17"/>
      <c r="J205" s="203"/>
      <c r="K205" s="203"/>
      <c r="L205" s="203"/>
      <c r="M205" s="203"/>
      <c r="N205" s="225">
        <f t="shared" si="2"/>
        <v>226435.30199999997</v>
      </c>
      <c r="O205" s="225">
        <f t="shared" si="2"/>
        <v>20073.314999999999</v>
      </c>
      <c r="P205" s="225">
        <f t="shared" si="2"/>
        <v>237848.264</v>
      </c>
      <c r="Q205" s="203"/>
      <c r="R205" s="203"/>
      <c r="S205" s="203"/>
      <c r="T205" s="225">
        <f>SUM( T73, T82, T91, T100, T64 )</f>
        <v>5379.1220000000003</v>
      </c>
      <c r="U205" s="203"/>
      <c r="V205" s="225">
        <f>SUM( V73, V82, V91, V100, V64 )</f>
        <v>157.29499999999999</v>
      </c>
      <c r="W205" s="203"/>
      <c r="X205" s="225">
        <f>SUM( X73, X82, X91, X100, X64 )</f>
        <v>20692.973000000002</v>
      </c>
      <c r="Y205" s="203"/>
    </row>
    <row r="206" spans="4:43" s="322" customFormat="1" x14ac:dyDescent="0.25">
      <c r="E206" s="323"/>
      <c r="F206" s="324"/>
      <c r="G206" s="324"/>
      <c r="J206" s="325"/>
      <c r="K206" s="325"/>
      <c r="L206" s="325"/>
      <c r="M206" s="325"/>
      <c r="N206" s="326"/>
      <c r="O206" s="326"/>
      <c r="P206" s="326"/>
      <c r="Q206" s="325"/>
      <c r="R206" s="325"/>
      <c r="S206" s="325"/>
      <c r="T206" s="326"/>
      <c r="U206" s="325"/>
      <c r="V206" s="326"/>
      <c r="W206" s="325"/>
      <c r="X206" s="326"/>
      <c r="Y206" s="325"/>
    </row>
    <row r="207" spans="4:43" x14ac:dyDescent="0.25">
      <c r="E207" s="52" t="s">
        <v>900</v>
      </c>
      <c r="G207" s="34"/>
      <c r="H207" s="17"/>
      <c r="I207" t="s">
        <v>359</v>
      </c>
      <c r="J207" s="220"/>
      <c r="K207" s="220"/>
      <c r="L207" s="220"/>
      <c r="M207" s="220"/>
      <c r="N207" s="220"/>
      <c r="O207" s="220"/>
      <c r="P207" s="220"/>
      <c r="Q207" s="220"/>
      <c r="R207" s="220"/>
      <c r="S207" s="220"/>
      <c r="T207" s="220"/>
      <c r="U207" s="220"/>
      <c r="V207" s="220"/>
      <c r="W207" s="220"/>
      <c r="X207" s="220"/>
      <c r="Y207" s="220"/>
      <c r="AA207" t="s">
        <v>691</v>
      </c>
    </row>
    <row r="208" spans="4:43" x14ac:dyDescent="0.25">
      <c r="E208" s="52"/>
      <c r="F208" s="38" t="s">
        <v>199</v>
      </c>
      <c r="G208" s="92" t="s">
        <v>120</v>
      </c>
      <c r="I208" s="80"/>
      <c r="J208" s="224">
        <f t="shared" ref="J208:N211" si="3">SUM( J114, J123, J132, J141, J105 )</f>
        <v>20086.258114403387</v>
      </c>
      <c r="K208" s="224">
        <f t="shared" si="3"/>
        <v>1.76</v>
      </c>
      <c r="L208" s="224">
        <f t="shared" si="3"/>
        <v>849.07226151811415</v>
      </c>
      <c r="M208" s="224">
        <f t="shared" si="3"/>
        <v>0</v>
      </c>
      <c r="N208" s="224">
        <f t="shared" si="3"/>
        <v>2094.6476925324168</v>
      </c>
      <c r="O208" s="201"/>
      <c r="P208" s="201"/>
      <c r="Q208" s="224">
        <f t="shared" ref="Q208:R211" si="4">SUM( Q114, Q123, Q132, Q141, Q105 )</f>
        <v>27.518494778325124</v>
      </c>
      <c r="R208" s="224">
        <f t="shared" si="4"/>
        <v>148.179</v>
      </c>
      <c r="S208" s="201"/>
      <c r="T208" s="224">
        <f>SUM( T114, T123, T132, T141, T105 )</f>
        <v>0</v>
      </c>
      <c r="U208" s="201"/>
      <c r="V208" s="201"/>
      <c r="W208" s="201"/>
      <c r="X208" s="201"/>
      <c r="Y208" s="201"/>
    </row>
    <row r="209" spans="5:27" x14ac:dyDescent="0.25">
      <c r="E209" s="52"/>
      <c r="F209" s="92" t="s">
        <v>200</v>
      </c>
      <c r="G209" s="92" t="s">
        <v>120</v>
      </c>
      <c r="J209" s="221">
        <f t="shared" si="3"/>
        <v>69532.309980270977</v>
      </c>
      <c r="K209" s="221">
        <f t="shared" si="3"/>
        <v>29.321000000000005</v>
      </c>
      <c r="L209" s="221">
        <f t="shared" si="3"/>
        <v>4398.5437693436133</v>
      </c>
      <c r="M209" s="221">
        <f t="shared" si="3"/>
        <v>0</v>
      </c>
      <c r="N209" s="221">
        <f t="shared" si="3"/>
        <v>9435.3171668893501</v>
      </c>
      <c r="O209" s="234"/>
      <c r="P209" s="234"/>
      <c r="Q209" s="418">
        <f t="shared" si="4"/>
        <v>308.80785736453203</v>
      </c>
      <c r="R209" s="418">
        <f t="shared" si="4"/>
        <v>594.94400000000007</v>
      </c>
      <c r="S209" s="234"/>
      <c r="T209" s="221">
        <f>SUM( T115, T124, T133, T142, T106 )</f>
        <v>0</v>
      </c>
      <c r="U209" s="234"/>
      <c r="V209" s="234"/>
      <c r="W209" s="234"/>
      <c r="X209" s="234"/>
      <c r="Y209" s="234"/>
    </row>
    <row r="210" spans="5:27" x14ac:dyDescent="0.25">
      <c r="E210" s="52"/>
      <c r="F210" s="92" t="s">
        <v>201</v>
      </c>
      <c r="G210" s="92" t="s">
        <v>120</v>
      </c>
      <c r="J210" s="221">
        <f t="shared" si="3"/>
        <v>61812.930833280705</v>
      </c>
      <c r="K210" s="221">
        <f t="shared" si="3"/>
        <v>158.858</v>
      </c>
      <c r="L210" s="221">
        <f t="shared" si="3"/>
        <v>3339.5799910878932</v>
      </c>
      <c r="M210" s="221">
        <f t="shared" si="3"/>
        <v>0</v>
      </c>
      <c r="N210" s="221">
        <f t="shared" si="3"/>
        <v>8417.1888539517004</v>
      </c>
      <c r="O210" s="234"/>
      <c r="P210" s="234"/>
      <c r="Q210" s="418">
        <f t="shared" si="4"/>
        <v>331.63771002463056</v>
      </c>
      <c r="R210" s="418">
        <f t="shared" si="4"/>
        <v>276.19200000000001</v>
      </c>
      <c r="S210" s="234"/>
      <c r="T210" s="221">
        <f>SUM( T116, T125, T134, T143, T107 )</f>
        <v>0</v>
      </c>
      <c r="U210" s="234"/>
      <c r="V210" s="234"/>
      <c r="W210" s="234"/>
      <c r="X210" s="234"/>
      <c r="Y210" s="234"/>
    </row>
    <row r="211" spans="5:27" x14ac:dyDescent="0.25">
      <c r="E211" s="52"/>
      <c r="F211" s="92" t="s">
        <v>74</v>
      </c>
      <c r="G211" s="92" t="s">
        <v>74</v>
      </c>
      <c r="J211" s="221">
        <f t="shared" si="3"/>
        <v>55364.654773703347</v>
      </c>
      <c r="K211" s="221">
        <f t="shared" si="3"/>
        <v>61</v>
      </c>
      <c r="L211" s="221">
        <f t="shared" si="3"/>
        <v>1193</v>
      </c>
      <c r="M211" s="221">
        <f t="shared" si="3"/>
        <v>0</v>
      </c>
      <c r="N211" s="221">
        <f t="shared" si="3"/>
        <v>109</v>
      </c>
      <c r="O211" s="234"/>
      <c r="P211" s="234"/>
      <c r="Q211" s="221">
        <f t="shared" si="4"/>
        <v>71</v>
      </c>
      <c r="R211" s="221">
        <f t="shared" si="4"/>
        <v>62</v>
      </c>
      <c r="S211" s="234"/>
      <c r="T211" s="221">
        <f>SUM( T117, T126, T135, T144, T108 )</f>
        <v>0</v>
      </c>
      <c r="U211" s="234"/>
      <c r="V211" s="234"/>
      <c r="W211" s="234"/>
      <c r="X211" s="234"/>
      <c r="Y211" s="234"/>
    </row>
    <row r="212" spans="5:27" x14ac:dyDescent="0.25">
      <c r="E212" s="52"/>
      <c r="F212" s="92" t="s">
        <v>202</v>
      </c>
      <c r="G212" s="92" t="s">
        <v>169</v>
      </c>
      <c r="J212" s="234"/>
      <c r="K212" s="234"/>
      <c r="L212" s="234"/>
      <c r="M212" s="234"/>
      <c r="N212" s="221">
        <f>SUM( N118, N127, N136, N145, N109 )</f>
        <v>16740</v>
      </c>
      <c r="O212" s="234"/>
      <c r="P212" s="234"/>
      <c r="Q212" s="234"/>
      <c r="R212" s="234"/>
      <c r="S212" s="234"/>
      <c r="T212" s="234"/>
      <c r="U212" s="234"/>
      <c r="V212" s="234"/>
      <c r="W212" s="234"/>
      <c r="X212" s="234"/>
      <c r="Y212" s="234"/>
    </row>
    <row r="213" spans="5:27" x14ac:dyDescent="0.25">
      <c r="E213" s="52"/>
      <c r="F213" s="92" t="s">
        <v>203</v>
      </c>
      <c r="G213" s="92" t="s">
        <v>169</v>
      </c>
      <c r="J213" s="234"/>
      <c r="K213" s="234"/>
      <c r="L213" s="234"/>
      <c r="M213" s="234"/>
      <c r="N213" s="221">
        <f>SUM( N119, N128, N137, N146, N110 )</f>
        <v>55</v>
      </c>
      <c r="O213" s="234"/>
      <c r="P213" s="234"/>
      <c r="Q213" s="234"/>
      <c r="R213" s="234"/>
      <c r="S213" s="234"/>
      <c r="T213" s="234"/>
      <c r="U213" s="234"/>
      <c r="V213" s="234"/>
      <c r="W213" s="234"/>
      <c r="X213" s="234"/>
      <c r="Y213" s="234"/>
    </row>
    <row r="214" spans="5:27" x14ac:dyDescent="0.25">
      <c r="E214" s="52"/>
      <c r="F214" s="34" t="s">
        <v>204</v>
      </c>
      <c r="G214" s="34" t="s">
        <v>170</v>
      </c>
      <c r="H214" s="17"/>
      <c r="I214" s="17"/>
      <c r="J214" s="203"/>
      <c r="K214" s="203"/>
      <c r="L214" s="203"/>
      <c r="M214" s="203"/>
      <c r="N214" s="225">
        <f>SUM( N120, N129, N138, N147, N111 )</f>
        <v>1117.2469999999998</v>
      </c>
      <c r="O214" s="203"/>
      <c r="P214" s="203"/>
      <c r="Q214" s="203"/>
      <c r="R214" s="203"/>
      <c r="S214" s="203"/>
      <c r="T214" s="225">
        <f>SUM( T120, T129, T138, T147, T111 )</f>
        <v>0</v>
      </c>
      <c r="U214" s="203"/>
      <c r="V214" s="203"/>
      <c r="W214" s="203"/>
      <c r="X214" s="203"/>
      <c r="Y214" s="203"/>
    </row>
    <row r="215" spans="5:27" s="322" customFormat="1" x14ac:dyDescent="0.25">
      <c r="E215" s="323"/>
      <c r="F215" s="324"/>
      <c r="G215" s="324"/>
      <c r="J215" s="325"/>
      <c r="K215" s="325"/>
      <c r="L215" s="325"/>
      <c r="M215" s="325"/>
      <c r="N215" s="326"/>
      <c r="O215" s="325"/>
      <c r="P215" s="325"/>
      <c r="Q215" s="325"/>
      <c r="R215" s="325"/>
      <c r="S215" s="325"/>
      <c r="T215" s="326"/>
      <c r="U215" s="325"/>
      <c r="V215" s="325"/>
      <c r="W215" s="325"/>
      <c r="X215" s="325"/>
      <c r="Y215" s="325"/>
    </row>
    <row r="216" spans="5:27" x14ac:dyDescent="0.25">
      <c r="E216" s="52" t="s">
        <v>901</v>
      </c>
      <c r="G216" s="34"/>
      <c r="H216" s="17"/>
      <c r="I216" t="s">
        <v>359</v>
      </c>
      <c r="J216" s="220"/>
      <c r="K216" s="220"/>
      <c r="L216" s="220"/>
      <c r="M216" s="220"/>
      <c r="N216" s="220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AA216" t="s">
        <v>691</v>
      </c>
    </row>
    <row r="217" spans="5:27" x14ac:dyDescent="0.25">
      <c r="F217" s="38" t="s">
        <v>199</v>
      </c>
      <c r="G217" s="92" t="s">
        <v>120</v>
      </c>
      <c r="I217" s="80"/>
      <c r="J217" s="224">
        <f t="shared" ref="J217:T223" si="5">SUM( J161, J170, J179, J188, J152 )</f>
        <v>32626.366864146377</v>
      </c>
      <c r="K217" s="224">
        <f t="shared" si="5"/>
        <v>0</v>
      </c>
      <c r="L217" s="224">
        <f t="shared" si="5"/>
        <v>2361.7124469751025</v>
      </c>
      <c r="M217" s="224">
        <f t="shared" si="5"/>
        <v>0</v>
      </c>
      <c r="N217" s="224">
        <f t="shared" si="5"/>
        <v>15858.531912691675</v>
      </c>
      <c r="O217" s="224">
        <f t="shared" si="5"/>
        <v>3246.5943659626009</v>
      </c>
      <c r="P217" s="224">
        <f t="shared" si="5"/>
        <v>5451.4686206896549</v>
      </c>
      <c r="Q217" s="224">
        <f t="shared" si="5"/>
        <v>24.693411835748794</v>
      </c>
      <c r="R217" s="224">
        <f t="shared" si="5"/>
        <v>560.25500000000011</v>
      </c>
      <c r="S217" s="224">
        <f t="shared" si="5"/>
        <v>7.944</v>
      </c>
      <c r="T217" s="224">
        <f t="shared" si="5"/>
        <v>0</v>
      </c>
      <c r="U217" s="201"/>
      <c r="V217" s="224">
        <f>SUM( V161, V170, V179, V188, V152 )</f>
        <v>0</v>
      </c>
      <c r="W217" s="201"/>
      <c r="X217" s="224">
        <f>SUM( X161, X170, X179, X188, X152 )</f>
        <v>0</v>
      </c>
      <c r="Y217" s="201"/>
    </row>
    <row r="218" spans="5:27" x14ac:dyDescent="0.25">
      <c r="F218" s="92" t="s">
        <v>200</v>
      </c>
      <c r="G218" s="92" t="s">
        <v>120</v>
      </c>
      <c r="J218" s="221">
        <f t="shared" si="5"/>
        <v>111734.49537012567</v>
      </c>
      <c r="K218" s="221">
        <f t="shared" si="5"/>
        <v>13.045000000000002</v>
      </c>
      <c r="L218" s="221">
        <f t="shared" si="5"/>
        <v>12254.650248533686</v>
      </c>
      <c r="M218" s="221">
        <f t="shared" si="5"/>
        <v>0</v>
      </c>
      <c r="N218" s="221">
        <f t="shared" si="5"/>
        <v>70108.070396339375</v>
      </c>
      <c r="O218" s="221">
        <f t="shared" si="5"/>
        <v>14813.648497332628</v>
      </c>
      <c r="P218" s="221">
        <f t="shared" si="5"/>
        <v>24129.508965517241</v>
      </c>
      <c r="Q218" s="418">
        <f t="shared" si="5"/>
        <v>294.53399033816419</v>
      </c>
      <c r="R218" s="418">
        <f t="shared" si="5"/>
        <v>2047.2030000000002</v>
      </c>
      <c r="S218" s="418">
        <f t="shared" si="5"/>
        <v>28.603999999999999</v>
      </c>
      <c r="T218" s="221">
        <f t="shared" si="5"/>
        <v>0</v>
      </c>
      <c r="U218" s="234"/>
      <c r="V218" s="221">
        <f>SUM( V162, V171, V180, V189, V153 )</f>
        <v>0</v>
      </c>
      <c r="W218" s="234"/>
      <c r="X218" s="221">
        <f>SUM( X162, X171, X180, X189, X153 )</f>
        <v>0</v>
      </c>
      <c r="Y218" s="234"/>
    </row>
    <row r="219" spans="5:27" x14ac:dyDescent="0.25">
      <c r="F219" s="92" t="s">
        <v>201</v>
      </c>
      <c r="G219" s="92" t="s">
        <v>120</v>
      </c>
      <c r="J219" s="221">
        <f t="shared" si="5"/>
        <v>100076.82667142931</v>
      </c>
      <c r="K219" s="221">
        <f t="shared" si="5"/>
        <v>250.68800000000002</v>
      </c>
      <c r="L219" s="221">
        <f t="shared" si="5"/>
        <v>9558.4976250558757</v>
      </c>
      <c r="M219" s="221">
        <f t="shared" si="5"/>
        <v>0</v>
      </c>
      <c r="N219" s="221">
        <f t="shared" si="5"/>
        <v>63851.209306984529</v>
      </c>
      <c r="O219" s="221">
        <f t="shared" si="5"/>
        <v>13602.885554200417</v>
      </c>
      <c r="P219" s="221">
        <f t="shared" si="5"/>
        <v>28281.206896551725</v>
      </c>
      <c r="Q219" s="418">
        <f t="shared" si="5"/>
        <v>338.79760084541061</v>
      </c>
      <c r="R219" s="418">
        <f t="shared" si="5"/>
        <v>914.25899999999979</v>
      </c>
      <c r="S219" s="418">
        <f t="shared" si="5"/>
        <v>13.100000000000001</v>
      </c>
      <c r="T219" s="221">
        <f t="shared" si="5"/>
        <v>0</v>
      </c>
      <c r="U219" s="234"/>
      <c r="V219" s="221">
        <f>SUM( V163, V172, V181, V190, V154 )</f>
        <v>0</v>
      </c>
      <c r="W219" s="234"/>
      <c r="X219" s="221">
        <f>SUM( X163, X172, X181, X190, X154 )</f>
        <v>0</v>
      </c>
      <c r="Y219" s="234"/>
    </row>
    <row r="220" spans="5:27" x14ac:dyDescent="0.25">
      <c r="F220" s="92" t="s">
        <v>74</v>
      </c>
      <c r="G220" s="92" t="s">
        <v>74</v>
      </c>
      <c r="J220" s="221">
        <f t="shared" si="5"/>
        <v>84249.703927492461</v>
      </c>
      <c r="K220" s="221">
        <f t="shared" si="5"/>
        <v>70</v>
      </c>
      <c r="L220" s="221">
        <f t="shared" si="5"/>
        <v>1722</v>
      </c>
      <c r="M220" s="221">
        <f t="shared" si="5"/>
        <v>0</v>
      </c>
      <c r="N220" s="221">
        <f t="shared" si="5"/>
        <v>481</v>
      </c>
      <c r="O220" s="221">
        <f t="shared" si="5"/>
        <v>38</v>
      </c>
      <c r="P220" s="221">
        <f t="shared" si="5"/>
        <v>30</v>
      </c>
      <c r="Q220" s="221">
        <f t="shared" si="5"/>
        <v>71</v>
      </c>
      <c r="R220" s="221">
        <f t="shared" si="5"/>
        <v>521</v>
      </c>
      <c r="S220" s="221">
        <f t="shared" si="5"/>
        <v>1</v>
      </c>
      <c r="T220" s="221">
        <f t="shared" si="5"/>
        <v>0</v>
      </c>
      <c r="U220" s="234"/>
      <c r="V220" s="221">
        <f>SUM( V164, V173, V182, V191, V155 )</f>
        <v>0</v>
      </c>
      <c r="W220" s="234"/>
      <c r="X220" s="221">
        <f>SUM( X164, X173, X182, X191, X155 )</f>
        <v>0</v>
      </c>
      <c r="Y220" s="234"/>
    </row>
    <row r="221" spans="5:27" x14ac:dyDescent="0.25">
      <c r="F221" s="92" t="s">
        <v>202</v>
      </c>
      <c r="G221" s="92" t="s">
        <v>169</v>
      </c>
      <c r="J221" s="234"/>
      <c r="K221" s="234"/>
      <c r="L221" s="234"/>
      <c r="M221" s="234"/>
      <c r="N221" s="221">
        <f t="shared" si="5"/>
        <v>107676</v>
      </c>
      <c r="O221" s="221">
        <f t="shared" si="5"/>
        <v>21296</v>
      </c>
      <c r="P221" s="221">
        <f t="shared" si="5"/>
        <v>36838</v>
      </c>
      <c r="Q221" s="234"/>
      <c r="R221" s="234"/>
      <c r="S221" s="234"/>
      <c r="T221" s="234"/>
      <c r="U221" s="234"/>
      <c r="V221" s="234"/>
      <c r="W221" s="234"/>
      <c r="X221" s="234"/>
      <c r="Y221" s="234"/>
    </row>
    <row r="222" spans="5:27" x14ac:dyDescent="0.25">
      <c r="F222" s="92" t="s">
        <v>203</v>
      </c>
      <c r="G222" s="92" t="s">
        <v>169</v>
      </c>
      <c r="J222" s="234"/>
      <c r="K222" s="234"/>
      <c r="L222" s="234"/>
      <c r="M222" s="234"/>
      <c r="N222" s="221">
        <f t="shared" si="5"/>
        <v>261</v>
      </c>
      <c r="O222" s="221">
        <f t="shared" si="5"/>
        <v>6</v>
      </c>
      <c r="P222" s="221">
        <f t="shared" si="5"/>
        <v>165</v>
      </c>
      <c r="Q222" s="234"/>
      <c r="R222" s="234"/>
      <c r="S222" s="234"/>
      <c r="T222" s="234"/>
      <c r="U222" s="234"/>
      <c r="V222" s="234"/>
      <c r="W222" s="234"/>
      <c r="X222" s="234"/>
      <c r="Y222" s="234"/>
    </row>
    <row r="223" spans="5:27" x14ac:dyDescent="0.25">
      <c r="F223" s="34" t="s">
        <v>204</v>
      </c>
      <c r="G223" s="34" t="s">
        <v>170</v>
      </c>
      <c r="H223" s="17"/>
      <c r="I223" s="17"/>
      <c r="J223" s="203"/>
      <c r="K223" s="203"/>
      <c r="L223" s="203"/>
      <c r="M223" s="203"/>
      <c r="N223" s="225">
        <f t="shared" si="5"/>
        <v>7275.268</v>
      </c>
      <c r="O223" s="225">
        <f t="shared" si="5"/>
        <v>1753.308</v>
      </c>
      <c r="P223" s="225">
        <f t="shared" si="5"/>
        <v>1867.194</v>
      </c>
      <c r="Q223" s="203"/>
      <c r="R223" s="203"/>
      <c r="S223" s="203"/>
      <c r="T223" s="225">
        <f>SUM( T167, T176, T185, T194, T158 )</f>
        <v>0</v>
      </c>
      <c r="U223" s="203"/>
      <c r="V223" s="225">
        <f>SUM( V167, V176, V185, V194, V158 )</f>
        <v>0</v>
      </c>
      <c r="W223" s="203"/>
      <c r="X223" s="225">
        <f>SUM( X167, X176, X185, X194, X158 )</f>
        <v>0</v>
      </c>
      <c r="Y223" s="203"/>
    </row>
    <row r="224" spans="5:27" x14ac:dyDescent="0.25">
      <c r="G224" s="91"/>
    </row>
    <row r="225" spans="3:43" x14ac:dyDescent="0.25">
      <c r="C225" s="5" t="str">
        <f ca="1">INDEX('Version control'!$H$36:$H$62,MATCH($A$1,'Version control'!$F$36:$F$62,0),1)&amp;"-C: Volume discounting"</f>
        <v>Section 507-C: Volume discounting</v>
      </c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Q225" s="19"/>
    </row>
    <row r="226" spans="3:43" x14ac:dyDescent="0.25">
      <c r="C226" s="52"/>
      <c r="AQ226" s="19"/>
    </row>
    <row r="227" spans="3:43" x14ac:dyDescent="0.25">
      <c r="C227" s="73" t="s">
        <v>502</v>
      </c>
      <c r="AQ227" s="19"/>
    </row>
    <row r="228" spans="3:43" x14ac:dyDescent="0.25">
      <c r="C228" s="52"/>
      <c r="AQ228" s="19"/>
    </row>
    <row r="229" spans="3:43" x14ac:dyDescent="0.25">
      <c r="C229" s="73"/>
      <c r="E229" s="52" t="s">
        <v>134</v>
      </c>
      <c r="I229" t="s">
        <v>359</v>
      </c>
      <c r="AA229" t="s">
        <v>693</v>
      </c>
      <c r="AQ229" s="19"/>
    </row>
    <row r="230" spans="3:43" x14ac:dyDescent="0.25">
      <c r="C230" s="73"/>
      <c r="E230" s="52"/>
      <c r="AQ230" s="19"/>
    </row>
    <row r="231" spans="3:43" x14ac:dyDescent="0.25">
      <c r="F231" s="12" t="s">
        <v>145</v>
      </c>
      <c r="G231" s="12" t="s">
        <v>120</v>
      </c>
      <c r="J231" s="231">
        <f t="shared" ref="J231:Y231" si="6">J$199</f>
        <v>690665.52756605227</v>
      </c>
      <c r="K231" s="231">
        <f t="shared" si="6"/>
        <v>652.15353635409315</v>
      </c>
      <c r="L231" s="231">
        <f t="shared" si="6"/>
        <v>197215.71824716488</v>
      </c>
      <c r="M231" s="231">
        <f t="shared" si="6"/>
        <v>596.52194686342921</v>
      </c>
      <c r="N231" s="231">
        <f t="shared" si="6"/>
        <v>239212.40829229704</v>
      </c>
      <c r="O231" s="231">
        <f t="shared" si="6"/>
        <v>24547.067000000003</v>
      </c>
      <c r="P231" s="231">
        <f t="shared" si="6"/>
        <v>291765.32617760467</v>
      </c>
      <c r="Q231" s="231">
        <f t="shared" si="6"/>
        <v>11180.532790656171</v>
      </c>
      <c r="R231" s="231">
        <f t="shared" si="6"/>
        <v>931.43637713580506</v>
      </c>
      <c r="S231" s="231">
        <f t="shared" si="6"/>
        <v>11.571999999999999</v>
      </c>
      <c r="T231" s="231">
        <f t="shared" si="6"/>
        <v>5840.0349999999999</v>
      </c>
      <c r="U231" s="231">
        <f t="shared" si="6"/>
        <v>0</v>
      </c>
      <c r="V231" s="231">
        <f t="shared" si="6"/>
        <v>62.863</v>
      </c>
      <c r="W231" s="231">
        <f t="shared" si="6"/>
        <v>0</v>
      </c>
      <c r="X231" s="231">
        <f t="shared" si="6"/>
        <v>118436.88399999999</v>
      </c>
      <c r="Y231" s="231">
        <f t="shared" si="6"/>
        <v>0</v>
      </c>
      <c r="AQ231" s="19"/>
    </row>
    <row r="232" spans="3:43" x14ac:dyDescent="0.25">
      <c r="F232" s="12" t="s">
        <v>146</v>
      </c>
      <c r="G232" s="12" t="s">
        <v>120</v>
      </c>
      <c r="J232" s="231">
        <f t="shared" ref="J232:Y232" si="7">J$208</f>
        <v>20086.258114403387</v>
      </c>
      <c r="K232" s="231">
        <f t="shared" si="7"/>
        <v>1.76</v>
      </c>
      <c r="L232" s="231">
        <f t="shared" si="7"/>
        <v>849.07226151811415</v>
      </c>
      <c r="M232" s="231">
        <f t="shared" si="7"/>
        <v>0</v>
      </c>
      <c r="N232" s="231">
        <f t="shared" si="7"/>
        <v>2094.6476925324168</v>
      </c>
      <c r="O232" s="231">
        <f t="shared" si="7"/>
        <v>0</v>
      </c>
      <c r="P232" s="231">
        <f t="shared" si="7"/>
        <v>0</v>
      </c>
      <c r="Q232" s="231">
        <f t="shared" si="7"/>
        <v>27.518494778325124</v>
      </c>
      <c r="R232" s="231">
        <f t="shared" si="7"/>
        <v>148.179</v>
      </c>
      <c r="S232" s="231">
        <f t="shared" si="7"/>
        <v>0</v>
      </c>
      <c r="T232" s="231">
        <f t="shared" si="7"/>
        <v>0</v>
      </c>
      <c r="U232" s="231">
        <f t="shared" si="7"/>
        <v>0</v>
      </c>
      <c r="V232" s="231">
        <f t="shared" si="7"/>
        <v>0</v>
      </c>
      <c r="W232" s="231">
        <f t="shared" si="7"/>
        <v>0</v>
      </c>
      <c r="X232" s="231">
        <f t="shared" si="7"/>
        <v>0</v>
      </c>
      <c r="Y232" s="231">
        <f t="shared" si="7"/>
        <v>0</v>
      </c>
      <c r="AQ232" s="19"/>
    </row>
    <row r="233" spans="3:43" x14ac:dyDescent="0.25">
      <c r="F233" s="12" t="s">
        <v>147</v>
      </c>
      <c r="G233" s="12" t="s">
        <v>120</v>
      </c>
      <c r="J233" s="231">
        <f t="shared" ref="J233:Y233" si="8">J$217</f>
        <v>32626.366864146377</v>
      </c>
      <c r="K233" s="231">
        <f t="shared" si="8"/>
        <v>0</v>
      </c>
      <c r="L233" s="231">
        <f t="shared" si="8"/>
        <v>2361.7124469751025</v>
      </c>
      <c r="M233" s="231">
        <f t="shared" si="8"/>
        <v>0</v>
      </c>
      <c r="N233" s="231">
        <f t="shared" si="8"/>
        <v>15858.531912691675</v>
      </c>
      <c r="O233" s="231">
        <f t="shared" si="8"/>
        <v>3246.5943659626009</v>
      </c>
      <c r="P233" s="231">
        <f t="shared" si="8"/>
        <v>5451.4686206896549</v>
      </c>
      <c r="Q233" s="231">
        <f t="shared" si="8"/>
        <v>24.693411835748794</v>
      </c>
      <c r="R233" s="231">
        <f t="shared" si="8"/>
        <v>560.25500000000011</v>
      </c>
      <c r="S233" s="231">
        <f t="shared" si="8"/>
        <v>7.944</v>
      </c>
      <c r="T233" s="231">
        <f t="shared" si="8"/>
        <v>0</v>
      </c>
      <c r="U233" s="231">
        <f t="shared" si="8"/>
        <v>0</v>
      </c>
      <c r="V233" s="231">
        <f t="shared" si="8"/>
        <v>0</v>
      </c>
      <c r="W233" s="231">
        <f t="shared" si="8"/>
        <v>0</v>
      </c>
      <c r="X233" s="231">
        <f t="shared" si="8"/>
        <v>0</v>
      </c>
      <c r="Y233" s="231">
        <f t="shared" si="8"/>
        <v>0</v>
      </c>
      <c r="AQ233" s="19"/>
    </row>
    <row r="234" spans="3:43" x14ac:dyDescent="0.25">
      <c r="F234" s="12" t="s">
        <v>178</v>
      </c>
      <c r="G234" s="12" t="s">
        <v>94</v>
      </c>
      <c r="J234" s="419">
        <f>IF(J$39, J$45, J$34)</f>
        <v>0.40624392198207837</v>
      </c>
      <c r="K234" s="419">
        <f t="shared" ref="K234:Y234" si="9">IF(K$39, K$45, K$34)</f>
        <v>0.40624392198207837</v>
      </c>
      <c r="L234" s="419">
        <f t="shared" si="9"/>
        <v>0.40624392198207837</v>
      </c>
      <c r="M234" s="419">
        <f t="shared" si="9"/>
        <v>0.40624392198207837</v>
      </c>
      <c r="N234" s="419">
        <f t="shared" si="9"/>
        <v>0.40624392198207837</v>
      </c>
      <c r="O234" s="419">
        <f t="shared" si="9"/>
        <v>0</v>
      </c>
      <c r="P234" s="419">
        <f t="shared" si="9"/>
        <v>0</v>
      </c>
      <c r="Q234" s="419">
        <f t="shared" si="9"/>
        <v>0.40624392198207837</v>
      </c>
      <c r="R234" s="419">
        <f t="shared" si="9"/>
        <v>0</v>
      </c>
      <c r="S234" s="419">
        <f t="shared" si="9"/>
        <v>0</v>
      </c>
      <c r="T234" s="419">
        <f t="shared" si="9"/>
        <v>0</v>
      </c>
      <c r="U234" s="419">
        <f t="shared" si="9"/>
        <v>0</v>
      </c>
      <c r="V234" s="419">
        <f t="shared" si="9"/>
        <v>0</v>
      </c>
      <c r="W234" s="419">
        <f t="shared" si="9"/>
        <v>0</v>
      </c>
      <c r="X234" s="419">
        <f t="shared" si="9"/>
        <v>0</v>
      </c>
      <c r="Y234" s="419">
        <f t="shared" si="9"/>
        <v>0</v>
      </c>
      <c r="AQ234" s="19"/>
    </row>
    <row r="235" spans="3:43" x14ac:dyDescent="0.25">
      <c r="F235" s="12" t="s">
        <v>179</v>
      </c>
      <c r="G235" s="12" t="s">
        <v>94</v>
      </c>
      <c r="J235" s="419">
        <f>IF(J$39, J$45, J$35)</f>
        <v>0.60699642425647604</v>
      </c>
      <c r="K235" s="419">
        <f t="shared" ref="K235:Y235" si="10">IF(K$39, K$45, K$35)</f>
        <v>0.60699642425647604</v>
      </c>
      <c r="L235" s="419">
        <f t="shared" si="10"/>
        <v>0.60699642425647604</v>
      </c>
      <c r="M235" s="419">
        <f t="shared" si="10"/>
        <v>0.60699642425647604</v>
      </c>
      <c r="N235" s="419">
        <f t="shared" si="10"/>
        <v>0.60699642425647604</v>
      </c>
      <c r="O235" s="419">
        <f t="shared" si="10"/>
        <v>0.33703941159411843</v>
      </c>
      <c r="P235" s="419">
        <f t="shared" si="10"/>
        <v>0.23936190643348279</v>
      </c>
      <c r="Q235" s="419">
        <f t="shared" si="10"/>
        <v>0.60699642425647604</v>
      </c>
      <c r="R235" s="419">
        <f t="shared" si="10"/>
        <v>0</v>
      </c>
      <c r="S235" s="419">
        <f t="shared" si="10"/>
        <v>0</v>
      </c>
      <c r="T235" s="419">
        <f t="shared" si="10"/>
        <v>0</v>
      </c>
      <c r="U235" s="419">
        <f t="shared" si="10"/>
        <v>0</v>
      </c>
      <c r="V235" s="419">
        <f t="shared" si="10"/>
        <v>0</v>
      </c>
      <c r="W235" s="419">
        <f t="shared" si="10"/>
        <v>0</v>
      </c>
      <c r="X235" s="419">
        <f t="shared" si="10"/>
        <v>0</v>
      </c>
      <c r="Y235" s="419">
        <f t="shared" si="10"/>
        <v>0</v>
      </c>
      <c r="AQ235" s="19"/>
    </row>
    <row r="236" spans="3:43" x14ac:dyDescent="0.25">
      <c r="F236" s="12" t="s">
        <v>166</v>
      </c>
      <c r="G236" s="12" t="s">
        <v>120</v>
      </c>
      <c r="J236" s="231">
        <f t="shared" ref="J236:Y237" si="11">J232 * (1 - J234)</f>
        <v>11926.337840063808</v>
      </c>
      <c r="K236" s="231">
        <f t="shared" si="11"/>
        <v>1.0450106973115421</v>
      </c>
      <c r="L236" s="231">
        <f t="shared" si="11"/>
        <v>504.14181595280252</v>
      </c>
      <c r="M236" s="231">
        <f t="shared" si="11"/>
        <v>0</v>
      </c>
      <c r="N236" s="231">
        <f t="shared" si="11"/>
        <v>1243.7097987473371</v>
      </c>
      <c r="O236" s="231">
        <f t="shared" si="11"/>
        <v>0</v>
      </c>
      <c r="P236" s="231">
        <f t="shared" si="11"/>
        <v>0</v>
      </c>
      <c r="Q236" s="231">
        <f t="shared" si="11"/>
        <v>16.339273532534982</v>
      </c>
      <c r="R236" s="231">
        <f t="shared" si="11"/>
        <v>148.179</v>
      </c>
      <c r="S236" s="231">
        <f t="shared" si="11"/>
        <v>0</v>
      </c>
      <c r="T236" s="231">
        <f t="shared" si="11"/>
        <v>0</v>
      </c>
      <c r="U236" s="231">
        <f t="shared" si="11"/>
        <v>0</v>
      </c>
      <c r="V236" s="231">
        <f t="shared" si="11"/>
        <v>0</v>
      </c>
      <c r="W236" s="231">
        <f t="shared" si="11"/>
        <v>0</v>
      </c>
      <c r="X236" s="231">
        <f t="shared" si="11"/>
        <v>0</v>
      </c>
      <c r="Y236" s="231">
        <f t="shared" si="11"/>
        <v>0</v>
      </c>
      <c r="AQ236" s="19"/>
    </row>
    <row r="237" spans="3:43" x14ac:dyDescent="0.25">
      <c r="F237" s="13" t="s">
        <v>177</v>
      </c>
      <c r="G237" s="13" t="s">
        <v>120</v>
      </c>
      <c r="H237" s="17"/>
      <c r="I237" s="17"/>
      <c r="J237" s="225">
        <f t="shared" si="11"/>
        <v>12822.278841129551</v>
      </c>
      <c r="K237" s="225">
        <f t="shared" si="11"/>
        <v>0</v>
      </c>
      <c r="L237" s="225">
        <f t="shared" si="11"/>
        <v>928.16143653920301</v>
      </c>
      <c r="M237" s="225">
        <f t="shared" si="11"/>
        <v>0</v>
      </c>
      <c r="N237" s="225">
        <f t="shared" si="11"/>
        <v>6232.4597477306143</v>
      </c>
      <c r="O237" s="225">
        <f t="shared" si="11"/>
        <v>2152.3641111737861</v>
      </c>
      <c r="P237" s="225">
        <f t="shared" si="11"/>
        <v>4146.5946987790703</v>
      </c>
      <c r="Q237" s="225">
        <f t="shared" si="11"/>
        <v>9.7045991487567314</v>
      </c>
      <c r="R237" s="225">
        <f t="shared" si="11"/>
        <v>560.25500000000011</v>
      </c>
      <c r="S237" s="225">
        <f t="shared" si="11"/>
        <v>7.944</v>
      </c>
      <c r="T237" s="225">
        <f t="shared" si="11"/>
        <v>0</v>
      </c>
      <c r="U237" s="225">
        <f t="shared" si="11"/>
        <v>0</v>
      </c>
      <c r="V237" s="225">
        <f t="shared" si="11"/>
        <v>0</v>
      </c>
      <c r="W237" s="225">
        <f t="shared" si="11"/>
        <v>0</v>
      </c>
      <c r="X237" s="225">
        <f t="shared" si="11"/>
        <v>0</v>
      </c>
      <c r="Y237" s="225">
        <f t="shared" si="11"/>
        <v>0</v>
      </c>
      <c r="AQ237" s="19"/>
    </row>
    <row r="238" spans="3:43" x14ac:dyDescent="0.25">
      <c r="F238" s="12" t="s">
        <v>167</v>
      </c>
      <c r="G238" s="12" t="s">
        <v>120</v>
      </c>
      <c r="J238" s="215">
        <f t="shared" ref="J238:Y238" si="12">J231 + J236 + J237</f>
        <v>715414.14424724563</v>
      </c>
      <c r="K238" s="215">
        <f t="shared" si="12"/>
        <v>653.19854705140472</v>
      </c>
      <c r="L238" s="215">
        <f t="shared" si="12"/>
        <v>198648.0214996569</v>
      </c>
      <c r="M238" s="215">
        <f t="shared" si="12"/>
        <v>596.52194686342921</v>
      </c>
      <c r="N238" s="215">
        <f t="shared" si="12"/>
        <v>246688.57783877497</v>
      </c>
      <c r="O238" s="215">
        <f t="shared" si="12"/>
        <v>26699.431111173788</v>
      </c>
      <c r="P238" s="215">
        <f t="shared" si="12"/>
        <v>295911.92087638372</v>
      </c>
      <c r="Q238" s="215">
        <f t="shared" si="12"/>
        <v>11206.576663337462</v>
      </c>
      <c r="R238" s="215">
        <f t="shared" si="12"/>
        <v>1639.8703771358053</v>
      </c>
      <c r="S238" s="215">
        <f t="shared" si="12"/>
        <v>19.515999999999998</v>
      </c>
      <c r="T238" s="215">
        <f t="shared" si="12"/>
        <v>5840.0349999999999</v>
      </c>
      <c r="U238" s="215">
        <f t="shared" si="12"/>
        <v>0</v>
      </c>
      <c r="V238" s="215">
        <f t="shared" si="12"/>
        <v>62.863</v>
      </c>
      <c r="W238" s="215">
        <f t="shared" si="12"/>
        <v>0</v>
      </c>
      <c r="X238" s="215">
        <f t="shared" si="12"/>
        <v>118436.88399999999</v>
      </c>
      <c r="Y238" s="215">
        <f t="shared" si="12"/>
        <v>0</v>
      </c>
      <c r="AQ238" s="19"/>
    </row>
    <row r="239" spans="3:43" x14ac:dyDescent="0.25">
      <c r="E239" s="52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  <c r="AQ239" s="19"/>
    </row>
    <row r="240" spans="3:43" x14ac:dyDescent="0.25">
      <c r="E240" s="52" t="s">
        <v>135</v>
      </c>
      <c r="I240" t="s">
        <v>359</v>
      </c>
      <c r="J240" s="211"/>
      <c r="K240" s="211"/>
      <c r="L240" s="211"/>
      <c r="M240" s="211"/>
      <c r="N240" s="211"/>
      <c r="O240" s="211"/>
      <c r="P240" s="211"/>
      <c r="Q240" s="211"/>
      <c r="R240" s="211"/>
      <c r="S240" s="211"/>
      <c r="T240" s="211"/>
      <c r="U240" s="211"/>
      <c r="V240" s="211"/>
      <c r="W240" s="211"/>
      <c r="X240" s="211"/>
      <c r="Y240" s="211"/>
      <c r="AA240" t="s">
        <v>693</v>
      </c>
      <c r="AQ240" s="19"/>
    </row>
    <row r="241" spans="5:43" x14ac:dyDescent="0.25">
      <c r="E241" s="52"/>
      <c r="J241" s="211"/>
      <c r="K241" s="211"/>
      <c r="L241" s="211"/>
      <c r="M241" s="211"/>
      <c r="N241" s="211"/>
      <c r="O241" s="211"/>
      <c r="P241" s="211"/>
      <c r="Q241" s="211"/>
      <c r="R241" s="211"/>
      <c r="S241" s="211"/>
      <c r="T241" s="211"/>
      <c r="U241" s="211"/>
      <c r="V241" s="211"/>
      <c r="W241" s="211"/>
      <c r="X241" s="211"/>
      <c r="Y241" s="211"/>
      <c r="AQ241" s="19"/>
    </row>
    <row r="242" spans="5:43" x14ac:dyDescent="0.25">
      <c r="F242" s="12" t="s">
        <v>145</v>
      </c>
      <c r="G242" s="12" t="s">
        <v>120</v>
      </c>
      <c r="J242" s="231">
        <f t="shared" ref="J242:Y242" si="13">J$200</f>
        <v>2376763.4827184244</v>
      </c>
      <c r="K242" s="231">
        <f t="shared" si="13"/>
        <v>17758.957834530302</v>
      </c>
      <c r="L242" s="231">
        <f t="shared" si="13"/>
        <v>1014123.7017000477</v>
      </c>
      <c r="M242" s="231">
        <f t="shared" si="13"/>
        <v>8872.4799352594691</v>
      </c>
      <c r="N242" s="231">
        <f t="shared" si="13"/>
        <v>1147660.8873382052</v>
      </c>
      <c r="O242" s="231">
        <f t="shared" si="13"/>
        <v>114407.17799999997</v>
      </c>
      <c r="P242" s="231">
        <f t="shared" si="13"/>
        <v>1353203.3063332762</v>
      </c>
      <c r="Q242" s="231">
        <f t="shared" si="13"/>
        <v>64407.420619468379</v>
      </c>
      <c r="R242" s="231">
        <f t="shared" si="13"/>
        <v>5999.8136998466971</v>
      </c>
      <c r="S242" s="231">
        <f t="shared" si="13"/>
        <v>49.278999999999996</v>
      </c>
      <c r="T242" s="231">
        <f t="shared" si="13"/>
        <v>26458.666000000001</v>
      </c>
      <c r="U242" s="231">
        <f t="shared" si="13"/>
        <v>0</v>
      </c>
      <c r="V242" s="231">
        <f t="shared" si="13"/>
        <v>312.48</v>
      </c>
      <c r="W242" s="231">
        <f t="shared" si="13"/>
        <v>0</v>
      </c>
      <c r="X242" s="231">
        <f t="shared" si="13"/>
        <v>429284.261</v>
      </c>
      <c r="Y242" s="231">
        <f t="shared" si="13"/>
        <v>0</v>
      </c>
      <c r="AQ242" s="19"/>
    </row>
    <row r="243" spans="5:43" x14ac:dyDescent="0.25">
      <c r="F243" s="12" t="s">
        <v>146</v>
      </c>
      <c r="G243" s="12" t="s">
        <v>120</v>
      </c>
      <c r="J243" s="231">
        <f t="shared" ref="J243:Y243" si="14">J$209</f>
        <v>69532.309980270977</v>
      </c>
      <c r="K243" s="231">
        <f t="shared" si="14"/>
        <v>29.321000000000005</v>
      </c>
      <c r="L243" s="231">
        <f t="shared" si="14"/>
        <v>4398.5437693436133</v>
      </c>
      <c r="M243" s="231">
        <f t="shared" si="14"/>
        <v>0</v>
      </c>
      <c r="N243" s="231">
        <f t="shared" si="14"/>
        <v>9435.3171668893501</v>
      </c>
      <c r="O243" s="231">
        <f t="shared" si="14"/>
        <v>0</v>
      </c>
      <c r="P243" s="231">
        <f t="shared" si="14"/>
        <v>0</v>
      </c>
      <c r="Q243" s="231">
        <f t="shared" si="14"/>
        <v>308.80785736453203</v>
      </c>
      <c r="R243" s="231">
        <f t="shared" si="14"/>
        <v>594.94400000000007</v>
      </c>
      <c r="S243" s="231">
        <f t="shared" si="14"/>
        <v>0</v>
      </c>
      <c r="T243" s="231">
        <f t="shared" si="14"/>
        <v>0</v>
      </c>
      <c r="U243" s="231">
        <f t="shared" si="14"/>
        <v>0</v>
      </c>
      <c r="V243" s="231">
        <f t="shared" si="14"/>
        <v>0</v>
      </c>
      <c r="W243" s="231">
        <f t="shared" si="14"/>
        <v>0</v>
      </c>
      <c r="X243" s="231">
        <f t="shared" si="14"/>
        <v>0</v>
      </c>
      <c r="Y243" s="231">
        <f t="shared" si="14"/>
        <v>0</v>
      </c>
      <c r="AQ243" s="19"/>
    </row>
    <row r="244" spans="5:43" x14ac:dyDescent="0.25">
      <c r="F244" s="12" t="s">
        <v>147</v>
      </c>
      <c r="G244" s="12" t="s">
        <v>120</v>
      </c>
      <c r="J244" s="231">
        <f t="shared" ref="J244:Y244" si="15">J$218</f>
        <v>111734.49537012567</v>
      </c>
      <c r="K244" s="231">
        <f t="shared" si="15"/>
        <v>13.045000000000002</v>
      </c>
      <c r="L244" s="231">
        <f t="shared" si="15"/>
        <v>12254.650248533686</v>
      </c>
      <c r="M244" s="231">
        <f t="shared" si="15"/>
        <v>0</v>
      </c>
      <c r="N244" s="231">
        <f t="shared" si="15"/>
        <v>70108.070396339375</v>
      </c>
      <c r="O244" s="231">
        <f t="shared" si="15"/>
        <v>14813.648497332628</v>
      </c>
      <c r="P244" s="231">
        <f t="shared" si="15"/>
        <v>24129.508965517241</v>
      </c>
      <c r="Q244" s="231">
        <f t="shared" si="15"/>
        <v>294.53399033816419</v>
      </c>
      <c r="R244" s="231">
        <f t="shared" si="15"/>
        <v>2047.2030000000002</v>
      </c>
      <c r="S244" s="231">
        <f t="shared" si="15"/>
        <v>28.603999999999999</v>
      </c>
      <c r="T244" s="231">
        <f t="shared" si="15"/>
        <v>0</v>
      </c>
      <c r="U244" s="231">
        <f t="shared" si="15"/>
        <v>0</v>
      </c>
      <c r="V244" s="231">
        <f t="shared" si="15"/>
        <v>0</v>
      </c>
      <c r="W244" s="231">
        <f t="shared" si="15"/>
        <v>0</v>
      </c>
      <c r="X244" s="231">
        <f t="shared" si="15"/>
        <v>0</v>
      </c>
      <c r="Y244" s="231">
        <f t="shared" si="15"/>
        <v>0</v>
      </c>
      <c r="AQ244" s="19"/>
    </row>
    <row r="245" spans="5:43" x14ac:dyDescent="0.25">
      <c r="F245" s="12" t="s">
        <v>178</v>
      </c>
      <c r="G245" s="12" t="s">
        <v>94</v>
      </c>
      <c r="J245" s="420">
        <f t="shared" ref="J245:Y245" si="16">IF(J$39, J$45, J$34)</f>
        <v>0.40624392198207837</v>
      </c>
      <c r="K245" s="420">
        <f t="shared" si="16"/>
        <v>0.40624392198207837</v>
      </c>
      <c r="L245" s="420">
        <f t="shared" si="16"/>
        <v>0.40624392198207837</v>
      </c>
      <c r="M245" s="420">
        <f t="shared" si="16"/>
        <v>0.40624392198207837</v>
      </c>
      <c r="N245" s="420">
        <f t="shared" si="16"/>
        <v>0.40624392198207837</v>
      </c>
      <c r="O245" s="420">
        <f t="shared" si="16"/>
        <v>0</v>
      </c>
      <c r="P245" s="420">
        <f t="shared" si="16"/>
        <v>0</v>
      </c>
      <c r="Q245" s="420">
        <f t="shared" si="16"/>
        <v>0.40624392198207837</v>
      </c>
      <c r="R245" s="420">
        <f t="shared" si="16"/>
        <v>0</v>
      </c>
      <c r="S245" s="420">
        <f t="shared" si="16"/>
        <v>0</v>
      </c>
      <c r="T245" s="420">
        <f t="shared" si="16"/>
        <v>0</v>
      </c>
      <c r="U245" s="420">
        <f t="shared" si="16"/>
        <v>0</v>
      </c>
      <c r="V245" s="420">
        <f t="shared" si="16"/>
        <v>0</v>
      </c>
      <c r="W245" s="420">
        <f t="shared" si="16"/>
        <v>0</v>
      </c>
      <c r="X245" s="420">
        <f t="shared" si="16"/>
        <v>0</v>
      </c>
      <c r="Y245" s="420">
        <f t="shared" si="16"/>
        <v>0</v>
      </c>
      <c r="AQ245" s="19"/>
    </row>
    <row r="246" spans="5:43" x14ac:dyDescent="0.25">
      <c r="F246" s="12" t="s">
        <v>179</v>
      </c>
      <c r="G246" s="12" t="s">
        <v>94</v>
      </c>
      <c r="J246" s="420">
        <f t="shared" ref="J246:Y246" si="17">IF(J$39, J$45, J$35)</f>
        <v>0.60699642425647604</v>
      </c>
      <c r="K246" s="420">
        <f t="shared" si="17"/>
        <v>0.60699642425647604</v>
      </c>
      <c r="L246" s="420">
        <f t="shared" si="17"/>
        <v>0.60699642425647604</v>
      </c>
      <c r="M246" s="420">
        <f t="shared" si="17"/>
        <v>0.60699642425647604</v>
      </c>
      <c r="N246" s="420">
        <f t="shared" si="17"/>
        <v>0.60699642425647604</v>
      </c>
      <c r="O246" s="420">
        <f t="shared" si="17"/>
        <v>0.33703941159411843</v>
      </c>
      <c r="P246" s="420">
        <f t="shared" si="17"/>
        <v>0.23936190643348279</v>
      </c>
      <c r="Q246" s="420">
        <f t="shared" si="17"/>
        <v>0.60699642425647604</v>
      </c>
      <c r="R246" s="420">
        <f t="shared" si="17"/>
        <v>0</v>
      </c>
      <c r="S246" s="420">
        <f t="shared" si="17"/>
        <v>0</v>
      </c>
      <c r="T246" s="420">
        <f t="shared" si="17"/>
        <v>0</v>
      </c>
      <c r="U246" s="420">
        <f t="shared" si="17"/>
        <v>0</v>
      </c>
      <c r="V246" s="420">
        <f t="shared" si="17"/>
        <v>0</v>
      </c>
      <c r="W246" s="420">
        <f t="shared" si="17"/>
        <v>0</v>
      </c>
      <c r="X246" s="420">
        <f t="shared" si="17"/>
        <v>0</v>
      </c>
      <c r="Y246" s="420">
        <f t="shared" si="17"/>
        <v>0</v>
      </c>
      <c r="AQ246" s="19"/>
    </row>
    <row r="247" spans="5:43" x14ac:dyDescent="0.25">
      <c r="F247" s="12" t="s">
        <v>166</v>
      </c>
      <c r="G247" s="12" t="s">
        <v>120</v>
      </c>
      <c r="J247" s="231">
        <f t="shared" ref="J247:Y248" si="18">J243 * (1 - J245)</f>
        <v>41285.231669412082</v>
      </c>
      <c r="K247" s="231">
        <f t="shared" si="18"/>
        <v>17.409521963563485</v>
      </c>
      <c r="L247" s="231">
        <f t="shared" si="18"/>
        <v>2611.6620974756297</v>
      </c>
      <c r="M247" s="231">
        <f t="shared" si="18"/>
        <v>0</v>
      </c>
      <c r="N247" s="231">
        <f t="shared" si="18"/>
        <v>5602.2769158673882</v>
      </c>
      <c r="O247" s="231">
        <f t="shared" si="18"/>
        <v>0</v>
      </c>
      <c r="P247" s="231">
        <f t="shared" si="18"/>
        <v>0</v>
      </c>
      <c r="Q247" s="231">
        <f t="shared" si="18"/>
        <v>183.3565422498823</v>
      </c>
      <c r="R247" s="231">
        <f t="shared" si="18"/>
        <v>594.94400000000007</v>
      </c>
      <c r="S247" s="231">
        <f t="shared" si="18"/>
        <v>0</v>
      </c>
      <c r="T247" s="231">
        <f t="shared" si="18"/>
        <v>0</v>
      </c>
      <c r="U247" s="231">
        <f t="shared" si="18"/>
        <v>0</v>
      </c>
      <c r="V247" s="231">
        <f t="shared" si="18"/>
        <v>0</v>
      </c>
      <c r="W247" s="231">
        <f t="shared" si="18"/>
        <v>0</v>
      </c>
      <c r="X247" s="231">
        <f t="shared" si="18"/>
        <v>0</v>
      </c>
      <c r="Y247" s="231">
        <f t="shared" si="18"/>
        <v>0</v>
      </c>
      <c r="AQ247" s="19"/>
    </row>
    <row r="248" spans="5:43" x14ac:dyDescent="0.25">
      <c r="F248" s="13" t="s">
        <v>177</v>
      </c>
      <c r="G248" s="13" t="s">
        <v>120</v>
      </c>
      <c r="H248" s="17"/>
      <c r="I248" s="17"/>
      <c r="J248" s="225">
        <f t="shared" si="18"/>
        <v>43912.05621435761</v>
      </c>
      <c r="K248" s="225">
        <f t="shared" si="18"/>
        <v>5.1267316455742709</v>
      </c>
      <c r="L248" s="225">
        <f t="shared" si="18"/>
        <v>4816.1213671600035</v>
      </c>
      <c r="M248" s="225">
        <f t="shared" si="18"/>
        <v>0</v>
      </c>
      <c r="N248" s="225">
        <f t="shared" si="18"/>
        <v>27552.722354240072</v>
      </c>
      <c r="O248" s="225">
        <f t="shared" si="18"/>
        <v>9820.8651242295418</v>
      </c>
      <c r="P248" s="225">
        <f t="shared" si="18"/>
        <v>18353.823698227221</v>
      </c>
      <c r="Q248" s="225">
        <f t="shared" si="18"/>
        <v>115.75291138090707</v>
      </c>
      <c r="R248" s="225">
        <f t="shared" si="18"/>
        <v>2047.2030000000002</v>
      </c>
      <c r="S248" s="225">
        <f t="shared" si="18"/>
        <v>28.603999999999999</v>
      </c>
      <c r="T248" s="225">
        <f t="shared" si="18"/>
        <v>0</v>
      </c>
      <c r="U248" s="225">
        <f t="shared" si="18"/>
        <v>0</v>
      </c>
      <c r="V248" s="225">
        <f t="shared" si="18"/>
        <v>0</v>
      </c>
      <c r="W248" s="225">
        <f t="shared" si="18"/>
        <v>0</v>
      </c>
      <c r="X248" s="225">
        <f t="shared" si="18"/>
        <v>0</v>
      </c>
      <c r="Y248" s="225">
        <f t="shared" si="18"/>
        <v>0</v>
      </c>
      <c r="AQ248" s="19"/>
    </row>
    <row r="249" spans="5:43" x14ac:dyDescent="0.25">
      <c r="F249" s="12" t="s">
        <v>167</v>
      </c>
      <c r="G249" s="12" t="s">
        <v>120</v>
      </c>
      <c r="J249" s="215">
        <f t="shared" ref="J249:Y249" si="19">J242 + J247 + J248</f>
        <v>2461960.7706021941</v>
      </c>
      <c r="K249" s="215">
        <f t="shared" si="19"/>
        <v>17781.49408813944</v>
      </c>
      <c r="L249" s="215">
        <f t="shared" si="19"/>
        <v>1021551.4851646833</v>
      </c>
      <c r="M249" s="215">
        <f t="shared" si="19"/>
        <v>8872.4799352594691</v>
      </c>
      <c r="N249" s="215">
        <f t="shared" si="19"/>
        <v>1180815.8866083126</v>
      </c>
      <c r="O249" s="215">
        <f t="shared" si="19"/>
        <v>124228.04312422952</v>
      </c>
      <c r="P249" s="215">
        <f t="shared" si="19"/>
        <v>1371557.1300315035</v>
      </c>
      <c r="Q249" s="215">
        <f t="shared" si="19"/>
        <v>64706.530073099166</v>
      </c>
      <c r="R249" s="215">
        <f t="shared" si="19"/>
        <v>8641.960699846697</v>
      </c>
      <c r="S249" s="215">
        <f t="shared" si="19"/>
        <v>77.882999999999996</v>
      </c>
      <c r="T249" s="215">
        <f t="shared" si="19"/>
        <v>26458.666000000001</v>
      </c>
      <c r="U249" s="215">
        <f t="shared" si="19"/>
        <v>0</v>
      </c>
      <c r="V249" s="215">
        <f t="shared" si="19"/>
        <v>312.48</v>
      </c>
      <c r="W249" s="215">
        <f t="shared" si="19"/>
        <v>0</v>
      </c>
      <c r="X249" s="215">
        <f t="shared" si="19"/>
        <v>429284.261</v>
      </c>
      <c r="Y249" s="215">
        <f t="shared" si="19"/>
        <v>0</v>
      </c>
      <c r="AQ249" s="19"/>
    </row>
    <row r="250" spans="5:43" x14ac:dyDescent="0.25">
      <c r="E250" s="52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  <c r="AQ250" s="19"/>
    </row>
    <row r="251" spans="5:43" x14ac:dyDescent="0.25">
      <c r="E251" s="52" t="s">
        <v>136</v>
      </c>
      <c r="I251" t="s">
        <v>359</v>
      </c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  <c r="AA251" t="s">
        <v>693</v>
      </c>
      <c r="AQ251" s="19"/>
    </row>
    <row r="252" spans="5:43" x14ac:dyDescent="0.25">
      <c r="E252" s="52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  <c r="AQ252" s="19"/>
    </row>
    <row r="253" spans="5:43" x14ac:dyDescent="0.25">
      <c r="F253" s="12" t="s">
        <v>145</v>
      </c>
      <c r="G253" s="12" t="s">
        <v>120</v>
      </c>
      <c r="J253" s="231">
        <f t="shared" ref="J253:Y253" si="20">J$201</f>
        <v>2257194.3085960886</v>
      </c>
      <c r="K253" s="231">
        <f t="shared" si="20"/>
        <v>171594.78624832345</v>
      </c>
      <c r="L253" s="231">
        <f t="shared" si="20"/>
        <v>815687.82328053005</v>
      </c>
      <c r="M253" s="231">
        <f t="shared" si="20"/>
        <v>35850.647959933427</v>
      </c>
      <c r="N253" s="231">
        <f t="shared" si="20"/>
        <v>1017995.2727409761</v>
      </c>
      <c r="O253" s="231">
        <f t="shared" si="20"/>
        <v>117665.55600000003</v>
      </c>
      <c r="P253" s="231">
        <f t="shared" si="20"/>
        <v>1489033.4256753393</v>
      </c>
      <c r="Q253" s="231">
        <f t="shared" si="20"/>
        <v>148584.05886729746</v>
      </c>
      <c r="R253" s="231">
        <f t="shared" si="20"/>
        <v>2681.8786975178805</v>
      </c>
      <c r="S253" s="231">
        <f t="shared" si="20"/>
        <v>45.105000000000004</v>
      </c>
      <c r="T253" s="231">
        <f t="shared" si="20"/>
        <v>29713.727000000003</v>
      </c>
      <c r="U253" s="231">
        <f t="shared" si="20"/>
        <v>0</v>
      </c>
      <c r="V253" s="231">
        <f t="shared" si="20"/>
        <v>275.35399999999998</v>
      </c>
      <c r="W253" s="231">
        <f t="shared" si="20"/>
        <v>0</v>
      </c>
      <c r="X253" s="231">
        <f t="shared" si="20"/>
        <v>489264.26399999997</v>
      </c>
      <c r="Y253" s="231">
        <f t="shared" si="20"/>
        <v>0</v>
      </c>
      <c r="AQ253" s="19"/>
    </row>
    <row r="254" spans="5:43" x14ac:dyDescent="0.25">
      <c r="F254" s="12" t="s">
        <v>146</v>
      </c>
      <c r="G254" s="12" t="s">
        <v>120</v>
      </c>
      <c r="J254" s="231">
        <f t="shared" ref="J254:Y254" si="21">J$210</f>
        <v>61812.930833280705</v>
      </c>
      <c r="K254" s="231">
        <f t="shared" si="21"/>
        <v>158.858</v>
      </c>
      <c r="L254" s="231">
        <f t="shared" si="21"/>
        <v>3339.5799910878932</v>
      </c>
      <c r="M254" s="231">
        <f t="shared" si="21"/>
        <v>0</v>
      </c>
      <c r="N254" s="231">
        <f t="shared" si="21"/>
        <v>8417.1888539517004</v>
      </c>
      <c r="O254" s="231">
        <f t="shared" si="21"/>
        <v>0</v>
      </c>
      <c r="P254" s="231">
        <f t="shared" si="21"/>
        <v>0</v>
      </c>
      <c r="Q254" s="231">
        <f t="shared" si="21"/>
        <v>331.63771002463056</v>
      </c>
      <c r="R254" s="231">
        <f t="shared" si="21"/>
        <v>276.19200000000001</v>
      </c>
      <c r="S254" s="231">
        <f t="shared" si="21"/>
        <v>0</v>
      </c>
      <c r="T254" s="231">
        <f t="shared" si="21"/>
        <v>0</v>
      </c>
      <c r="U254" s="231">
        <f t="shared" si="21"/>
        <v>0</v>
      </c>
      <c r="V254" s="231">
        <f t="shared" si="21"/>
        <v>0</v>
      </c>
      <c r="W254" s="231">
        <f t="shared" si="21"/>
        <v>0</v>
      </c>
      <c r="X254" s="231">
        <f t="shared" si="21"/>
        <v>0</v>
      </c>
      <c r="Y254" s="231">
        <f t="shared" si="21"/>
        <v>0</v>
      </c>
      <c r="AQ254" s="19"/>
    </row>
    <row r="255" spans="5:43" x14ac:dyDescent="0.25">
      <c r="F255" s="12" t="s">
        <v>147</v>
      </c>
      <c r="G255" s="12" t="s">
        <v>120</v>
      </c>
      <c r="J255" s="231">
        <f t="shared" ref="J255:Y255" si="22">J$219</f>
        <v>100076.82667142931</v>
      </c>
      <c r="K255" s="231">
        <f t="shared" si="22"/>
        <v>250.68800000000002</v>
      </c>
      <c r="L255" s="231">
        <f t="shared" si="22"/>
        <v>9558.4976250558757</v>
      </c>
      <c r="M255" s="231">
        <f t="shared" si="22"/>
        <v>0</v>
      </c>
      <c r="N255" s="231">
        <f t="shared" si="22"/>
        <v>63851.209306984529</v>
      </c>
      <c r="O255" s="231">
        <f t="shared" si="22"/>
        <v>13602.885554200417</v>
      </c>
      <c r="P255" s="231">
        <f t="shared" si="22"/>
        <v>28281.206896551725</v>
      </c>
      <c r="Q255" s="231">
        <f t="shared" si="22"/>
        <v>338.79760084541061</v>
      </c>
      <c r="R255" s="231">
        <f t="shared" si="22"/>
        <v>914.25899999999979</v>
      </c>
      <c r="S255" s="231">
        <f t="shared" si="22"/>
        <v>13.100000000000001</v>
      </c>
      <c r="T255" s="231">
        <f t="shared" si="22"/>
        <v>0</v>
      </c>
      <c r="U255" s="231">
        <f t="shared" si="22"/>
        <v>0</v>
      </c>
      <c r="V255" s="231">
        <f t="shared" si="22"/>
        <v>0</v>
      </c>
      <c r="W255" s="231">
        <f t="shared" si="22"/>
        <v>0</v>
      </c>
      <c r="X255" s="231">
        <f t="shared" si="22"/>
        <v>0</v>
      </c>
      <c r="Y255" s="231">
        <f t="shared" si="22"/>
        <v>0</v>
      </c>
      <c r="AQ255" s="19"/>
    </row>
    <row r="256" spans="5:43" x14ac:dyDescent="0.25">
      <c r="F256" s="12" t="s">
        <v>178</v>
      </c>
      <c r="G256" s="12" t="s">
        <v>94</v>
      </c>
      <c r="J256" s="420">
        <f t="shared" ref="J256:Y256" si="23">IF(J$39, J$45, J$34)</f>
        <v>0.40624392198207837</v>
      </c>
      <c r="K256" s="420">
        <f t="shared" si="23"/>
        <v>0.40624392198207837</v>
      </c>
      <c r="L256" s="420">
        <f t="shared" si="23"/>
        <v>0.40624392198207837</v>
      </c>
      <c r="M256" s="420">
        <f t="shared" si="23"/>
        <v>0.40624392198207837</v>
      </c>
      <c r="N256" s="420">
        <f t="shared" si="23"/>
        <v>0.40624392198207837</v>
      </c>
      <c r="O256" s="420">
        <f t="shared" si="23"/>
        <v>0</v>
      </c>
      <c r="P256" s="420">
        <f t="shared" si="23"/>
        <v>0</v>
      </c>
      <c r="Q256" s="420">
        <f t="shared" si="23"/>
        <v>0.40624392198207837</v>
      </c>
      <c r="R256" s="420">
        <f t="shared" si="23"/>
        <v>0</v>
      </c>
      <c r="S256" s="420">
        <f t="shared" si="23"/>
        <v>0</v>
      </c>
      <c r="T256" s="420">
        <f t="shared" si="23"/>
        <v>0</v>
      </c>
      <c r="U256" s="420">
        <f t="shared" si="23"/>
        <v>0</v>
      </c>
      <c r="V256" s="420">
        <f t="shared" si="23"/>
        <v>0</v>
      </c>
      <c r="W256" s="420">
        <f t="shared" si="23"/>
        <v>0</v>
      </c>
      <c r="X256" s="420">
        <f t="shared" si="23"/>
        <v>0</v>
      </c>
      <c r="Y256" s="420">
        <f t="shared" si="23"/>
        <v>0</v>
      </c>
      <c r="AQ256" s="19"/>
    </row>
    <row r="257" spans="5:43" x14ac:dyDescent="0.25">
      <c r="F257" s="12" t="s">
        <v>179</v>
      </c>
      <c r="G257" s="12" t="s">
        <v>94</v>
      </c>
      <c r="J257" s="420">
        <f t="shared" ref="J257:Y257" si="24">IF(J$39, J$45, J$35)</f>
        <v>0.60699642425647604</v>
      </c>
      <c r="K257" s="420">
        <f t="shared" si="24"/>
        <v>0.60699642425647604</v>
      </c>
      <c r="L257" s="420">
        <f t="shared" si="24"/>
        <v>0.60699642425647604</v>
      </c>
      <c r="M257" s="420">
        <f t="shared" si="24"/>
        <v>0.60699642425647604</v>
      </c>
      <c r="N257" s="420">
        <f t="shared" si="24"/>
        <v>0.60699642425647604</v>
      </c>
      <c r="O257" s="420">
        <f t="shared" si="24"/>
        <v>0.33703941159411843</v>
      </c>
      <c r="P257" s="420">
        <f t="shared" si="24"/>
        <v>0.23936190643348279</v>
      </c>
      <c r="Q257" s="420">
        <f t="shared" si="24"/>
        <v>0.60699642425647604</v>
      </c>
      <c r="R257" s="420">
        <f t="shared" si="24"/>
        <v>0</v>
      </c>
      <c r="S257" s="420">
        <f t="shared" si="24"/>
        <v>0</v>
      </c>
      <c r="T257" s="420">
        <f t="shared" si="24"/>
        <v>0</v>
      </c>
      <c r="U257" s="420">
        <f t="shared" si="24"/>
        <v>0</v>
      </c>
      <c r="V257" s="420">
        <f t="shared" si="24"/>
        <v>0</v>
      </c>
      <c r="W257" s="420">
        <f t="shared" si="24"/>
        <v>0</v>
      </c>
      <c r="X257" s="420">
        <f t="shared" si="24"/>
        <v>0</v>
      </c>
      <c r="Y257" s="420">
        <f t="shared" si="24"/>
        <v>0</v>
      </c>
      <c r="AQ257" s="19"/>
    </row>
    <row r="258" spans="5:43" x14ac:dyDescent="0.25">
      <c r="F258" s="12" t="s">
        <v>166</v>
      </c>
      <c r="G258" s="12" t="s">
        <v>120</v>
      </c>
      <c r="J258" s="231">
        <f t="shared" ref="J258:Y259" si="25">J254 * (1 - J256)</f>
        <v>36701.80338236181</v>
      </c>
      <c r="K258" s="231">
        <f t="shared" si="25"/>
        <v>94.322903041770999</v>
      </c>
      <c r="L258" s="231">
        <f t="shared" si="25"/>
        <v>1982.8959177354732</v>
      </c>
      <c r="M258" s="231">
        <f t="shared" si="25"/>
        <v>0</v>
      </c>
      <c r="N258" s="231">
        <f t="shared" si="25"/>
        <v>4997.7570418585265</v>
      </c>
      <c r="O258" s="231">
        <f t="shared" si="25"/>
        <v>0</v>
      </c>
      <c r="P258" s="231">
        <f t="shared" si="25"/>
        <v>0</v>
      </c>
      <c r="Q258" s="231">
        <f t="shared" si="25"/>
        <v>196.91190602706942</v>
      </c>
      <c r="R258" s="231">
        <f t="shared" si="25"/>
        <v>276.19200000000001</v>
      </c>
      <c r="S258" s="231">
        <f t="shared" si="25"/>
        <v>0</v>
      </c>
      <c r="T258" s="231">
        <f t="shared" si="25"/>
        <v>0</v>
      </c>
      <c r="U258" s="231">
        <f t="shared" si="25"/>
        <v>0</v>
      </c>
      <c r="V258" s="231">
        <f t="shared" si="25"/>
        <v>0</v>
      </c>
      <c r="W258" s="231">
        <f t="shared" si="25"/>
        <v>0</v>
      </c>
      <c r="X258" s="231">
        <f t="shared" si="25"/>
        <v>0</v>
      </c>
      <c r="Y258" s="231">
        <f t="shared" si="25"/>
        <v>0</v>
      </c>
      <c r="AQ258" s="19"/>
    </row>
    <row r="259" spans="5:43" x14ac:dyDescent="0.25">
      <c r="F259" s="13" t="s">
        <v>177</v>
      </c>
      <c r="G259" s="13" t="s">
        <v>120</v>
      </c>
      <c r="H259" s="17"/>
      <c r="I259" s="17"/>
      <c r="J259" s="225">
        <f t="shared" si="25"/>
        <v>39330.550730936586</v>
      </c>
      <c r="K259" s="225">
        <f t="shared" si="25"/>
        <v>98.521280395992534</v>
      </c>
      <c r="L259" s="225">
        <f t="shared" si="25"/>
        <v>3756.5237453829409</v>
      </c>
      <c r="M259" s="225">
        <f t="shared" si="25"/>
        <v>0</v>
      </c>
      <c r="N259" s="225">
        <f t="shared" si="25"/>
        <v>25093.753573193095</v>
      </c>
      <c r="O259" s="225">
        <f t="shared" si="25"/>
        <v>9018.1770110305752</v>
      </c>
      <c r="P259" s="225">
        <f t="shared" si="25"/>
        <v>21511.763297553342</v>
      </c>
      <c r="Q259" s="225">
        <f t="shared" si="25"/>
        <v>133.14866858557352</v>
      </c>
      <c r="R259" s="225">
        <f t="shared" si="25"/>
        <v>914.25899999999979</v>
      </c>
      <c r="S259" s="225">
        <f t="shared" si="25"/>
        <v>13.100000000000001</v>
      </c>
      <c r="T259" s="225">
        <f t="shared" si="25"/>
        <v>0</v>
      </c>
      <c r="U259" s="225">
        <f t="shared" si="25"/>
        <v>0</v>
      </c>
      <c r="V259" s="225">
        <f t="shared" si="25"/>
        <v>0</v>
      </c>
      <c r="W259" s="225">
        <f t="shared" si="25"/>
        <v>0</v>
      </c>
      <c r="X259" s="225">
        <f t="shared" si="25"/>
        <v>0</v>
      </c>
      <c r="Y259" s="225">
        <f t="shared" si="25"/>
        <v>0</v>
      </c>
      <c r="AQ259" s="19"/>
    </row>
    <row r="260" spans="5:43" x14ac:dyDescent="0.25">
      <c r="F260" s="12" t="s">
        <v>167</v>
      </c>
      <c r="G260" s="12" t="s">
        <v>120</v>
      </c>
      <c r="J260" s="215">
        <f t="shared" ref="J260:Y260" si="26">J253 + J258 + J259</f>
        <v>2333226.662709387</v>
      </c>
      <c r="K260" s="215">
        <f t="shared" si="26"/>
        <v>171787.63043176121</v>
      </c>
      <c r="L260" s="215">
        <f t="shared" si="26"/>
        <v>821427.24294364848</v>
      </c>
      <c r="M260" s="215">
        <f t="shared" si="26"/>
        <v>35850.647959933427</v>
      </c>
      <c r="N260" s="215">
        <f t="shared" si="26"/>
        <v>1048086.7833560277</v>
      </c>
      <c r="O260" s="215">
        <f t="shared" si="26"/>
        <v>126683.73301103061</v>
      </c>
      <c r="P260" s="215">
        <f t="shared" si="26"/>
        <v>1510545.1889728927</v>
      </c>
      <c r="Q260" s="215">
        <f t="shared" si="26"/>
        <v>148914.11944191009</v>
      </c>
      <c r="R260" s="215">
        <f t="shared" si="26"/>
        <v>3872.32969751788</v>
      </c>
      <c r="S260" s="215">
        <f t="shared" si="26"/>
        <v>58.205000000000005</v>
      </c>
      <c r="T260" s="215">
        <f t="shared" si="26"/>
        <v>29713.727000000003</v>
      </c>
      <c r="U260" s="215">
        <f t="shared" si="26"/>
        <v>0</v>
      </c>
      <c r="V260" s="215">
        <f t="shared" si="26"/>
        <v>275.35399999999998</v>
      </c>
      <c r="W260" s="215">
        <f t="shared" si="26"/>
        <v>0</v>
      </c>
      <c r="X260" s="215">
        <f t="shared" si="26"/>
        <v>489264.26399999997</v>
      </c>
      <c r="Y260" s="215">
        <f t="shared" si="26"/>
        <v>0</v>
      </c>
      <c r="AQ260" s="19"/>
    </row>
    <row r="261" spans="5:43" x14ac:dyDescent="0.25">
      <c r="E261" s="52"/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  <c r="AQ261" s="19"/>
    </row>
    <row r="262" spans="5:43" x14ac:dyDescent="0.25">
      <c r="E262" s="52" t="s">
        <v>142</v>
      </c>
      <c r="I262" t="s">
        <v>359</v>
      </c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  <c r="AQ262" s="19"/>
    </row>
    <row r="263" spans="5:43" x14ac:dyDescent="0.25">
      <c r="E263" s="52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  <c r="AQ263" s="19"/>
    </row>
    <row r="264" spans="5:43" x14ac:dyDescent="0.25">
      <c r="F264" s="12" t="s">
        <v>167</v>
      </c>
      <c r="G264" s="12" t="s">
        <v>120</v>
      </c>
      <c r="J264" s="231">
        <f t="shared" ref="J264:Y264" si="27">J260 + J249 + J238</f>
        <v>5510601.5775588276</v>
      </c>
      <c r="K264" s="231">
        <f t="shared" si="27"/>
        <v>190222.32306695206</v>
      </c>
      <c r="L264" s="231">
        <f t="shared" si="27"/>
        <v>2041626.7496079886</v>
      </c>
      <c r="M264" s="231">
        <f t="shared" si="27"/>
        <v>45319.649842056329</v>
      </c>
      <c r="N264" s="231">
        <f t="shared" si="27"/>
        <v>2475591.2478031153</v>
      </c>
      <c r="O264" s="231">
        <f t="shared" si="27"/>
        <v>277611.20724643389</v>
      </c>
      <c r="P264" s="231">
        <f t="shared" si="27"/>
        <v>3178014.2398807798</v>
      </c>
      <c r="Q264" s="231">
        <f t="shared" si="27"/>
        <v>224827.22617834673</v>
      </c>
      <c r="R264" s="231">
        <f t="shared" si="27"/>
        <v>14154.160774500382</v>
      </c>
      <c r="S264" s="231">
        <f t="shared" si="27"/>
        <v>155.60399999999998</v>
      </c>
      <c r="T264" s="231">
        <f t="shared" si="27"/>
        <v>62012.428</v>
      </c>
      <c r="U264" s="231">
        <f t="shared" si="27"/>
        <v>0</v>
      </c>
      <c r="V264" s="231">
        <f t="shared" si="27"/>
        <v>650.69700000000012</v>
      </c>
      <c r="W264" s="231">
        <f t="shared" si="27"/>
        <v>0</v>
      </c>
      <c r="X264" s="231">
        <f t="shared" si="27"/>
        <v>1036985.4089999999</v>
      </c>
      <c r="Y264" s="231">
        <f t="shared" si="27"/>
        <v>0</v>
      </c>
      <c r="AQ264" s="19"/>
    </row>
    <row r="265" spans="5:43" x14ac:dyDescent="0.25">
      <c r="E265" s="52"/>
      <c r="J265" s="211"/>
      <c r="K265" s="211"/>
      <c r="L265" s="211"/>
      <c r="M265" s="211"/>
      <c r="N265" s="211"/>
      <c r="O265" s="211"/>
      <c r="P265" s="211"/>
      <c r="Q265" s="211"/>
      <c r="R265" s="211"/>
      <c r="S265" s="211"/>
      <c r="T265" s="211"/>
      <c r="U265" s="211"/>
      <c r="V265" s="211"/>
      <c r="W265" s="211"/>
      <c r="X265" s="211"/>
      <c r="Y265" s="211"/>
      <c r="AQ265" s="19"/>
    </row>
    <row r="266" spans="5:43" x14ac:dyDescent="0.25">
      <c r="E266" s="52" t="s">
        <v>74</v>
      </c>
      <c r="I266" t="s">
        <v>359</v>
      </c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  <c r="AA266" t="s">
        <v>693</v>
      </c>
      <c r="AQ266" s="19"/>
    </row>
    <row r="267" spans="5:43" x14ac:dyDescent="0.25">
      <c r="E267" s="52"/>
      <c r="J267" s="211"/>
      <c r="K267" s="211"/>
      <c r="L267" s="211"/>
      <c r="M267" s="211"/>
      <c r="N267" s="211"/>
      <c r="O267" s="211"/>
      <c r="P267" s="211"/>
      <c r="Q267" s="211"/>
      <c r="R267" s="211"/>
      <c r="S267" s="211"/>
      <c r="T267" s="211"/>
      <c r="U267" s="211"/>
      <c r="V267" s="211"/>
      <c r="W267" s="211"/>
      <c r="X267" s="211"/>
      <c r="Y267" s="211"/>
      <c r="AQ267" s="19"/>
    </row>
    <row r="268" spans="5:43" x14ac:dyDescent="0.25">
      <c r="F268" s="12" t="s">
        <v>145</v>
      </c>
      <c r="G268" s="12" t="s">
        <v>74</v>
      </c>
      <c r="J268" s="231">
        <f t="shared" ref="J268:Y268" si="28">J202</f>
        <v>1858128</v>
      </c>
      <c r="K268" s="231">
        <f t="shared" si="28"/>
        <v>92980</v>
      </c>
      <c r="L268" s="231">
        <f t="shared" si="28"/>
        <v>126136</v>
      </c>
      <c r="M268" s="231">
        <f t="shared" si="28"/>
        <v>5473</v>
      </c>
      <c r="N268" s="231">
        <f t="shared" si="28"/>
        <v>11086</v>
      </c>
      <c r="O268" s="231">
        <f t="shared" si="28"/>
        <v>278</v>
      </c>
      <c r="P268" s="231">
        <f t="shared" si="28"/>
        <v>1279</v>
      </c>
      <c r="Q268" s="231">
        <f t="shared" si="28"/>
        <v>4804</v>
      </c>
      <c r="R268" s="231">
        <f t="shared" si="28"/>
        <v>1153</v>
      </c>
      <c r="S268" s="231">
        <f t="shared" si="28"/>
        <v>4</v>
      </c>
      <c r="T268" s="231">
        <f t="shared" si="28"/>
        <v>496</v>
      </c>
      <c r="U268" s="231">
        <f t="shared" si="28"/>
        <v>0</v>
      </c>
      <c r="V268" s="231">
        <f t="shared" si="28"/>
        <v>9</v>
      </c>
      <c r="W268" s="231">
        <f t="shared" si="28"/>
        <v>0</v>
      </c>
      <c r="X268" s="231">
        <f t="shared" si="28"/>
        <v>261</v>
      </c>
      <c r="Y268" s="231">
        <f t="shared" si="28"/>
        <v>0</v>
      </c>
      <c r="AQ268" s="19"/>
    </row>
    <row r="269" spans="5:43" x14ac:dyDescent="0.25">
      <c r="F269" s="12" t="s">
        <v>146</v>
      </c>
      <c r="G269" s="12" t="s">
        <v>74</v>
      </c>
      <c r="J269" s="231">
        <f t="shared" ref="J269:Y269" si="29">J211</f>
        <v>55364.654773703347</v>
      </c>
      <c r="K269" s="231">
        <f t="shared" si="29"/>
        <v>61</v>
      </c>
      <c r="L269" s="231">
        <f t="shared" si="29"/>
        <v>1193</v>
      </c>
      <c r="M269" s="231">
        <f t="shared" si="29"/>
        <v>0</v>
      </c>
      <c r="N269" s="231">
        <f t="shared" si="29"/>
        <v>109</v>
      </c>
      <c r="O269" s="231">
        <f t="shared" si="29"/>
        <v>0</v>
      </c>
      <c r="P269" s="231">
        <f t="shared" si="29"/>
        <v>0</v>
      </c>
      <c r="Q269" s="231">
        <f t="shared" si="29"/>
        <v>71</v>
      </c>
      <c r="R269" s="231">
        <f t="shared" si="29"/>
        <v>62</v>
      </c>
      <c r="S269" s="231">
        <f t="shared" si="29"/>
        <v>0</v>
      </c>
      <c r="T269" s="231">
        <f t="shared" si="29"/>
        <v>0</v>
      </c>
      <c r="U269" s="231">
        <f t="shared" si="29"/>
        <v>0</v>
      </c>
      <c r="V269" s="231">
        <f t="shared" si="29"/>
        <v>0</v>
      </c>
      <c r="W269" s="231">
        <f t="shared" si="29"/>
        <v>0</v>
      </c>
      <c r="X269" s="231">
        <f t="shared" si="29"/>
        <v>0</v>
      </c>
      <c r="Y269" s="231">
        <f t="shared" si="29"/>
        <v>0</v>
      </c>
      <c r="AQ269" s="19"/>
    </row>
    <row r="270" spans="5:43" x14ac:dyDescent="0.25">
      <c r="F270" s="12" t="s">
        <v>147</v>
      </c>
      <c r="G270" s="12" t="s">
        <v>74</v>
      </c>
      <c r="J270" s="231">
        <f t="shared" ref="J270:Y270" si="30">J220</f>
        <v>84249.703927492461</v>
      </c>
      <c r="K270" s="231">
        <f t="shared" si="30"/>
        <v>70</v>
      </c>
      <c r="L270" s="231">
        <f t="shared" si="30"/>
        <v>1722</v>
      </c>
      <c r="M270" s="231">
        <f t="shared" si="30"/>
        <v>0</v>
      </c>
      <c r="N270" s="231">
        <f t="shared" si="30"/>
        <v>481</v>
      </c>
      <c r="O270" s="231">
        <f t="shared" si="30"/>
        <v>38</v>
      </c>
      <c r="P270" s="231">
        <f t="shared" si="30"/>
        <v>30</v>
      </c>
      <c r="Q270" s="231">
        <f t="shared" si="30"/>
        <v>71</v>
      </c>
      <c r="R270" s="231">
        <f t="shared" si="30"/>
        <v>521</v>
      </c>
      <c r="S270" s="231">
        <f t="shared" si="30"/>
        <v>1</v>
      </c>
      <c r="T270" s="231">
        <f t="shared" si="30"/>
        <v>0</v>
      </c>
      <c r="U270" s="231">
        <f t="shared" si="30"/>
        <v>0</v>
      </c>
      <c r="V270" s="231">
        <f t="shared" si="30"/>
        <v>0</v>
      </c>
      <c r="W270" s="231">
        <f t="shared" si="30"/>
        <v>0</v>
      </c>
      <c r="X270" s="231">
        <f t="shared" si="30"/>
        <v>0</v>
      </c>
      <c r="Y270" s="231">
        <f t="shared" si="30"/>
        <v>0</v>
      </c>
      <c r="AQ270" s="19"/>
    </row>
    <row r="271" spans="5:43" x14ac:dyDescent="0.25">
      <c r="F271" s="12" t="s">
        <v>178</v>
      </c>
      <c r="G271" s="12" t="s">
        <v>94</v>
      </c>
      <c r="J271" s="420">
        <f t="shared" ref="J271:Y271" si="31">IF(J$40, J$46, J$34)</f>
        <v>0.40624392198207837</v>
      </c>
      <c r="K271" s="420">
        <f t="shared" si="31"/>
        <v>0.40624392198207837</v>
      </c>
      <c r="L271" s="420">
        <f t="shared" si="31"/>
        <v>0.40624392198207837</v>
      </c>
      <c r="M271" s="420">
        <f t="shared" si="31"/>
        <v>0.40624392198207837</v>
      </c>
      <c r="N271" s="420">
        <f t="shared" si="31"/>
        <v>0.40624392198207837</v>
      </c>
      <c r="O271" s="420">
        <f t="shared" si="31"/>
        <v>0</v>
      </c>
      <c r="P271" s="420">
        <f t="shared" si="31"/>
        <v>0</v>
      </c>
      <c r="Q271" s="420">
        <f t="shared" si="31"/>
        <v>0.40624392198207837</v>
      </c>
      <c r="R271" s="420">
        <f t="shared" si="31"/>
        <v>1</v>
      </c>
      <c r="S271" s="420">
        <f t="shared" si="31"/>
        <v>1</v>
      </c>
      <c r="T271" s="420">
        <f t="shared" si="31"/>
        <v>1</v>
      </c>
      <c r="U271" s="420">
        <f t="shared" si="31"/>
        <v>1</v>
      </c>
      <c r="V271" s="420">
        <f t="shared" si="31"/>
        <v>1</v>
      </c>
      <c r="W271" s="420">
        <f t="shared" si="31"/>
        <v>1</v>
      </c>
      <c r="X271" s="420">
        <f t="shared" si="31"/>
        <v>1</v>
      </c>
      <c r="Y271" s="420">
        <f t="shared" si="31"/>
        <v>1</v>
      </c>
      <c r="AQ271" s="19"/>
    </row>
    <row r="272" spans="5:43" x14ac:dyDescent="0.25">
      <c r="F272" s="12" t="s">
        <v>179</v>
      </c>
      <c r="G272" s="12" t="s">
        <v>94</v>
      </c>
      <c r="J272" s="420">
        <f t="shared" ref="J272:Y272" si="32">IF(J$40, J$46, J$35)</f>
        <v>0.60699642425647604</v>
      </c>
      <c r="K272" s="420">
        <f t="shared" si="32"/>
        <v>0.60699642425647604</v>
      </c>
      <c r="L272" s="420">
        <f t="shared" si="32"/>
        <v>0.60699642425647604</v>
      </c>
      <c r="M272" s="420">
        <f t="shared" si="32"/>
        <v>0.60699642425647604</v>
      </c>
      <c r="N272" s="420">
        <f t="shared" si="32"/>
        <v>0.60699642425647604</v>
      </c>
      <c r="O272" s="420">
        <f t="shared" si="32"/>
        <v>0.33703941159411843</v>
      </c>
      <c r="P272" s="420">
        <f t="shared" si="32"/>
        <v>0.23936190643348279</v>
      </c>
      <c r="Q272" s="420">
        <f t="shared" si="32"/>
        <v>0.60699642425647604</v>
      </c>
      <c r="R272" s="420">
        <f t="shared" si="32"/>
        <v>1</v>
      </c>
      <c r="S272" s="420">
        <f t="shared" si="32"/>
        <v>1</v>
      </c>
      <c r="T272" s="420">
        <f t="shared" si="32"/>
        <v>1</v>
      </c>
      <c r="U272" s="420">
        <f t="shared" si="32"/>
        <v>1</v>
      </c>
      <c r="V272" s="420">
        <f t="shared" si="32"/>
        <v>1</v>
      </c>
      <c r="W272" s="420">
        <f t="shared" si="32"/>
        <v>1</v>
      </c>
      <c r="X272" s="420">
        <f t="shared" si="32"/>
        <v>1</v>
      </c>
      <c r="Y272" s="420">
        <f t="shared" si="32"/>
        <v>1</v>
      </c>
      <c r="AQ272" s="19"/>
    </row>
    <row r="273" spans="5:43" x14ac:dyDescent="0.25">
      <c r="F273" s="12" t="s">
        <v>166</v>
      </c>
      <c r="G273" s="12" t="s">
        <v>74</v>
      </c>
      <c r="J273" s="231">
        <f t="shared" ref="J273:Y274" si="33">J269 * (1 - J271)</f>
        <v>32873.100279250299</v>
      </c>
      <c r="K273" s="231">
        <f t="shared" si="33"/>
        <v>36.219120759093222</v>
      </c>
      <c r="L273" s="231">
        <f t="shared" si="33"/>
        <v>708.35100107538051</v>
      </c>
      <c r="M273" s="231">
        <f t="shared" si="33"/>
        <v>0</v>
      </c>
      <c r="N273" s="231">
        <f t="shared" si="33"/>
        <v>64.719412503953464</v>
      </c>
      <c r="O273" s="231">
        <f t="shared" si="33"/>
        <v>0</v>
      </c>
      <c r="P273" s="231">
        <f t="shared" si="33"/>
        <v>0</v>
      </c>
      <c r="Q273" s="231">
        <f t="shared" si="33"/>
        <v>42.156681539272434</v>
      </c>
      <c r="R273" s="231">
        <f t="shared" si="33"/>
        <v>0</v>
      </c>
      <c r="S273" s="231">
        <f t="shared" si="33"/>
        <v>0</v>
      </c>
      <c r="T273" s="231">
        <f t="shared" si="33"/>
        <v>0</v>
      </c>
      <c r="U273" s="231">
        <f t="shared" si="33"/>
        <v>0</v>
      </c>
      <c r="V273" s="231">
        <f t="shared" si="33"/>
        <v>0</v>
      </c>
      <c r="W273" s="231">
        <f t="shared" si="33"/>
        <v>0</v>
      </c>
      <c r="X273" s="231">
        <f t="shared" si="33"/>
        <v>0</v>
      </c>
      <c r="Y273" s="231">
        <f t="shared" si="33"/>
        <v>0</v>
      </c>
      <c r="AQ273" s="19"/>
    </row>
    <row r="274" spans="5:43" x14ac:dyDescent="0.25">
      <c r="F274" s="13" t="s">
        <v>177</v>
      </c>
      <c r="G274" s="13" t="s">
        <v>74</v>
      </c>
      <c r="H274" s="17"/>
      <c r="I274" s="17"/>
      <c r="J274" s="225">
        <f t="shared" si="33"/>
        <v>33110.434898837753</v>
      </c>
      <c r="K274" s="225">
        <f t="shared" si="33"/>
        <v>27.510250302046678</v>
      </c>
      <c r="L274" s="225">
        <f t="shared" si="33"/>
        <v>676.75215743034823</v>
      </c>
      <c r="M274" s="225">
        <f t="shared" si="33"/>
        <v>0</v>
      </c>
      <c r="N274" s="225">
        <f t="shared" si="33"/>
        <v>189.03471993263503</v>
      </c>
      <c r="O274" s="225">
        <f t="shared" si="33"/>
        <v>25.1925023594235</v>
      </c>
      <c r="P274" s="225">
        <f t="shared" si="33"/>
        <v>22.819142806995519</v>
      </c>
      <c r="Q274" s="225">
        <f t="shared" si="33"/>
        <v>27.903253877790203</v>
      </c>
      <c r="R274" s="225">
        <f t="shared" si="33"/>
        <v>0</v>
      </c>
      <c r="S274" s="225">
        <f t="shared" si="33"/>
        <v>0</v>
      </c>
      <c r="T274" s="225">
        <f t="shared" si="33"/>
        <v>0</v>
      </c>
      <c r="U274" s="225">
        <f t="shared" si="33"/>
        <v>0</v>
      </c>
      <c r="V274" s="225">
        <f t="shared" si="33"/>
        <v>0</v>
      </c>
      <c r="W274" s="225">
        <f t="shared" si="33"/>
        <v>0</v>
      </c>
      <c r="X274" s="225">
        <f t="shared" si="33"/>
        <v>0</v>
      </c>
      <c r="Y274" s="225">
        <f t="shared" si="33"/>
        <v>0</v>
      </c>
      <c r="AQ274" s="19"/>
    </row>
    <row r="275" spans="5:43" x14ac:dyDescent="0.25">
      <c r="F275" s="12" t="s">
        <v>167</v>
      </c>
      <c r="G275" s="12" t="s">
        <v>74</v>
      </c>
      <c r="J275" s="215">
        <f t="shared" ref="J275:Y275" si="34">J268 + J273 + J274</f>
        <v>1924111.5351780879</v>
      </c>
      <c r="K275" s="215">
        <f t="shared" si="34"/>
        <v>93043.729371061141</v>
      </c>
      <c r="L275" s="215">
        <f t="shared" si="34"/>
        <v>127521.10315850574</v>
      </c>
      <c r="M275" s="215">
        <f t="shared" si="34"/>
        <v>5473</v>
      </c>
      <c r="N275" s="215">
        <f t="shared" si="34"/>
        <v>11339.754132436588</v>
      </c>
      <c r="O275" s="215">
        <f t="shared" si="34"/>
        <v>303.19250235942349</v>
      </c>
      <c r="P275" s="215">
        <f t="shared" si="34"/>
        <v>1301.8191428069956</v>
      </c>
      <c r="Q275" s="215">
        <f t="shared" si="34"/>
        <v>4874.0599354170627</v>
      </c>
      <c r="R275" s="215">
        <f t="shared" si="34"/>
        <v>1153</v>
      </c>
      <c r="S275" s="215">
        <f t="shared" si="34"/>
        <v>4</v>
      </c>
      <c r="T275" s="215">
        <f t="shared" si="34"/>
        <v>496</v>
      </c>
      <c r="U275" s="215">
        <f t="shared" si="34"/>
        <v>0</v>
      </c>
      <c r="V275" s="215">
        <f t="shared" si="34"/>
        <v>9</v>
      </c>
      <c r="W275" s="215">
        <f t="shared" si="34"/>
        <v>0</v>
      </c>
      <c r="X275" s="215">
        <f t="shared" si="34"/>
        <v>261</v>
      </c>
      <c r="Y275" s="215">
        <f t="shared" si="34"/>
        <v>0</v>
      </c>
      <c r="AQ275" s="19"/>
    </row>
    <row r="276" spans="5:43" x14ac:dyDescent="0.25">
      <c r="E276" s="52"/>
      <c r="J276" s="211"/>
      <c r="K276" s="211"/>
      <c r="L276" s="211"/>
      <c r="M276" s="211"/>
      <c r="N276" s="211"/>
      <c r="O276" s="211"/>
      <c r="P276" s="211"/>
      <c r="Q276" s="211"/>
      <c r="R276" s="211"/>
      <c r="S276" s="211"/>
      <c r="T276" s="211"/>
      <c r="U276" s="211"/>
      <c r="V276" s="211"/>
      <c r="W276" s="211"/>
      <c r="X276" s="211"/>
      <c r="Y276" s="211"/>
      <c r="AQ276" s="19"/>
    </row>
    <row r="277" spans="5:43" x14ac:dyDescent="0.25">
      <c r="E277" s="52" t="s">
        <v>202</v>
      </c>
      <c r="I277" t="s">
        <v>359</v>
      </c>
      <c r="J277" s="211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1"/>
      <c r="V277" s="211"/>
      <c r="W277" s="211"/>
      <c r="X277" s="211"/>
      <c r="Y277" s="211"/>
      <c r="AA277" t="s">
        <v>693</v>
      </c>
      <c r="AQ277" s="19"/>
    </row>
    <row r="278" spans="5:43" x14ac:dyDescent="0.25">
      <c r="E278" s="52"/>
      <c r="J278" s="211"/>
      <c r="K278" s="211"/>
      <c r="L278" s="211"/>
      <c r="M278" s="211"/>
      <c r="N278" s="211"/>
      <c r="O278" s="211"/>
      <c r="P278" s="211"/>
      <c r="Q278" s="211"/>
      <c r="R278" s="211"/>
      <c r="S278" s="211"/>
      <c r="T278" s="211"/>
      <c r="U278" s="211"/>
      <c r="V278" s="211"/>
      <c r="W278" s="211"/>
      <c r="X278" s="211"/>
      <c r="Y278" s="211"/>
      <c r="AQ278" s="19"/>
    </row>
    <row r="279" spans="5:43" x14ac:dyDescent="0.25">
      <c r="F279" s="12" t="s">
        <v>145</v>
      </c>
      <c r="G279" s="12" t="s">
        <v>169</v>
      </c>
      <c r="J279" s="231">
        <f t="shared" ref="J279:Y279" si="35">J203</f>
        <v>0</v>
      </c>
      <c r="K279" s="231">
        <f t="shared" si="35"/>
        <v>0</v>
      </c>
      <c r="L279" s="231">
        <f t="shared" si="35"/>
        <v>0</v>
      </c>
      <c r="M279" s="231">
        <f t="shared" si="35"/>
        <v>0</v>
      </c>
      <c r="N279" s="231">
        <f t="shared" si="35"/>
        <v>1520656</v>
      </c>
      <c r="O279" s="231">
        <f t="shared" si="35"/>
        <v>108896</v>
      </c>
      <c r="P279" s="231">
        <f t="shared" si="35"/>
        <v>1319086</v>
      </c>
      <c r="Q279" s="231">
        <f t="shared" si="35"/>
        <v>0</v>
      </c>
      <c r="R279" s="231">
        <f t="shared" si="35"/>
        <v>0</v>
      </c>
      <c r="S279" s="231">
        <f t="shared" si="35"/>
        <v>0</v>
      </c>
      <c r="T279" s="231">
        <f t="shared" si="35"/>
        <v>0</v>
      </c>
      <c r="U279" s="231">
        <f t="shared" si="35"/>
        <v>0</v>
      </c>
      <c r="V279" s="231">
        <f t="shared" si="35"/>
        <v>0</v>
      </c>
      <c r="W279" s="231">
        <f t="shared" si="35"/>
        <v>0</v>
      </c>
      <c r="X279" s="231">
        <f t="shared" si="35"/>
        <v>0</v>
      </c>
      <c r="Y279" s="231">
        <f t="shared" si="35"/>
        <v>0</v>
      </c>
      <c r="AQ279" s="19"/>
    </row>
    <row r="280" spans="5:43" x14ac:dyDescent="0.25">
      <c r="F280" s="12" t="s">
        <v>146</v>
      </c>
      <c r="G280" s="12" t="s">
        <v>169</v>
      </c>
      <c r="J280" s="231">
        <f t="shared" ref="J280:Y280" si="36">J212</f>
        <v>0</v>
      </c>
      <c r="K280" s="231">
        <f t="shared" si="36"/>
        <v>0</v>
      </c>
      <c r="L280" s="231">
        <f t="shared" si="36"/>
        <v>0</v>
      </c>
      <c r="M280" s="231">
        <f t="shared" si="36"/>
        <v>0</v>
      </c>
      <c r="N280" s="231">
        <f t="shared" si="36"/>
        <v>16740</v>
      </c>
      <c r="O280" s="231">
        <f t="shared" si="36"/>
        <v>0</v>
      </c>
      <c r="P280" s="231">
        <f t="shared" si="36"/>
        <v>0</v>
      </c>
      <c r="Q280" s="231">
        <f t="shared" si="36"/>
        <v>0</v>
      </c>
      <c r="R280" s="231">
        <f t="shared" si="36"/>
        <v>0</v>
      </c>
      <c r="S280" s="231">
        <f t="shared" si="36"/>
        <v>0</v>
      </c>
      <c r="T280" s="231">
        <f t="shared" si="36"/>
        <v>0</v>
      </c>
      <c r="U280" s="231">
        <f t="shared" si="36"/>
        <v>0</v>
      </c>
      <c r="V280" s="231">
        <f t="shared" si="36"/>
        <v>0</v>
      </c>
      <c r="W280" s="231">
        <f t="shared" si="36"/>
        <v>0</v>
      </c>
      <c r="X280" s="231">
        <f t="shared" si="36"/>
        <v>0</v>
      </c>
      <c r="Y280" s="231">
        <f t="shared" si="36"/>
        <v>0</v>
      </c>
      <c r="AQ280" s="19"/>
    </row>
    <row r="281" spans="5:43" x14ac:dyDescent="0.25">
      <c r="F281" s="12" t="s">
        <v>147</v>
      </c>
      <c r="G281" s="12" t="s">
        <v>169</v>
      </c>
      <c r="J281" s="231">
        <f t="shared" ref="J281:Y281" si="37">J221</f>
        <v>0</v>
      </c>
      <c r="K281" s="231">
        <f t="shared" si="37"/>
        <v>0</v>
      </c>
      <c r="L281" s="231">
        <f t="shared" si="37"/>
        <v>0</v>
      </c>
      <c r="M281" s="231">
        <f t="shared" si="37"/>
        <v>0</v>
      </c>
      <c r="N281" s="231">
        <f t="shared" si="37"/>
        <v>107676</v>
      </c>
      <c r="O281" s="231">
        <f t="shared" si="37"/>
        <v>21296</v>
      </c>
      <c r="P281" s="231">
        <f t="shared" si="37"/>
        <v>36838</v>
      </c>
      <c r="Q281" s="231">
        <f t="shared" si="37"/>
        <v>0</v>
      </c>
      <c r="R281" s="231">
        <f t="shared" si="37"/>
        <v>0</v>
      </c>
      <c r="S281" s="231">
        <f t="shared" si="37"/>
        <v>0</v>
      </c>
      <c r="T281" s="231">
        <f t="shared" si="37"/>
        <v>0</v>
      </c>
      <c r="U281" s="231">
        <f t="shared" si="37"/>
        <v>0</v>
      </c>
      <c r="V281" s="231">
        <f t="shared" si="37"/>
        <v>0</v>
      </c>
      <c r="W281" s="231">
        <f t="shared" si="37"/>
        <v>0</v>
      </c>
      <c r="X281" s="231">
        <f t="shared" si="37"/>
        <v>0</v>
      </c>
      <c r="Y281" s="231">
        <f t="shared" si="37"/>
        <v>0</v>
      </c>
      <c r="AQ281" s="19"/>
    </row>
    <row r="282" spans="5:43" x14ac:dyDescent="0.25">
      <c r="F282" s="12" t="s">
        <v>178</v>
      </c>
      <c r="G282" s="12" t="s">
        <v>94</v>
      </c>
      <c r="J282" s="420">
        <f t="shared" ref="J282:Y282" si="38">IF(J$41, J$47, J$34)</f>
        <v>0.40624392198207837</v>
      </c>
      <c r="K282" s="420">
        <f t="shared" si="38"/>
        <v>0.40624392198207837</v>
      </c>
      <c r="L282" s="420">
        <f t="shared" si="38"/>
        <v>0.40624392198207837</v>
      </c>
      <c r="M282" s="420">
        <f t="shared" si="38"/>
        <v>0.40624392198207837</v>
      </c>
      <c r="N282" s="420">
        <f t="shared" si="38"/>
        <v>0.40624392198207837</v>
      </c>
      <c r="O282" s="420">
        <f t="shared" si="38"/>
        <v>0</v>
      </c>
      <c r="P282" s="420">
        <f t="shared" si="38"/>
        <v>0</v>
      </c>
      <c r="Q282" s="420">
        <f t="shared" si="38"/>
        <v>0.40624392198207837</v>
      </c>
      <c r="R282" s="420">
        <f t="shared" si="38"/>
        <v>0</v>
      </c>
      <c r="S282" s="420">
        <f t="shared" si="38"/>
        <v>0</v>
      </c>
      <c r="T282" s="420">
        <f t="shared" si="38"/>
        <v>0</v>
      </c>
      <c r="U282" s="420">
        <f t="shared" si="38"/>
        <v>0</v>
      </c>
      <c r="V282" s="420">
        <f t="shared" si="38"/>
        <v>0</v>
      </c>
      <c r="W282" s="420">
        <f t="shared" si="38"/>
        <v>0</v>
      </c>
      <c r="X282" s="420">
        <f t="shared" si="38"/>
        <v>0</v>
      </c>
      <c r="Y282" s="420">
        <f t="shared" si="38"/>
        <v>0</v>
      </c>
      <c r="AQ282" s="19"/>
    </row>
    <row r="283" spans="5:43" x14ac:dyDescent="0.25">
      <c r="F283" s="12" t="s">
        <v>179</v>
      </c>
      <c r="G283" s="12" t="s">
        <v>94</v>
      </c>
      <c r="J283" s="420">
        <f t="shared" ref="J283:Y283" si="39">IF(J$41, J$47, J$35)</f>
        <v>0.60699642425647604</v>
      </c>
      <c r="K283" s="420">
        <f t="shared" si="39"/>
        <v>0.60699642425647604</v>
      </c>
      <c r="L283" s="420">
        <f t="shared" si="39"/>
        <v>0.60699642425647604</v>
      </c>
      <c r="M283" s="420">
        <f t="shared" si="39"/>
        <v>0.60699642425647604</v>
      </c>
      <c r="N283" s="420">
        <f t="shared" si="39"/>
        <v>0.60699642425647604</v>
      </c>
      <c r="O283" s="420">
        <f t="shared" si="39"/>
        <v>0.33703941159411843</v>
      </c>
      <c r="P283" s="420">
        <f t="shared" si="39"/>
        <v>0.23936190643348279</v>
      </c>
      <c r="Q283" s="420">
        <f t="shared" si="39"/>
        <v>0.60699642425647604</v>
      </c>
      <c r="R283" s="420">
        <f t="shared" si="39"/>
        <v>0</v>
      </c>
      <c r="S283" s="420">
        <f t="shared" si="39"/>
        <v>0</v>
      </c>
      <c r="T283" s="420">
        <f t="shared" si="39"/>
        <v>0</v>
      </c>
      <c r="U283" s="420">
        <f t="shared" si="39"/>
        <v>0</v>
      </c>
      <c r="V283" s="420">
        <f t="shared" si="39"/>
        <v>0</v>
      </c>
      <c r="W283" s="420">
        <f t="shared" si="39"/>
        <v>0</v>
      </c>
      <c r="X283" s="420">
        <f t="shared" si="39"/>
        <v>0</v>
      </c>
      <c r="Y283" s="420">
        <f t="shared" si="39"/>
        <v>0</v>
      </c>
      <c r="AQ283" s="19"/>
    </row>
    <row r="284" spans="5:43" x14ac:dyDescent="0.25">
      <c r="F284" s="12" t="s">
        <v>166</v>
      </c>
      <c r="G284" s="12" t="s">
        <v>169</v>
      </c>
      <c r="J284" s="231">
        <f t="shared" ref="J284:Y285" si="40">J280 * (1 - J282)</f>
        <v>0</v>
      </c>
      <c r="K284" s="231">
        <f t="shared" si="40"/>
        <v>0</v>
      </c>
      <c r="L284" s="231">
        <f t="shared" si="40"/>
        <v>0</v>
      </c>
      <c r="M284" s="231">
        <f t="shared" si="40"/>
        <v>0</v>
      </c>
      <c r="N284" s="231">
        <f t="shared" si="40"/>
        <v>9939.4767460200073</v>
      </c>
      <c r="O284" s="231">
        <f t="shared" si="40"/>
        <v>0</v>
      </c>
      <c r="P284" s="231">
        <f t="shared" si="40"/>
        <v>0</v>
      </c>
      <c r="Q284" s="231">
        <f t="shared" si="40"/>
        <v>0</v>
      </c>
      <c r="R284" s="231">
        <f t="shared" si="40"/>
        <v>0</v>
      </c>
      <c r="S284" s="231">
        <f t="shared" si="40"/>
        <v>0</v>
      </c>
      <c r="T284" s="231">
        <f t="shared" si="40"/>
        <v>0</v>
      </c>
      <c r="U284" s="231">
        <f t="shared" si="40"/>
        <v>0</v>
      </c>
      <c r="V284" s="231">
        <f t="shared" si="40"/>
        <v>0</v>
      </c>
      <c r="W284" s="231">
        <f t="shared" si="40"/>
        <v>0</v>
      </c>
      <c r="X284" s="231">
        <f t="shared" si="40"/>
        <v>0</v>
      </c>
      <c r="Y284" s="231">
        <f t="shared" si="40"/>
        <v>0</v>
      </c>
      <c r="AQ284" s="19"/>
    </row>
    <row r="285" spans="5:43" x14ac:dyDescent="0.25">
      <c r="F285" s="13" t="s">
        <v>177</v>
      </c>
      <c r="G285" s="13" t="s">
        <v>169</v>
      </c>
      <c r="H285" s="17"/>
      <c r="I285" s="17"/>
      <c r="J285" s="225">
        <f t="shared" si="40"/>
        <v>0</v>
      </c>
      <c r="K285" s="225">
        <f t="shared" si="40"/>
        <v>0</v>
      </c>
      <c r="L285" s="225">
        <f t="shared" si="40"/>
        <v>0</v>
      </c>
      <c r="M285" s="225">
        <f t="shared" si="40"/>
        <v>0</v>
      </c>
      <c r="N285" s="225">
        <f t="shared" si="40"/>
        <v>42317.053021759682</v>
      </c>
      <c r="O285" s="225">
        <f t="shared" si="40"/>
        <v>14118.408690691655</v>
      </c>
      <c r="P285" s="225">
        <f t="shared" si="40"/>
        <v>28020.38609080336</v>
      </c>
      <c r="Q285" s="225">
        <f t="shared" si="40"/>
        <v>0</v>
      </c>
      <c r="R285" s="225">
        <f t="shared" si="40"/>
        <v>0</v>
      </c>
      <c r="S285" s="225">
        <f t="shared" si="40"/>
        <v>0</v>
      </c>
      <c r="T285" s="225">
        <f t="shared" si="40"/>
        <v>0</v>
      </c>
      <c r="U285" s="225">
        <f t="shared" si="40"/>
        <v>0</v>
      </c>
      <c r="V285" s="225">
        <f t="shared" si="40"/>
        <v>0</v>
      </c>
      <c r="W285" s="225">
        <f t="shared" si="40"/>
        <v>0</v>
      </c>
      <c r="X285" s="225">
        <f t="shared" si="40"/>
        <v>0</v>
      </c>
      <c r="Y285" s="225">
        <f t="shared" si="40"/>
        <v>0</v>
      </c>
      <c r="AQ285" s="19"/>
    </row>
    <row r="286" spans="5:43" x14ac:dyDescent="0.25">
      <c r="F286" s="12" t="s">
        <v>167</v>
      </c>
      <c r="G286" s="12" t="s">
        <v>169</v>
      </c>
      <c r="J286" s="215">
        <f t="shared" ref="J286:Y286" si="41">J279 + J284 + J285</f>
        <v>0</v>
      </c>
      <c r="K286" s="215">
        <f t="shared" si="41"/>
        <v>0</v>
      </c>
      <c r="L286" s="215">
        <f t="shared" si="41"/>
        <v>0</v>
      </c>
      <c r="M286" s="215">
        <f t="shared" si="41"/>
        <v>0</v>
      </c>
      <c r="N286" s="215">
        <f t="shared" si="41"/>
        <v>1572912.5297677796</v>
      </c>
      <c r="O286" s="215">
        <f t="shared" si="41"/>
        <v>123014.40869069165</v>
      </c>
      <c r="P286" s="215">
        <f t="shared" si="41"/>
        <v>1347106.3860908034</v>
      </c>
      <c r="Q286" s="215">
        <f t="shared" si="41"/>
        <v>0</v>
      </c>
      <c r="R286" s="215">
        <f t="shared" si="41"/>
        <v>0</v>
      </c>
      <c r="S286" s="215">
        <f t="shared" si="41"/>
        <v>0</v>
      </c>
      <c r="T286" s="215">
        <f t="shared" si="41"/>
        <v>0</v>
      </c>
      <c r="U286" s="215">
        <f t="shared" si="41"/>
        <v>0</v>
      </c>
      <c r="V286" s="215">
        <f t="shared" si="41"/>
        <v>0</v>
      </c>
      <c r="W286" s="215">
        <f t="shared" si="41"/>
        <v>0</v>
      </c>
      <c r="X286" s="215">
        <f t="shared" si="41"/>
        <v>0</v>
      </c>
      <c r="Y286" s="215">
        <f t="shared" si="41"/>
        <v>0</v>
      </c>
      <c r="AQ286" s="19"/>
    </row>
    <row r="287" spans="5:43" x14ac:dyDescent="0.25">
      <c r="E287" s="52"/>
      <c r="J287" s="211"/>
      <c r="K287" s="211"/>
      <c r="L287" s="211"/>
      <c r="M287" s="211"/>
      <c r="N287" s="211"/>
      <c r="O287" s="211"/>
      <c r="P287" s="211"/>
      <c r="Q287" s="211"/>
      <c r="R287" s="211"/>
      <c r="S287" s="211"/>
      <c r="T287" s="211"/>
      <c r="U287" s="211"/>
      <c r="V287" s="211"/>
      <c r="W287" s="211"/>
      <c r="X287" s="211"/>
      <c r="Y287" s="211"/>
      <c r="AQ287" s="19"/>
    </row>
    <row r="288" spans="5:43" x14ac:dyDescent="0.25">
      <c r="E288" s="52" t="s">
        <v>203</v>
      </c>
      <c r="I288" t="s">
        <v>359</v>
      </c>
      <c r="J288" s="211"/>
      <c r="K288" s="211"/>
      <c r="L288" s="211"/>
      <c r="M288" s="211"/>
      <c r="N288" s="211"/>
      <c r="O288" s="211"/>
      <c r="P288" s="211"/>
      <c r="Q288" s="211"/>
      <c r="R288" s="211"/>
      <c r="S288" s="211"/>
      <c r="T288" s="211"/>
      <c r="U288" s="211"/>
      <c r="V288" s="211"/>
      <c r="W288" s="211"/>
      <c r="X288" s="211"/>
      <c r="Y288" s="211"/>
      <c r="AA288" t="s">
        <v>693</v>
      </c>
      <c r="AQ288" s="19"/>
    </row>
    <row r="289" spans="5:43" x14ac:dyDescent="0.25">
      <c r="E289" s="52"/>
      <c r="J289" s="211"/>
      <c r="K289" s="211"/>
      <c r="L289" s="211"/>
      <c r="M289" s="211"/>
      <c r="N289" s="211"/>
      <c r="O289" s="211"/>
      <c r="P289" s="211"/>
      <c r="Q289" s="211"/>
      <c r="R289" s="211"/>
      <c r="S289" s="211"/>
      <c r="T289" s="211"/>
      <c r="U289" s="211"/>
      <c r="V289" s="211"/>
      <c r="W289" s="211"/>
      <c r="X289" s="211"/>
      <c r="Y289" s="211"/>
      <c r="AQ289" s="19"/>
    </row>
    <row r="290" spans="5:43" x14ac:dyDescent="0.25">
      <c r="F290" s="12" t="s">
        <v>145</v>
      </c>
      <c r="G290" s="12" t="s">
        <v>169</v>
      </c>
      <c r="J290" s="231">
        <f t="shared" ref="J290:Y290" si="42">J204</f>
        <v>0</v>
      </c>
      <c r="K290" s="231">
        <f t="shared" si="42"/>
        <v>0</v>
      </c>
      <c r="L290" s="231">
        <f t="shared" si="42"/>
        <v>0</v>
      </c>
      <c r="M290" s="231">
        <f t="shared" si="42"/>
        <v>0</v>
      </c>
      <c r="N290" s="231">
        <f t="shared" si="42"/>
        <v>22182</v>
      </c>
      <c r="O290" s="231">
        <f t="shared" si="42"/>
        <v>959</v>
      </c>
      <c r="P290" s="231">
        <f t="shared" si="42"/>
        <v>14265</v>
      </c>
      <c r="Q290" s="231">
        <f t="shared" si="42"/>
        <v>0</v>
      </c>
      <c r="R290" s="231">
        <f t="shared" si="42"/>
        <v>0</v>
      </c>
      <c r="S290" s="231">
        <f t="shared" si="42"/>
        <v>0</v>
      </c>
      <c r="T290" s="231">
        <f t="shared" si="42"/>
        <v>0</v>
      </c>
      <c r="U290" s="231">
        <f t="shared" si="42"/>
        <v>0</v>
      </c>
      <c r="V290" s="231">
        <f t="shared" si="42"/>
        <v>0</v>
      </c>
      <c r="W290" s="231">
        <f t="shared" si="42"/>
        <v>0</v>
      </c>
      <c r="X290" s="231">
        <f t="shared" si="42"/>
        <v>0</v>
      </c>
      <c r="Y290" s="231">
        <f t="shared" si="42"/>
        <v>0</v>
      </c>
      <c r="AQ290" s="19"/>
    </row>
    <row r="291" spans="5:43" x14ac:dyDescent="0.25">
      <c r="F291" s="12" t="s">
        <v>146</v>
      </c>
      <c r="G291" s="12" t="s">
        <v>169</v>
      </c>
      <c r="J291" s="231">
        <f t="shared" ref="J291:Y291" si="43">J213</f>
        <v>0</v>
      </c>
      <c r="K291" s="231">
        <f t="shared" si="43"/>
        <v>0</v>
      </c>
      <c r="L291" s="231">
        <f t="shared" si="43"/>
        <v>0</v>
      </c>
      <c r="M291" s="231">
        <f t="shared" si="43"/>
        <v>0</v>
      </c>
      <c r="N291" s="231">
        <f t="shared" si="43"/>
        <v>55</v>
      </c>
      <c r="O291" s="231">
        <f t="shared" si="43"/>
        <v>0</v>
      </c>
      <c r="P291" s="231">
        <f t="shared" si="43"/>
        <v>0</v>
      </c>
      <c r="Q291" s="231">
        <f t="shared" si="43"/>
        <v>0</v>
      </c>
      <c r="R291" s="231">
        <f t="shared" si="43"/>
        <v>0</v>
      </c>
      <c r="S291" s="231">
        <f t="shared" si="43"/>
        <v>0</v>
      </c>
      <c r="T291" s="231">
        <f t="shared" si="43"/>
        <v>0</v>
      </c>
      <c r="U291" s="231">
        <f t="shared" si="43"/>
        <v>0</v>
      </c>
      <c r="V291" s="231">
        <f t="shared" si="43"/>
        <v>0</v>
      </c>
      <c r="W291" s="231">
        <f t="shared" si="43"/>
        <v>0</v>
      </c>
      <c r="X291" s="231">
        <f t="shared" si="43"/>
        <v>0</v>
      </c>
      <c r="Y291" s="231">
        <f t="shared" si="43"/>
        <v>0</v>
      </c>
      <c r="AQ291" s="19"/>
    </row>
    <row r="292" spans="5:43" x14ac:dyDescent="0.25">
      <c r="F292" s="12" t="s">
        <v>147</v>
      </c>
      <c r="G292" s="12" t="s">
        <v>169</v>
      </c>
      <c r="J292" s="231">
        <f t="shared" ref="J292:Y292" si="44">J222</f>
        <v>0</v>
      </c>
      <c r="K292" s="231">
        <f t="shared" si="44"/>
        <v>0</v>
      </c>
      <c r="L292" s="231">
        <f t="shared" si="44"/>
        <v>0</v>
      </c>
      <c r="M292" s="231">
        <f t="shared" si="44"/>
        <v>0</v>
      </c>
      <c r="N292" s="231">
        <f t="shared" si="44"/>
        <v>261</v>
      </c>
      <c r="O292" s="231">
        <f t="shared" si="44"/>
        <v>6</v>
      </c>
      <c r="P292" s="231">
        <f t="shared" si="44"/>
        <v>165</v>
      </c>
      <c r="Q292" s="231">
        <f t="shared" si="44"/>
        <v>0</v>
      </c>
      <c r="R292" s="231">
        <f t="shared" si="44"/>
        <v>0</v>
      </c>
      <c r="S292" s="231">
        <f t="shared" si="44"/>
        <v>0</v>
      </c>
      <c r="T292" s="231">
        <f t="shared" si="44"/>
        <v>0</v>
      </c>
      <c r="U292" s="231">
        <f t="shared" si="44"/>
        <v>0</v>
      </c>
      <c r="V292" s="231">
        <f t="shared" si="44"/>
        <v>0</v>
      </c>
      <c r="W292" s="231">
        <f t="shared" si="44"/>
        <v>0</v>
      </c>
      <c r="X292" s="231">
        <f t="shared" si="44"/>
        <v>0</v>
      </c>
      <c r="Y292" s="231">
        <f t="shared" si="44"/>
        <v>0</v>
      </c>
      <c r="AQ292" s="19"/>
    </row>
    <row r="293" spans="5:43" x14ac:dyDescent="0.25">
      <c r="F293" s="12" t="s">
        <v>178</v>
      </c>
      <c r="G293" s="12" t="s">
        <v>94</v>
      </c>
      <c r="J293" s="420">
        <f t="shared" ref="J293:Y293" si="45">IF(J$42, J$48, J$34)</f>
        <v>0.40624392198207837</v>
      </c>
      <c r="K293" s="420">
        <f t="shared" si="45"/>
        <v>0.40624392198207837</v>
      </c>
      <c r="L293" s="420">
        <f t="shared" si="45"/>
        <v>0.40624392198207837</v>
      </c>
      <c r="M293" s="420">
        <f t="shared" si="45"/>
        <v>0.40624392198207837</v>
      </c>
      <c r="N293" s="420">
        <f t="shared" si="45"/>
        <v>0.40624392198207837</v>
      </c>
      <c r="O293" s="420">
        <f t="shared" si="45"/>
        <v>0</v>
      </c>
      <c r="P293" s="420">
        <f t="shared" si="45"/>
        <v>0</v>
      </c>
      <c r="Q293" s="420">
        <f t="shared" si="45"/>
        <v>0.40624392198207837</v>
      </c>
      <c r="R293" s="420">
        <f t="shared" si="45"/>
        <v>0</v>
      </c>
      <c r="S293" s="420">
        <f t="shared" si="45"/>
        <v>0</v>
      </c>
      <c r="T293" s="420">
        <f t="shared" si="45"/>
        <v>0</v>
      </c>
      <c r="U293" s="420">
        <f t="shared" si="45"/>
        <v>0</v>
      </c>
      <c r="V293" s="420">
        <f t="shared" si="45"/>
        <v>0</v>
      </c>
      <c r="W293" s="420">
        <f t="shared" si="45"/>
        <v>0</v>
      </c>
      <c r="X293" s="420">
        <f t="shared" si="45"/>
        <v>0</v>
      </c>
      <c r="Y293" s="420">
        <f t="shared" si="45"/>
        <v>0</v>
      </c>
      <c r="AQ293" s="19"/>
    </row>
    <row r="294" spans="5:43" x14ac:dyDescent="0.25">
      <c r="F294" s="12" t="s">
        <v>179</v>
      </c>
      <c r="G294" s="12" t="s">
        <v>94</v>
      </c>
      <c r="J294" s="420">
        <f t="shared" ref="J294:Y294" si="46">IF(J$42, J$48, J$35)</f>
        <v>0.60699642425647604</v>
      </c>
      <c r="K294" s="420">
        <f t="shared" si="46"/>
        <v>0.60699642425647604</v>
      </c>
      <c r="L294" s="420">
        <f t="shared" si="46"/>
        <v>0.60699642425647604</v>
      </c>
      <c r="M294" s="420">
        <f t="shared" si="46"/>
        <v>0.60699642425647604</v>
      </c>
      <c r="N294" s="420">
        <f t="shared" si="46"/>
        <v>0.60699642425647604</v>
      </c>
      <c r="O294" s="420">
        <f t="shared" si="46"/>
        <v>0.33703941159411843</v>
      </c>
      <c r="P294" s="420">
        <f t="shared" si="46"/>
        <v>0.23936190643348279</v>
      </c>
      <c r="Q294" s="420">
        <f t="shared" si="46"/>
        <v>0.60699642425647604</v>
      </c>
      <c r="R294" s="420">
        <f t="shared" si="46"/>
        <v>0</v>
      </c>
      <c r="S294" s="420">
        <f t="shared" si="46"/>
        <v>0</v>
      </c>
      <c r="T294" s="420">
        <f t="shared" si="46"/>
        <v>0</v>
      </c>
      <c r="U294" s="420">
        <f t="shared" si="46"/>
        <v>0</v>
      </c>
      <c r="V294" s="420">
        <f t="shared" si="46"/>
        <v>0</v>
      </c>
      <c r="W294" s="420">
        <f t="shared" si="46"/>
        <v>0</v>
      </c>
      <c r="X294" s="420">
        <f t="shared" si="46"/>
        <v>0</v>
      </c>
      <c r="Y294" s="420">
        <f t="shared" si="46"/>
        <v>0</v>
      </c>
      <c r="AQ294" s="19"/>
    </row>
    <row r="295" spans="5:43" x14ac:dyDescent="0.25">
      <c r="F295" s="12" t="s">
        <v>166</v>
      </c>
      <c r="G295" s="12" t="s">
        <v>169</v>
      </c>
      <c r="J295" s="231">
        <f t="shared" ref="J295:Y296" si="47">J291 * (1 - J293)</f>
        <v>0</v>
      </c>
      <c r="K295" s="231">
        <f t="shared" si="47"/>
        <v>0</v>
      </c>
      <c r="L295" s="231">
        <f t="shared" si="47"/>
        <v>0</v>
      </c>
      <c r="M295" s="231">
        <f t="shared" si="47"/>
        <v>0</v>
      </c>
      <c r="N295" s="231">
        <f t="shared" si="47"/>
        <v>32.656584290985691</v>
      </c>
      <c r="O295" s="231">
        <f t="shared" si="47"/>
        <v>0</v>
      </c>
      <c r="P295" s="231">
        <f t="shared" si="47"/>
        <v>0</v>
      </c>
      <c r="Q295" s="231">
        <f t="shared" si="47"/>
        <v>0</v>
      </c>
      <c r="R295" s="231">
        <f t="shared" si="47"/>
        <v>0</v>
      </c>
      <c r="S295" s="231">
        <f t="shared" si="47"/>
        <v>0</v>
      </c>
      <c r="T295" s="231">
        <f t="shared" si="47"/>
        <v>0</v>
      </c>
      <c r="U295" s="231">
        <f t="shared" si="47"/>
        <v>0</v>
      </c>
      <c r="V295" s="231">
        <f t="shared" si="47"/>
        <v>0</v>
      </c>
      <c r="W295" s="231">
        <f t="shared" si="47"/>
        <v>0</v>
      </c>
      <c r="X295" s="231">
        <f t="shared" si="47"/>
        <v>0</v>
      </c>
      <c r="Y295" s="231">
        <f t="shared" si="47"/>
        <v>0</v>
      </c>
      <c r="AQ295" s="19"/>
    </row>
    <row r="296" spans="5:43" x14ac:dyDescent="0.25">
      <c r="F296" s="13" t="s">
        <v>177</v>
      </c>
      <c r="G296" s="13" t="s">
        <v>169</v>
      </c>
      <c r="H296" s="17"/>
      <c r="I296" s="17"/>
      <c r="J296" s="225">
        <f t="shared" si="47"/>
        <v>0</v>
      </c>
      <c r="K296" s="225">
        <f t="shared" si="47"/>
        <v>0</v>
      </c>
      <c r="L296" s="225">
        <f t="shared" si="47"/>
        <v>0</v>
      </c>
      <c r="M296" s="225">
        <f t="shared" si="47"/>
        <v>0</v>
      </c>
      <c r="N296" s="225">
        <f t="shared" si="47"/>
        <v>102.57393326905975</v>
      </c>
      <c r="O296" s="225">
        <f t="shared" si="47"/>
        <v>3.9777635304352894</v>
      </c>
      <c r="P296" s="225">
        <f t="shared" si="47"/>
        <v>125.50528543847534</v>
      </c>
      <c r="Q296" s="225">
        <f t="shared" si="47"/>
        <v>0</v>
      </c>
      <c r="R296" s="225">
        <f t="shared" si="47"/>
        <v>0</v>
      </c>
      <c r="S296" s="225">
        <f t="shared" si="47"/>
        <v>0</v>
      </c>
      <c r="T296" s="225">
        <f t="shared" si="47"/>
        <v>0</v>
      </c>
      <c r="U296" s="225">
        <f t="shared" si="47"/>
        <v>0</v>
      </c>
      <c r="V296" s="225">
        <f t="shared" si="47"/>
        <v>0</v>
      </c>
      <c r="W296" s="225">
        <f t="shared" si="47"/>
        <v>0</v>
      </c>
      <c r="X296" s="225">
        <f t="shared" si="47"/>
        <v>0</v>
      </c>
      <c r="Y296" s="225">
        <f t="shared" si="47"/>
        <v>0</v>
      </c>
      <c r="AQ296" s="19"/>
    </row>
    <row r="297" spans="5:43" x14ac:dyDescent="0.25">
      <c r="F297" s="12" t="s">
        <v>167</v>
      </c>
      <c r="G297" s="12" t="s">
        <v>169</v>
      </c>
      <c r="J297" s="215">
        <f t="shared" ref="J297:Y297" si="48">J290 + J295 + J296</f>
        <v>0</v>
      </c>
      <c r="K297" s="215">
        <f t="shared" si="48"/>
        <v>0</v>
      </c>
      <c r="L297" s="215">
        <f t="shared" si="48"/>
        <v>0</v>
      </c>
      <c r="M297" s="215">
        <f t="shared" si="48"/>
        <v>0</v>
      </c>
      <c r="N297" s="215">
        <f t="shared" si="48"/>
        <v>22317.230517560045</v>
      </c>
      <c r="O297" s="215">
        <f t="shared" si="48"/>
        <v>962.97776353043525</v>
      </c>
      <c r="P297" s="215">
        <f t="shared" si="48"/>
        <v>14390.505285438476</v>
      </c>
      <c r="Q297" s="215">
        <f t="shared" si="48"/>
        <v>0</v>
      </c>
      <c r="R297" s="215">
        <f t="shared" si="48"/>
        <v>0</v>
      </c>
      <c r="S297" s="215">
        <f t="shared" si="48"/>
        <v>0</v>
      </c>
      <c r="T297" s="215">
        <f t="shared" si="48"/>
        <v>0</v>
      </c>
      <c r="U297" s="215">
        <f t="shared" si="48"/>
        <v>0</v>
      </c>
      <c r="V297" s="215">
        <f t="shared" si="48"/>
        <v>0</v>
      </c>
      <c r="W297" s="215">
        <f t="shared" si="48"/>
        <v>0</v>
      </c>
      <c r="X297" s="215">
        <f t="shared" si="48"/>
        <v>0</v>
      </c>
      <c r="Y297" s="215">
        <f t="shared" si="48"/>
        <v>0</v>
      </c>
      <c r="AQ297" s="19"/>
    </row>
    <row r="298" spans="5:43" x14ac:dyDescent="0.25">
      <c r="E298" s="52"/>
      <c r="J298" s="211"/>
      <c r="K298" s="211"/>
      <c r="L298" s="211"/>
      <c r="M298" s="211"/>
      <c r="N298" s="211"/>
      <c r="O298" s="211"/>
      <c r="P298" s="211"/>
      <c r="Q298" s="211"/>
      <c r="R298" s="211"/>
      <c r="S298" s="211"/>
      <c r="T298" s="211"/>
      <c r="U298" s="211"/>
      <c r="V298" s="211"/>
      <c r="W298" s="211"/>
      <c r="X298" s="211"/>
      <c r="Y298" s="211"/>
      <c r="AQ298" s="19"/>
    </row>
    <row r="299" spans="5:43" x14ac:dyDescent="0.25">
      <c r="E299" s="52" t="s">
        <v>204</v>
      </c>
      <c r="I299" t="s">
        <v>359</v>
      </c>
      <c r="J299" s="211"/>
      <c r="K299" s="211"/>
      <c r="L299" s="211"/>
      <c r="M299" s="211"/>
      <c r="N299" s="211"/>
      <c r="O299" s="211"/>
      <c r="P299" s="211"/>
      <c r="Q299" s="211"/>
      <c r="R299" s="211"/>
      <c r="S299" s="211"/>
      <c r="T299" s="211"/>
      <c r="U299" s="211"/>
      <c r="V299" s="211"/>
      <c r="W299" s="211"/>
      <c r="X299" s="211"/>
      <c r="Y299" s="211"/>
      <c r="AA299" t="s">
        <v>693</v>
      </c>
      <c r="AQ299" s="19"/>
    </row>
    <row r="300" spans="5:43" x14ac:dyDescent="0.25">
      <c r="E300" s="52"/>
      <c r="J300" s="211"/>
      <c r="K300" s="211"/>
      <c r="L300" s="211"/>
      <c r="M300" s="211"/>
      <c r="N300" s="211"/>
      <c r="O300" s="211"/>
      <c r="P300" s="211"/>
      <c r="Q300" s="211"/>
      <c r="R300" s="211"/>
      <c r="S300" s="211"/>
      <c r="T300" s="211"/>
      <c r="U300" s="211"/>
      <c r="V300" s="211"/>
      <c r="W300" s="211"/>
      <c r="X300" s="211"/>
      <c r="Y300" s="211"/>
      <c r="AQ300" s="19"/>
    </row>
    <row r="301" spans="5:43" x14ac:dyDescent="0.25">
      <c r="F301" s="12" t="s">
        <v>145</v>
      </c>
      <c r="G301" s="12" t="s">
        <v>170</v>
      </c>
      <c r="J301" s="231">
        <f t="shared" ref="J301:Y301" si="49">J205</f>
        <v>0</v>
      </c>
      <c r="K301" s="231">
        <f t="shared" si="49"/>
        <v>0</v>
      </c>
      <c r="L301" s="231">
        <f t="shared" si="49"/>
        <v>0</v>
      </c>
      <c r="M301" s="231">
        <f t="shared" si="49"/>
        <v>0</v>
      </c>
      <c r="N301" s="231">
        <f t="shared" si="49"/>
        <v>226435.30199999997</v>
      </c>
      <c r="O301" s="231">
        <f t="shared" si="49"/>
        <v>20073.314999999999</v>
      </c>
      <c r="P301" s="231">
        <f t="shared" si="49"/>
        <v>237848.264</v>
      </c>
      <c r="Q301" s="231">
        <f t="shared" si="49"/>
        <v>0</v>
      </c>
      <c r="R301" s="231">
        <f t="shared" si="49"/>
        <v>0</v>
      </c>
      <c r="S301" s="231">
        <f t="shared" si="49"/>
        <v>0</v>
      </c>
      <c r="T301" s="231">
        <f t="shared" si="49"/>
        <v>5379.1220000000003</v>
      </c>
      <c r="U301" s="231">
        <f t="shared" si="49"/>
        <v>0</v>
      </c>
      <c r="V301" s="231">
        <f t="shared" si="49"/>
        <v>157.29499999999999</v>
      </c>
      <c r="W301" s="231">
        <f t="shared" si="49"/>
        <v>0</v>
      </c>
      <c r="X301" s="231">
        <f t="shared" si="49"/>
        <v>20692.973000000002</v>
      </c>
      <c r="Y301" s="231">
        <f t="shared" si="49"/>
        <v>0</v>
      </c>
      <c r="AQ301" s="19"/>
    </row>
    <row r="302" spans="5:43" x14ac:dyDescent="0.25">
      <c r="F302" s="12" t="s">
        <v>146</v>
      </c>
      <c r="G302" s="12" t="s">
        <v>170</v>
      </c>
      <c r="J302" s="231">
        <f t="shared" ref="J302:Y302" si="50">J214</f>
        <v>0</v>
      </c>
      <c r="K302" s="231">
        <f t="shared" si="50"/>
        <v>0</v>
      </c>
      <c r="L302" s="231">
        <f t="shared" si="50"/>
        <v>0</v>
      </c>
      <c r="M302" s="231">
        <f t="shared" si="50"/>
        <v>0</v>
      </c>
      <c r="N302" s="231">
        <f t="shared" si="50"/>
        <v>1117.2469999999998</v>
      </c>
      <c r="O302" s="231">
        <f t="shared" si="50"/>
        <v>0</v>
      </c>
      <c r="P302" s="231">
        <f t="shared" si="50"/>
        <v>0</v>
      </c>
      <c r="Q302" s="231">
        <f t="shared" si="50"/>
        <v>0</v>
      </c>
      <c r="R302" s="231">
        <f t="shared" si="50"/>
        <v>0</v>
      </c>
      <c r="S302" s="231">
        <f t="shared" si="50"/>
        <v>0</v>
      </c>
      <c r="T302" s="231">
        <f t="shared" si="50"/>
        <v>0</v>
      </c>
      <c r="U302" s="231">
        <f t="shared" si="50"/>
        <v>0</v>
      </c>
      <c r="V302" s="231">
        <f t="shared" si="50"/>
        <v>0</v>
      </c>
      <c r="W302" s="231">
        <f t="shared" si="50"/>
        <v>0</v>
      </c>
      <c r="X302" s="231">
        <f t="shared" si="50"/>
        <v>0</v>
      </c>
      <c r="Y302" s="231">
        <f t="shared" si="50"/>
        <v>0</v>
      </c>
      <c r="AQ302" s="19"/>
    </row>
    <row r="303" spans="5:43" x14ac:dyDescent="0.25">
      <c r="F303" s="12" t="s">
        <v>147</v>
      </c>
      <c r="G303" s="12" t="s">
        <v>170</v>
      </c>
      <c r="J303" s="231">
        <f t="shared" ref="J303:Y303" si="51">J223</f>
        <v>0</v>
      </c>
      <c r="K303" s="231">
        <f t="shared" si="51"/>
        <v>0</v>
      </c>
      <c r="L303" s="231">
        <f t="shared" si="51"/>
        <v>0</v>
      </c>
      <c r="M303" s="231">
        <f t="shared" si="51"/>
        <v>0</v>
      </c>
      <c r="N303" s="231">
        <f t="shared" si="51"/>
        <v>7275.268</v>
      </c>
      <c r="O303" s="231">
        <f t="shared" si="51"/>
        <v>1753.308</v>
      </c>
      <c r="P303" s="231">
        <f t="shared" si="51"/>
        <v>1867.194</v>
      </c>
      <c r="Q303" s="231">
        <f t="shared" si="51"/>
        <v>0</v>
      </c>
      <c r="R303" s="231">
        <f t="shared" si="51"/>
        <v>0</v>
      </c>
      <c r="S303" s="231">
        <f t="shared" si="51"/>
        <v>0</v>
      </c>
      <c r="T303" s="231">
        <f t="shared" si="51"/>
        <v>0</v>
      </c>
      <c r="U303" s="231">
        <f t="shared" si="51"/>
        <v>0</v>
      </c>
      <c r="V303" s="231">
        <f t="shared" si="51"/>
        <v>0</v>
      </c>
      <c r="W303" s="231">
        <f t="shared" si="51"/>
        <v>0</v>
      </c>
      <c r="X303" s="231">
        <f t="shared" si="51"/>
        <v>0</v>
      </c>
      <c r="Y303" s="231">
        <f t="shared" si="51"/>
        <v>0</v>
      </c>
      <c r="AQ303" s="19"/>
    </row>
    <row r="304" spans="5:43" x14ac:dyDescent="0.25">
      <c r="F304" s="12" t="s">
        <v>178</v>
      </c>
      <c r="G304" s="12" t="s">
        <v>94</v>
      </c>
      <c r="J304" s="420">
        <f t="shared" ref="J304:Y304" si="52">IF(J$43, J$49, J$34)</f>
        <v>0.40624392198207837</v>
      </c>
      <c r="K304" s="420">
        <f t="shared" si="52"/>
        <v>0.40624392198207837</v>
      </c>
      <c r="L304" s="420">
        <f t="shared" si="52"/>
        <v>0.40624392198207837</v>
      </c>
      <c r="M304" s="420">
        <f t="shared" si="52"/>
        <v>0.40624392198207837</v>
      </c>
      <c r="N304" s="420">
        <f t="shared" si="52"/>
        <v>0.40624392198207837</v>
      </c>
      <c r="O304" s="420">
        <f t="shared" si="52"/>
        <v>0</v>
      </c>
      <c r="P304" s="420">
        <f t="shared" si="52"/>
        <v>0</v>
      </c>
      <c r="Q304" s="420">
        <f t="shared" si="52"/>
        <v>0.40624392198207837</v>
      </c>
      <c r="R304" s="420">
        <f t="shared" si="52"/>
        <v>0</v>
      </c>
      <c r="S304" s="420">
        <f t="shared" si="52"/>
        <v>0</v>
      </c>
      <c r="T304" s="420">
        <f t="shared" si="52"/>
        <v>0</v>
      </c>
      <c r="U304" s="420">
        <f t="shared" si="52"/>
        <v>0</v>
      </c>
      <c r="V304" s="420">
        <f t="shared" si="52"/>
        <v>0</v>
      </c>
      <c r="W304" s="420">
        <f t="shared" si="52"/>
        <v>0</v>
      </c>
      <c r="X304" s="420">
        <f t="shared" si="52"/>
        <v>0</v>
      </c>
      <c r="Y304" s="420">
        <f t="shared" si="52"/>
        <v>0</v>
      </c>
      <c r="AQ304" s="19"/>
    </row>
    <row r="305" spans="2:43" x14ac:dyDescent="0.25">
      <c r="F305" s="12" t="s">
        <v>179</v>
      </c>
      <c r="G305" s="12" t="s">
        <v>94</v>
      </c>
      <c r="J305" s="420">
        <f t="shared" ref="J305:Y305" si="53">IF(J$43, J$49, J$35)</f>
        <v>0.60699642425647604</v>
      </c>
      <c r="K305" s="420">
        <f t="shared" si="53"/>
        <v>0.60699642425647604</v>
      </c>
      <c r="L305" s="420">
        <f t="shared" si="53"/>
        <v>0.60699642425647604</v>
      </c>
      <c r="M305" s="420">
        <f t="shared" si="53"/>
        <v>0.60699642425647604</v>
      </c>
      <c r="N305" s="420">
        <f t="shared" si="53"/>
        <v>0.60699642425647604</v>
      </c>
      <c r="O305" s="420">
        <f t="shared" si="53"/>
        <v>0.33703941159411843</v>
      </c>
      <c r="P305" s="420">
        <f t="shared" si="53"/>
        <v>0.23936190643348279</v>
      </c>
      <c r="Q305" s="420">
        <f t="shared" si="53"/>
        <v>0.60699642425647604</v>
      </c>
      <c r="R305" s="420">
        <f t="shared" si="53"/>
        <v>0</v>
      </c>
      <c r="S305" s="420">
        <f t="shared" si="53"/>
        <v>0</v>
      </c>
      <c r="T305" s="420">
        <f t="shared" si="53"/>
        <v>0</v>
      </c>
      <c r="U305" s="420">
        <f t="shared" si="53"/>
        <v>0</v>
      </c>
      <c r="V305" s="420">
        <f t="shared" si="53"/>
        <v>0</v>
      </c>
      <c r="W305" s="420">
        <f t="shared" si="53"/>
        <v>0</v>
      </c>
      <c r="X305" s="420">
        <f t="shared" si="53"/>
        <v>0</v>
      </c>
      <c r="Y305" s="420">
        <f t="shared" si="53"/>
        <v>0</v>
      </c>
      <c r="AQ305" s="19"/>
    </row>
    <row r="306" spans="2:43" x14ac:dyDescent="0.25">
      <c r="F306" s="12" t="s">
        <v>166</v>
      </c>
      <c r="G306" s="12" t="s">
        <v>170</v>
      </c>
      <c r="J306" s="231">
        <f t="shared" ref="J306:Y307" si="54">J302 * (1 - J304)</f>
        <v>0</v>
      </c>
      <c r="K306" s="231">
        <f t="shared" si="54"/>
        <v>0</v>
      </c>
      <c r="L306" s="231">
        <f t="shared" si="54"/>
        <v>0</v>
      </c>
      <c r="M306" s="231">
        <f t="shared" si="54"/>
        <v>0</v>
      </c>
      <c r="N306" s="231">
        <f t="shared" si="54"/>
        <v>663.37219689728875</v>
      </c>
      <c r="O306" s="231">
        <f t="shared" si="54"/>
        <v>0</v>
      </c>
      <c r="P306" s="231">
        <f t="shared" si="54"/>
        <v>0</v>
      </c>
      <c r="Q306" s="231">
        <f t="shared" si="54"/>
        <v>0</v>
      </c>
      <c r="R306" s="231">
        <f t="shared" si="54"/>
        <v>0</v>
      </c>
      <c r="S306" s="231">
        <f t="shared" si="54"/>
        <v>0</v>
      </c>
      <c r="T306" s="231">
        <f t="shared" si="54"/>
        <v>0</v>
      </c>
      <c r="U306" s="231">
        <f t="shared" si="54"/>
        <v>0</v>
      </c>
      <c r="V306" s="231">
        <f t="shared" si="54"/>
        <v>0</v>
      </c>
      <c r="W306" s="231">
        <f t="shared" si="54"/>
        <v>0</v>
      </c>
      <c r="X306" s="231">
        <f t="shared" si="54"/>
        <v>0</v>
      </c>
      <c r="Y306" s="231">
        <f t="shared" si="54"/>
        <v>0</v>
      </c>
      <c r="AQ306" s="19"/>
    </row>
    <row r="307" spans="2:43" x14ac:dyDescent="0.25">
      <c r="F307" s="13" t="s">
        <v>177</v>
      </c>
      <c r="G307" s="13" t="s">
        <v>170</v>
      </c>
      <c r="H307" s="17"/>
      <c r="I307" s="17"/>
      <c r="J307" s="225">
        <f t="shared" si="54"/>
        <v>0</v>
      </c>
      <c r="K307" s="225">
        <f t="shared" si="54"/>
        <v>0</v>
      </c>
      <c r="L307" s="225">
        <f t="shared" si="54"/>
        <v>0</v>
      </c>
      <c r="M307" s="225">
        <f t="shared" si="54"/>
        <v>0</v>
      </c>
      <c r="N307" s="225">
        <f t="shared" si="54"/>
        <v>2859.2063384924359</v>
      </c>
      <c r="O307" s="225">
        <f t="shared" si="54"/>
        <v>1162.3741033367394</v>
      </c>
      <c r="P307" s="225">
        <f t="shared" si="54"/>
        <v>1420.2588844788395</v>
      </c>
      <c r="Q307" s="225">
        <f t="shared" si="54"/>
        <v>0</v>
      </c>
      <c r="R307" s="225">
        <f t="shared" si="54"/>
        <v>0</v>
      </c>
      <c r="S307" s="225">
        <f t="shared" si="54"/>
        <v>0</v>
      </c>
      <c r="T307" s="225">
        <f t="shared" si="54"/>
        <v>0</v>
      </c>
      <c r="U307" s="225">
        <f t="shared" si="54"/>
        <v>0</v>
      </c>
      <c r="V307" s="225">
        <f t="shared" si="54"/>
        <v>0</v>
      </c>
      <c r="W307" s="225">
        <f t="shared" si="54"/>
        <v>0</v>
      </c>
      <c r="X307" s="225">
        <f t="shared" si="54"/>
        <v>0</v>
      </c>
      <c r="Y307" s="225">
        <f t="shared" si="54"/>
        <v>0</v>
      </c>
      <c r="AQ307" s="19"/>
    </row>
    <row r="308" spans="2:43" x14ac:dyDescent="0.25">
      <c r="F308" s="12" t="s">
        <v>167</v>
      </c>
      <c r="G308" s="12" t="s">
        <v>170</v>
      </c>
      <c r="J308" s="215">
        <f t="shared" ref="J308:Y308" si="55">J301 + J306 + J307</f>
        <v>0</v>
      </c>
      <c r="K308" s="215">
        <f t="shared" si="55"/>
        <v>0</v>
      </c>
      <c r="L308" s="215">
        <f t="shared" si="55"/>
        <v>0</v>
      </c>
      <c r="M308" s="215">
        <f t="shared" si="55"/>
        <v>0</v>
      </c>
      <c r="N308" s="215">
        <f t="shared" si="55"/>
        <v>229957.88053538968</v>
      </c>
      <c r="O308" s="215">
        <f t="shared" si="55"/>
        <v>21235.689103336739</v>
      </c>
      <c r="P308" s="215">
        <f t="shared" si="55"/>
        <v>239268.52288447882</v>
      </c>
      <c r="Q308" s="215">
        <f t="shared" si="55"/>
        <v>0</v>
      </c>
      <c r="R308" s="215">
        <f t="shared" si="55"/>
        <v>0</v>
      </c>
      <c r="S308" s="215">
        <f t="shared" si="55"/>
        <v>0</v>
      </c>
      <c r="T308" s="215">
        <f t="shared" si="55"/>
        <v>5379.1220000000003</v>
      </c>
      <c r="U308" s="215">
        <f t="shared" si="55"/>
        <v>0</v>
      </c>
      <c r="V308" s="215">
        <f t="shared" si="55"/>
        <v>157.29499999999999</v>
      </c>
      <c r="W308" s="215">
        <f t="shared" si="55"/>
        <v>0</v>
      </c>
      <c r="X308" s="215">
        <f t="shared" si="55"/>
        <v>20692.973000000002</v>
      </c>
      <c r="Y308" s="215">
        <f t="shared" si="55"/>
        <v>0</v>
      </c>
      <c r="AQ308" s="19"/>
    </row>
    <row r="309" spans="2:43" x14ac:dyDescent="0.25">
      <c r="D309" s="52"/>
      <c r="AQ309" s="19"/>
    </row>
    <row r="310" spans="2:43" x14ac:dyDescent="0.25">
      <c r="B310" s="82" t="s">
        <v>1075</v>
      </c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82"/>
      <c r="Z310" s="82"/>
      <c r="AA310" s="82"/>
      <c r="AC310" s="82"/>
      <c r="AD310" s="82"/>
      <c r="AE310" s="82"/>
      <c r="AF310" s="82"/>
      <c r="AG310" s="82"/>
      <c r="AH310" s="82"/>
      <c r="AI310" s="82"/>
      <c r="AJ310" s="82"/>
      <c r="AK310" s="82"/>
      <c r="AL310" s="82"/>
      <c r="AM310" s="82"/>
      <c r="AN310" s="82"/>
      <c r="AO310" s="82"/>
      <c r="AQ310" s="82"/>
    </row>
    <row r="311" spans="2:43" x14ac:dyDescent="0.25">
      <c r="C311" s="52"/>
      <c r="AQ311" s="19"/>
    </row>
    <row r="312" spans="2:43" x14ac:dyDescent="0.25">
      <c r="C312" s="73" t="s">
        <v>1076</v>
      </c>
      <c r="AQ312" s="19"/>
    </row>
    <row r="313" spans="2:43" x14ac:dyDescent="0.25">
      <c r="C313" s="52"/>
      <c r="AQ313" s="19"/>
    </row>
    <row r="314" spans="2:43" x14ac:dyDescent="0.25">
      <c r="C314" s="52"/>
      <c r="E314" s="52" t="s">
        <v>178</v>
      </c>
      <c r="AQ314" s="19"/>
    </row>
    <row r="315" spans="2:43" x14ac:dyDescent="0.25">
      <c r="C315" s="52"/>
      <c r="F315" s="38" t="s">
        <v>199</v>
      </c>
      <c r="G315" s="80" t="s">
        <v>94</v>
      </c>
      <c r="H315" s="80"/>
      <c r="I315" s="80"/>
      <c r="J315" s="152">
        <f>IF(J$39, J$45, J$34)</f>
        <v>0.40624392198207837</v>
      </c>
      <c r="K315" s="152">
        <f t="shared" ref="K315:Y315" si="56">IF(K$39, K$45, K$34)</f>
        <v>0.40624392198207837</v>
      </c>
      <c r="L315" s="152">
        <f t="shared" si="56"/>
        <v>0.40624392198207837</v>
      </c>
      <c r="M315" s="152">
        <f t="shared" si="56"/>
        <v>0.40624392198207837</v>
      </c>
      <c r="N315" s="152">
        <f t="shared" si="56"/>
        <v>0.40624392198207837</v>
      </c>
      <c r="O315" s="152">
        <f t="shared" si="56"/>
        <v>0</v>
      </c>
      <c r="P315" s="152">
        <f t="shared" si="56"/>
        <v>0</v>
      </c>
      <c r="Q315" s="152">
        <f t="shared" si="56"/>
        <v>0.40624392198207837</v>
      </c>
      <c r="R315" s="152">
        <f t="shared" si="56"/>
        <v>0</v>
      </c>
      <c r="S315" s="152">
        <f t="shared" si="56"/>
        <v>0</v>
      </c>
      <c r="T315" s="152">
        <f t="shared" si="56"/>
        <v>0</v>
      </c>
      <c r="U315" s="152">
        <f t="shared" si="56"/>
        <v>0</v>
      </c>
      <c r="V315" s="152">
        <f t="shared" si="56"/>
        <v>0</v>
      </c>
      <c r="W315" s="152">
        <f t="shared" si="56"/>
        <v>0</v>
      </c>
      <c r="X315" s="152">
        <f t="shared" si="56"/>
        <v>0</v>
      </c>
      <c r="Y315" s="152">
        <f t="shared" si="56"/>
        <v>0</v>
      </c>
      <c r="AQ315" s="19"/>
    </row>
    <row r="316" spans="2:43" x14ac:dyDescent="0.25">
      <c r="C316" s="52"/>
      <c r="F316" s="92" t="s">
        <v>200</v>
      </c>
      <c r="G316" t="s">
        <v>94</v>
      </c>
      <c r="J316" s="419">
        <f t="shared" ref="J316:Y317" si="57">IF(J$39, J$45, J$34)</f>
        <v>0.40624392198207837</v>
      </c>
      <c r="K316" s="419">
        <f t="shared" si="57"/>
        <v>0.40624392198207837</v>
      </c>
      <c r="L316" s="419">
        <f t="shared" si="57"/>
        <v>0.40624392198207837</v>
      </c>
      <c r="M316" s="419">
        <f t="shared" si="57"/>
        <v>0.40624392198207837</v>
      </c>
      <c r="N316" s="419">
        <f t="shared" si="57"/>
        <v>0.40624392198207837</v>
      </c>
      <c r="O316" s="419">
        <f t="shared" si="57"/>
        <v>0</v>
      </c>
      <c r="P316" s="419">
        <f t="shared" si="57"/>
        <v>0</v>
      </c>
      <c r="Q316" s="419">
        <f t="shared" si="57"/>
        <v>0.40624392198207837</v>
      </c>
      <c r="R316" s="419">
        <f t="shared" si="57"/>
        <v>0</v>
      </c>
      <c r="S316" s="419">
        <f t="shared" si="57"/>
        <v>0</v>
      </c>
      <c r="T316" s="419">
        <f t="shared" si="57"/>
        <v>0</v>
      </c>
      <c r="U316" s="419">
        <f t="shared" si="57"/>
        <v>0</v>
      </c>
      <c r="V316" s="419">
        <f t="shared" si="57"/>
        <v>0</v>
      </c>
      <c r="W316" s="419">
        <f t="shared" si="57"/>
        <v>0</v>
      </c>
      <c r="X316" s="419">
        <f t="shared" si="57"/>
        <v>0</v>
      </c>
      <c r="Y316" s="419">
        <f t="shared" si="57"/>
        <v>0</v>
      </c>
      <c r="AQ316" s="19"/>
    </row>
    <row r="317" spans="2:43" x14ac:dyDescent="0.25">
      <c r="C317" s="52"/>
      <c r="F317" s="34" t="s">
        <v>201</v>
      </c>
      <c r="G317" s="17" t="s">
        <v>94</v>
      </c>
      <c r="H317" s="17"/>
      <c r="I317" s="17"/>
      <c r="J317" s="153">
        <f t="shared" si="57"/>
        <v>0.40624392198207837</v>
      </c>
      <c r="K317" s="153">
        <f t="shared" si="57"/>
        <v>0.40624392198207837</v>
      </c>
      <c r="L317" s="153">
        <f t="shared" si="57"/>
        <v>0.40624392198207837</v>
      </c>
      <c r="M317" s="153">
        <f t="shared" si="57"/>
        <v>0.40624392198207837</v>
      </c>
      <c r="N317" s="153">
        <f t="shared" si="57"/>
        <v>0.40624392198207837</v>
      </c>
      <c r="O317" s="153">
        <f t="shared" si="57"/>
        <v>0</v>
      </c>
      <c r="P317" s="153">
        <f t="shared" si="57"/>
        <v>0</v>
      </c>
      <c r="Q317" s="153">
        <f t="shared" si="57"/>
        <v>0.40624392198207837</v>
      </c>
      <c r="R317" s="153">
        <f t="shared" si="57"/>
        <v>0</v>
      </c>
      <c r="S317" s="153">
        <f t="shared" si="57"/>
        <v>0</v>
      </c>
      <c r="T317" s="153">
        <f t="shared" si="57"/>
        <v>0</v>
      </c>
      <c r="U317" s="153">
        <f t="shared" si="57"/>
        <v>0</v>
      </c>
      <c r="V317" s="153">
        <f t="shared" si="57"/>
        <v>0</v>
      </c>
      <c r="W317" s="153">
        <f t="shared" si="57"/>
        <v>0</v>
      </c>
      <c r="X317" s="153">
        <f t="shared" si="57"/>
        <v>0</v>
      </c>
      <c r="Y317" s="153">
        <f t="shared" si="57"/>
        <v>0</v>
      </c>
      <c r="AQ317" s="19"/>
    </row>
    <row r="318" spans="2:43" x14ac:dyDescent="0.25">
      <c r="C318" s="52"/>
      <c r="F318" s="92" t="s">
        <v>74</v>
      </c>
      <c r="G318" t="s">
        <v>94</v>
      </c>
      <c r="J318" s="419">
        <f t="shared" ref="J318:Y321" si="58">IF(J$39, J46, J$34)</f>
        <v>0.40624392198207837</v>
      </c>
      <c r="K318" s="419">
        <f t="shared" si="58"/>
        <v>0.40624392198207837</v>
      </c>
      <c r="L318" s="419">
        <f t="shared" si="58"/>
        <v>0.40624392198207837</v>
      </c>
      <c r="M318" s="419">
        <f t="shared" si="58"/>
        <v>0.40624392198207837</v>
      </c>
      <c r="N318" s="419">
        <f t="shared" si="58"/>
        <v>0.40624392198207837</v>
      </c>
      <c r="O318" s="419">
        <f t="shared" si="58"/>
        <v>0</v>
      </c>
      <c r="P318" s="419">
        <f t="shared" si="58"/>
        <v>0</v>
      </c>
      <c r="Q318" s="419">
        <f t="shared" si="58"/>
        <v>0.40624392198207837</v>
      </c>
      <c r="R318" s="419">
        <f t="shared" si="58"/>
        <v>1</v>
      </c>
      <c r="S318" s="419">
        <f t="shared" si="58"/>
        <v>1</v>
      </c>
      <c r="T318" s="419">
        <f t="shared" si="58"/>
        <v>1</v>
      </c>
      <c r="U318" s="419">
        <f t="shared" si="58"/>
        <v>1</v>
      </c>
      <c r="V318" s="419">
        <f t="shared" si="58"/>
        <v>1</v>
      </c>
      <c r="W318" s="419">
        <f t="shared" si="58"/>
        <v>1</v>
      </c>
      <c r="X318" s="419">
        <f t="shared" si="58"/>
        <v>1</v>
      </c>
      <c r="Y318" s="419">
        <f t="shared" si="58"/>
        <v>1</v>
      </c>
      <c r="AQ318" s="19"/>
    </row>
    <row r="319" spans="2:43" x14ac:dyDescent="0.25">
      <c r="C319" s="52"/>
      <c r="F319" s="92" t="s">
        <v>202</v>
      </c>
      <c r="G319" t="s">
        <v>94</v>
      </c>
      <c r="J319" s="419">
        <f t="shared" si="58"/>
        <v>0.40624392198207837</v>
      </c>
      <c r="K319" s="419">
        <f t="shared" si="58"/>
        <v>0.40624392198207837</v>
      </c>
      <c r="L319" s="419">
        <f t="shared" si="58"/>
        <v>0.40624392198207837</v>
      </c>
      <c r="M319" s="419">
        <f t="shared" si="58"/>
        <v>0.40624392198207837</v>
      </c>
      <c r="N319" s="419">
        <f t="shared" si="58"/>
        <v>0.40624392198207837</v>
      </c>
      <c r="O319" s="419">
        <f t="shared" si="58"/>
        <v>0</v>
      </c>
      <c r="P319" s="419">
        <f t="shared" si="58"/>
        <v>0</v>
      </c>
      <c r="Q319" s="419">
        <f t="shared" si="58"/>
        <v>0.40624392198207837</v>
      </c>
      <c r="R319" s="419">
        <f t="shared" si="58"/>
        <v>0</v>
      </c>
      <c r="S319" s="419">
        <f t="shared" si="58"/>
        <v>0</v>
      </c>
      <c r="T319" s="419">
        <f t="shared" si="58"/>
        <v>0</v>
      </c>
      <c r="U319" s="419">
        <f t="shared" si="58"/>
        <v>0</v>
      </c>
      <c r="V319" s="419">
        <f t="shared" si="58"/>
        <v>0</v>
      </c>
      <c r="W319" s="419">
        <f t="shared" si="58"/>
        <v>0</v>
      </c>
      <c r="X319" s="419">
        <f t="shared" si="58"/>
        <v>0</v>
      </c>
      <c r="Y319" s="419">
        <f t="shared" si="58"/>
        <v>0</v>
      </c>
      <c r="AQ319" s="19"/>
    </row>
    <row r="320" spans="2:43" x14ac:dyDescent="0.25">
      <c r="C320" s="52"/>
      <c r="F320" s="92" t="s">
        <v>203</v>
      </c>
      <c r="G320" t="s">
        <v>94</v>
      </c>
      <c r="J320" s="419">
        <f t="shared" si="58"/>
        <v>0.40624392198207837</v>
      </c>
      <c r="K320" s="419">
        <f t="shared" si="58"/>
        <v>0.40624392198207837</v>
      </c>
      <c r="L320" s="419">
        <f t="shared" si="58"/>
        <v>0.40624392198207837</v>
      </c>
      <c r="M320" s="419">
        <f t="shared" si="58"/>
        <v>0.40624392198207837</v>
      </c>
      <c r="N320" s="419">
        <f t="shared" si="58"/>
        <v>0.40624392198207837</v>
      </c>
      <c r="O320" s="419">
        <f t="shared" si="58"/>
        <v>0</v>
      </c>
      <c r="P320" s="419">
        <f t="shared" si="58"/>
        <v>0</v>
      </c>
      <c r="Q320" s="419">
        <f t="shared" si="58"/>
        <v>0.40624392198207837</v>
      </c>
      <c r="R320" s="419">
        <f t="shared" si="58"/>
        <v>0</v>
      </c>
      <c r="S320" s="419">
        <f t="shared" si="58"/>
        <v>0</v>
      </c>
      <c r="T320" s="419">
        <f t="shared" si="58"/>
        <v>0</v>
      </c>
      <c r="U320" s="419">
        <f t="shared" si="58"/>
        <v>0</v>
      </c>
      <c r="V320" s="419">
        <f t="shared" si="58"/>
        <v>0</v>
      </c>
      <c r="W320" s="419">
        <f t="shared" si="58"/>
        <v>0</v>
      </c>
      <c r="X320" s="419">
        <f t="shared" si="58"/>
        <v>0</v>
      </c>
      <c r="Y320" s="419">
        <f t="shared" si="58"/>
        <v>0</v>
      </c>
      <c r="AQ320" s="19"/>
    </row>
    <row r="321" spans="3:43" x14ac:dyDescent="0.25">
      <c r="C321" s="52"/>
      <c r="F321" s="34" t="s">
        <v>204</v>
      </c>
      <c r="G321" s="17" t="s">
        <v>94</v>
      </c>
      <c r="H321" s="17"/>
      <c r="I321" s="17"/>
      <c r="J321" s="153">
        <f t="shared" si="58"/>
        <v>0.40624392198207837</v>
      </c>
      <c r="K321" s="153">
        <f t="shared" si="58"/>
        <v>0.40624392198207837</v>
      </c>
      <c r="L321" s="153">
        <f t="shared" si="58"/>
        <v>0.40624392198207837</v>
      </c>
      <c r="M321" s="153">
        <f t="shared" si="58"/>
        <v>0.40624392198207837</v>
      </c>
      <c r="N321" s="153">
        <f t="shared" si="58"/>
        <v>0.40624392198207837</v>
      </c>
      <c r="O321" s="153">
        <f t="shared" si="58"/>
        <v>0</v>
      </c>
      <c r="P321" s="153">
        <f t="shared" si="58"/>
        <v>0</v>
      </c>
      <c r="Q321" s="153">
        <f t="shared" si="58"/>
        <v>0.40624392198207837</v>
      </c>
      <c r="R321" s="153">
        <f t="shared" si="58"/>
        <v>0</v>
      </c>
      <c r="S321" s="153">
        <f t="shared" si="58"/>
        <v>0</v>
      </c>
      <c r="T321" s="153">
        <f t="shared" si="58"/>
        <v>0</v>
      </c>
      <c r="U321" s="153">
        <f t="shared" si="58"/>
        <v>0</v>
      </c>
      <c r="V321" s="153">
        <f t="shared" si="58"/>
        <v>0</v>
      </c>
      <c r="W321" s="153">
        <f t="shared" si="58"/>
        <v>0</v>
      </c>
      <c r="X321" s="153">
        <f t="shared" si="58"/>
        <v>0</v>
      </c>
      <c r="Y321" s="153">
        <f t="shared" si="58"/>
        <v>0</v>
      </c>
      <c r="AQ321" s="19"/>
    </row>
    <row r="322" spans="3:43" x14ac:dyDescent="0.25">
      <c r="C322" s="52"/>
      <c r="AQ322" s="19"/>
    </row>
    <row r="323" spans="3:43" x14ac:dyDescent="0.25">
      <c r="C323" s="52"/>
      <c r="E323" s="52" t="s">
        <v>179</v>
      </c>
      <c r="AQ323" s="19"/>
    </row>
    <row r="324" spans="3:43" x14ac:dyDescent="0.25">
      <c r="C324" s="52"/>
      <c r="F324" s="38" t="s">
        <v>199</v>
      </c>
      <c r="G324" s="80" t="s">
        <v>94</v>
      </c>
      <c r="H324" s="80"/>
      <c r="I324" s="80"/>
      <c r="J324" s="152">
        <f>IF(J$39, J$45, J$35)</f>
        <v>0.60699642425647604</v>
      </c>
      <c r="K324" s="152">
        <f t="shared" ref="K324:Y326" si="59">IF(K$39, K$45, K$35)</f>
        <v>0.60699642425647604</v>
      </c>
      <c r="L324" s="152">
        <f t="shared" si="59"/>
        <v>0.60699642425647604</v>
      </c>
      <c r="M324" s="152">
        <f t="shared" si="59"/>
        <v>0.60699642425647604</v>
      </c>
      <c r="N324" s="152">
        <f t="shared" si="59"/>
        <v>0.60699642425647604</v>
      </c>
      <c r="O324" s="152">
        <f t="shared" si="59"/>
        <v>0.33703941159411843</v>
      </c>
      <c r="P324" s="152">
        <f t="shared" si="59"/>
        <v>0.23936190643348279</v>
      </c>
      <c r="Q324" s="152">
        <f t="shared" si="59"/>
        <v>0.60699642425647604</v>
      </c>
      <c r="R324" s="152">
        <f t="shared" si="59"/>
        <v>0</v>
      </c>
      <c r="S324" s="152">
        <f t="shared" si="59"/>
        <v>0</v>
      </c>
      <c r="T324" s="152">
        <f t="shared" si="59"/>
        <v>0</v>
      </c>
      <c r="U324" s="152">
        <f t="shared" si="59"/>
        <v>0</v>
      </c>
      <c r="V324" s="152">
        <f t="shared" si="59"/>
        <v>0</v>
      </c>
      <c r="W324" s="152">
        <f t="shared" si="59"/>
        <v>0</v>
      </c>
      <c r="X324" s="152">
        <f t="shared" si="59"/>
        <v>0</v>
      </c>
      <c r="Y324" s="152">
        <f t="shared" si="59"/>
        <v>0</v>
      </c>
      <c r="AQ324" s="19"/>
    </row>
    <row r="325" spans="3:43" x14ac:dyDescent="0.25">
      <c r="C325" s="52"/>
      <c r="F325" s="92" t="s">
        <v>200</v>
      </c>
      <c r="G325" t="s">
        <v>94</v>
      </c>
      <c r="J325" s="419">
        <f t="shared" ref="J325:J326" si="60">IF(J$39, J$45, J$35)</f>
        <v>0.60699642425647604</v>
      </c>
      <c r="K325" s="419">
        <f t="shared" si="59"/>
        <v>0.60699642425647604</v>
      </c>
      <c r="L325" s="419">
        <f t="shared" si="59"/>
        <v>0.60699642425647604</v>
      </c>
      <c r="M325" s="419">
        <f t="shared" si="59"/>
        <v>0.60699642425647604</v>
      </c>
      <c r="N325" s="419">
        <f t="shared" si="59"/>
        <v>0.60699642425647604</v>
      </c>
      <c r="O325" s="419">
        <f t="shared" si="59"/>
        <v>0.33703941159411843</v>
      </c>
      <c r="P325" s="419">
        <f t="shared" si="59"/>
        <v>0.23936190643348279</v>
      </c>
      <c r="Q325" s="419">
        <f t="shared" si="59"/>
        <v>0.60699642425647604</v>
      </c>
      <c r="R325" s="419">
        <f t="shared" si="59"/>
        <v>0</v>
      </c>
      <c r="S325" s="419">
        <f t="shared" si="59"/>
        <v>0</v>
      </c>
      <c r="T325" s="419">
        <f t="shared" si="59"/>
        <v>0</v>
      </c>
      <c r="U325" s="419">
        <f t="shared" si="59"/>
        <v>0</v>
      </c>
      <c r="V325" s="419">
        <f t="shared" si="59"/>
        <v>0</v>
      </c>
      <c r="W325" s="419">
        <f t="shared" si="59"/>
        <v>0</v>
      </c>
      <c r="X325" s="419">
        <f t="shared" si="59"/>
        <v>0</v>
      </c>
      <c r="Y325" s="419">
        <f t="shared" si="59"/>
        <v>0</v>
      </c>
      <c r="AQ325" s="19"/>
    </row>
    <row r="326" spans="3:43" x14ac:dyDescent="0.25">
      <c r="C326" s="52"/>
      <c r="F326" s="34" t="s">
        <v>201</v>
      </c>
      <c r="G326" s="17" t="s">
        <v>94</v>
      </c>
      <c r="H326" s="17"/>
      <c r="I326" s="17"/>
      <c r="J326" s="153">
        <f t="shared" si="60"/>
        <v>0.60699642425647604</v>
      </c>
      <c r="K326" s="153">
        <f t="shared" si="59"/>
        <v>0.60699642425647604</v>
      </c>
      <c r="L326" s="153">
        <f t="shared" si="59"/>
        <v>0.60699642425647604</v>
      </c>
      <c r="M326" s="153">
        <f t="shared" si="59"/>
        <v>0.60699642425647604</v>
      </c>
      <c r="N326" s="153">
        <f t="shared" si="59"/>
        <v>0.60699642425647604</v>
      </c>
      <c r="O326" s="153">
        <f t="shared" si="59"/>
        <v>0.33703941159411843</v>
      </c>
      <c r="P326" s="153">
        <f t="shared" si="59"/>
        <v>0.23936190643348279</v>
      </c>
      <c r="Q326" s="153">
        <f t="shared" si="59"/>
        <v>0.60699642425647604</v>
      </c>
      <c r="R326" s="153">
        <f t="shared" si="59"/>
        <v>0</v>
      </c>
      <c r="S326" s="153">
        <f t="shared" si="59"/>
        <v>0</v>
      </c>
      <c r="T326" s="153">
        <f t="shared" si="59"/>
        <v>0</v>
      </c>
      <c r="U326" s="153">
        <f t="shared" si="59"/>
        <v>0</v>
      </c>
      <c r="V326" s="153">
        <f t="shared" si="59"/>
        <v>0</v>
      </c>
      <c r="W326" s="153">
        <f t="shared" si="59"/>
        <v>0</v>
      </c>
      <c r="X326" s="153">
        <f t="shared" si="59"/>
        <v>0</v>
      </c>
      <c r="Y326" s="153">
        <f t="shared" si="59"/>
        <v>0</v>
      </c>
      <c r="AQ326" s="19"/>
    </row>
    <row r="327" spans="3:43" x14ac:dyDescent="0.25">
      <c r="C327" s="52"/>
      <c r="F327" s="92" t="s">
        <v>74</v>
      </c>
      <c r="G327" t="s">
        <v>94</v>
      </c>
      <c r="J327" s="419">
        <f t="shared" ref="J327:Y330" si="61">IF(J$39, J46, J$35)</f>
        <v>0.60699642425647604</v>
      </c>
      <c r="K327" s="419">
        <f t="shared" si="61"/>
        <v>0.60699642425647604</v>
      </c>
      <c r="L327" s="419">
        <f t="shared" si="61"/>
        <v>0.60699642425647604</v>
      </c>
      <c r="M327" s="419">
        <f t="shared" si="61"/>
        <v>0.60699642425647604</v>
      </c>
      <c r="N327" s="419">
        <f t="shared" si="61"/>
        <v>0.60699642425647604</v>
      </c>
      <c r="O327" s="419">
        <f t="shared" si="61"/>
        <v>0.33703941159411843</v>
      </c>
      <c r="P327" s="419">
        <f t="shared" si="61"/>
        <v>0.23936190643348279</v>
      </c>
      <c r="Q327" s="419">
        <f t="shared" si="61"/>
        <v>0.60699642425647604</v>
      </c>
      <c r="R327" s="419">
        <f t="shared" si="61"/>
        <v>1</v>
      </c>
      <c r="S327" s="419">
        <f t="shared" si="61"/>
        <v>1</v>
      </c>
      <c r="T327" s="419">
        <f t="shared" si="61"/>
        <v>1</v>
      </c>
      <c r="U327" s="419">
        <f t="shared" si="61"/>
        <v>1</v>
      </c>
      <c r="V327" s="419">
        <f t="shared" si="61"/>
        <v>1</v>
      </c>
      <c r="W327" s="419">
        <f t="shared" si="61"/>
        <v>1</v>
      </c>
      <c r="X327" s="419">
        <f t="shared" si="61"/>
        <v>1</v>
      </c>
      <c r="Y327" s="419">
        <f t="shared" si="61"/>
        <v>1</v>
      </c>
      <c r="AQ327" s="19"/>
    </row>
    <row r="328" spans="3:43" x14ac:dyDescent="0.25">
      <c r="C328" s="52"/>
      <c r="F328" s="92" t="s">
        <v>202</v>
      </c>
      <c r="G328" t="s">
        <v>94</v>
      </c>
      <c r="J328" s="419">
        <f t="shared" si="61"/>
        <v>0.60699642425647604</v>
      </c>
      <c r="K328" s="419">
        <f t="shared" si="61"/>
        <v>0.60699642425647604</v>
      </c>
      <c r="L328" s="419">
        <f t="shared" si="61"/>
        <v>0.60699642425647604</v>
      </c>
      <c r="M328" s="419">
        <f t="shared" si="61"/>
        <v>0.60699642425647604</v>
      </c>
      <c r="N328" s="419">
        <f t="shared" si="61"/>
        <v>0.60699642425647604</v>
      </c>
      <c r="O328" s="419">
        <f t="shared" si="61"/>
        <v>0.33703941159411843</v>
      </c>
      <c r="P328" s="419">
        <f t="shared" si="61"/>
        <v>0.23936190643348279</v>
      </c>
      <c r="Q328" s="419">
        <f t="shared" si="61"/>
        <v>0.60699642425647604</v>
      </c>
      <c r="R328" s="419">
        <f t="shared" si="61"/>
        <v>0</v>
      </c>
      <c r="S328" s="419">
        <f t="shared" si="61"/>
        <v>0</v>
      </c>
      <c r="T328" s="419">
        <f t="shared" si="61"/>
        <v>0</v>
      </c>
      <c r="U328" s="419">
        <f t="shared" si="61"/>
        <v>0</v>
      </c>
      <c r="V328" s="419">
        <f t="shared" si="61"/>
        <v>0</v>
      </c>
      <c r="W328" s="419">
        <f t="shared" si="61"/>
        <v>0</v>
      </c>
      <c r="X328" s="419">
        <f t="shared" si="61"/>
        <v>0</v>
      </c>
      <c r="Y328" s="419">
        <f t="shared" si="61"/>
        <v>0</v>
      </c>
      <c r="AQ328" s="19"/>
    </row>
    <row r="329" spans="3:43" x14ac:dyDescent="0.25">
      <c r="C329" s="52"/>
      <c r="F329" s="92" t="s">
        <v>203</v>
      </c>
      <c r="G329" t="s">
        <v>94</v>
      </c>
      <c r="J329" s="419">
        <f t="shared" si="61"/>
        <v>0.60699642425647604</v>
      </c>
      <c r="K329" s="419">
        <f t="shared" si="61"/>
        <v>0.60699642425647604</v>
      </c>
      <c r="L329" s="419">
        <f t="shared" si="61"/>
        <v>0.60699642425647604</v>
      </c>
      <c r="M329" s="419">
        <f t="shared" si="61"/>
        <v>0.60699642425647604</v>
      </c>
      <c r="N329" s="419">
        <f t="shared" si="61"/>
        <v>0.60699642425647604</v>
      </c>
      <c r="O329" s="419">
        <f t="shared" si="61"/>
        <v>0.33703941159411843</v>
      </c>
      <c r="P329" s="419">
        <f t="shared" si="61"/>
        <v>0.23936190643348279</v>
      </c>
      <c r="Q329" s="419">
        <f t="shared" si="61"/>
        <v>0.60699642425647604</v>
      </c>
      <c r="R329" s="419">
        <f t="shared" si="61"/>
        <v>0</v>
      </c>
      <c r="S329" s="419">
        <f t="shared" si="61"/>
        <v>0</v>
      </c>
      <c r="T329" s="419">
        <f t="shared" si="61"/>
        <v>0</v>
      </c>
      <c r="U329" s="419">
        <f t="shared" si="61"/>
        <v>0</v>
      </c>
      <c r="V329" s="419">
        <f t="shared" si="61"/>
        <v>0</v>
      </c>
      <c r="W329" s="419">
        <f t="shared" si="61"/>
        <v>0</v>
      </c>
      <c r="X329" s="419">
        <f t="shared" si="61"/>
        <v>0</v>
      </c>
      <c r="Y329" s="419">
        <f t="shared" si="61"/>
        <v>0</v>
      </c>
      <c r="AQ329" s="19"/>
    </row>
    <row r="330" spans="3:43" x14ac:dyDescent="0.25">
      <c r="C330" s="52"/>
      <c r="F330" s="34" t="s">
        <v>204</v>
      </c>
      <c r="G330" s="17" t="s">
        <v>94</v>
      </c>
      <c r="H330" s="17"/>
      <c r="I330" s="17"/>
      <c r="J330" s="153">
        <f t="shared" si="61"/>
        <v>0.60699642425647604</v>
      </c>
      <c r="K330" s="153">
        <f t="shared" si="61"/>
        <v>0.60699642425647604</v>
      </c>
      <c r="L330" s="153">
        <f t="shared" si="61"/>
        <v>0.60699642425647604</v>
      </c>
      <c r="M330" s="153">
        <f t="shared" si="61"/>
        <v>0.60699642425647604</v>
      </c>
      <c r="N330" s="153">
        <f t="shared" si="61"/>
        <v>0.60699642425647604</v>
      </c>
      <c r="O330" s="153">
        <f t="shared" si="61"/>
        <v>0.33703941159411843</v>
      </c>
      <c r="P330" s="153">
        <f t="shared" si="61"/>
        <v>0.23936190643348279</v>
      </c>
      <c r="Q330" s="153">
        <f t="shared" si="61"/>
        <v>0.60699642425647604</v>
      </c>
      <c r="R330" s="153">
        <f t="shared" si="61"/>
        <v>0</v>
      </c>
      <c r="S330" s="153">
        <f t="shared" si="61"/>
        <v>0</v>
      </c>
      <c r="T330" s="153">
        <f t="shared" si="61"/>
        <v>0</v>
      </c>
      <c r="U330" s="153">
        <f t="shared" si="61"/>
        <v>0</v>
      </c>
      <c r="V330" s="153">
        <f t="shared" si="61"/>
        <v>0</v>
      </c>
      <c r="W330" s="153">
        <f t="shared" si="61"/>
        <v>0</v>
      </c>
      <c r="X330" s="153">
        <f t="shared" si="61"/>
        <v>0</v>
      </c>
      <c r="Y330" s="153">
        <f t="shared" si="61"/>
        <v>0</v>
      </c>
      <c r="AQ330" s="19"/>
    </row>
    <row r="331" spans="3:43" x14ac:dyDescent="0.25">
      <c r="C331" s="52"/>
      <c r="AQ331" s="19"/>
    </row>
    <row r="332" spans="3:43" x14ac:dyDescent="0.25">
      <c r="C332" s="5" t="str">
        <f ca="1">INDEX('Version control'!$H$36:$H$62,MATCH($A$1,'Version control'!$F$36:$F$62,0),1)&amp;"-D: No residual volume discounting"</f>
        <v>Section 507-D: No residual volume discounting</v>
      </c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Q332" s="19"/>
    </row>
    <row r="333" spans="3:43" x14ac:dyDescent="0.25">
      <c r="C333" s="52"/>
      <c r="AQ333" s="19"/>
    </row>
    <row r="334" spans="3:43" x14ac:dyDescent="0.25">
      <c r="E334" s="52" t="s">
        <v>1077</v>
      </c>
      <c r="G334" s="91"/>
      <c r="I334" t="s">
        <v>359</v>
      </c>
      <c r="AQ334" s="19"/>
    </row>
    <row r="335" spans="3:43" x14ac:dyDescent="0.25">
      <c r="E335" s="52"/>
      <c r="F335" s="38" t="s">
        <v>199</v>
      </c>
      <c r="G335" s="38" t="s">
        <v>120</v>
      </c>
      <c r="H335" s="80"/>
      <c r="I335" s="80"/>
      <c r="J335" s="201"/>
      <c r="K335" s="224">
        <f t="shared" ref="K335:P341" si="62">(1 - K315) * K105</f>
        <v>1.0450106973115421</v>
      </c>
      <c r="L335" s="224">
        <f t="shared" si="62"/>
        <v>0</v>
      </c>
      <c r="M335" s="224">
        <f t="shared" si="62"/>
        <v>0</v>
      </c>
      <c r="N335" s="224">
        <f t="shared" si="62"/>
        <v>0</v>
      </c>
      <c r="O335" s="224">
        <f t="shared" si="62"/>
        <v>0</v>
      </c>
      <c r="P335" s="224">
        <f t="shared" si="62"/>
        <v>0</v>
      </c>
      <c r="Q335" s="201"/>
      <c r="R335" s="224">
        <f t="shared" ref="R335:Y341" si="63">(1 - R315) * R105</f>
        <v>148.179</v>
      </c>
      <c r="S335" s="224">
        <f t="shared" si="63"/>
        <v>0</v>
      </c>
      <c r="T335" s="224">
        <f t="shared" si="63"/>
        <v>0</v>
      </c>
      <c r="U335" s="224">
        <f t="shared" si="63"/>
        <v>0</v>
      </c>
      <c r="V335" s="224">
        <f t="shared" si="63"/>
        <v>0</v>
      </c>
      <c r="W335" s="224">
        <f t="shared" si="63"/>
        <v>0</v>
      </c>
      <c r="X335" s="224">
        <f t="shared" si="63"/>
        <v>0</v>
      </c>
      <c r="Y335" s="224">
        <f t="shared" si="63"/>
        <v>0</v>
      </c>
      <c r="AQ335" s="19"/>
    </row>
    <row r="336" spans="3:43" x14ac:dyDescent="0.25">
      <c r="E336" s="52"/>
      <c r="F336" s="92" t="s">
        <v>200</v>
      </c>
      <c r="G336" s="92" t="s">
        <v>120</v>
      </c>
      <c r="J336" s="202"/>
      <c r="K336" s="221">
        <f t="shared" si="62"/>
        <v>17.409521963563485</v>
      </c>
      <c r="L336" s="221">
        <f t="shared" si="62"/>
        <v>0</v>
      </c>
      <c r="M336" s="221">
        <f t="shared" si="62"/>
        <v>0</v>
      </c>
      <c r="N336" s="221">
        <f t="shared" si="62"/>
        <v>0</v>
      </c>
      <c r="O336" s="221">
        <f t="shared" si="62"/>
        <v>0</v>
      </c>
      <c r="P336" s="221">
        <f t="shared" si="62"/>
        <v>0</v>
      </c>
      <c r="Q336" s="202"/>
      <c r="R336" s="221">
        <f t="shared" si="63"/>
        <v>594.94400000000007</v>
      </c>
      <c r="S336" s="221">
        <f t="shared" si="63"/>
        <v>0</v>
      </c>
      <c r="T336" s="221">
        <f t="shared" si="63"/>
        <v>0</v>
      </c>
      <c r="U336" s="221">
        <f t="shared" si="63"/>
        <v>0</v>
      </c>
      <c r="V336" s="221">
        <f t="shared" si="63"/>
        <v>0</v>
      </c>
      <c r="W336" s="221">
        <f t="shared" si="63"/>
        <v>0</v>
      </c>
      <c r="X336" s="221">
        <f t="shared" si="63"/>
        <v>0</v>
      </c>
      <c r="Y336" s="221">
        <f t="shared" si="63"/>
        <v>0</v>
      </c>
      <c r="AQ336" s="19"/>
    </row>
    <row r="337" spans="5:43" x14ac:dyDescent="0.25">
      <c r="E337" s="52"/>
      <c r="F337" s="92" t="s">
        <v>201</v>
      </c>
      <c r="G337" s="92" t="s">
        <v>120</v>
      </c>
      <c r="J337" s="202"/>
      <c r="K337" s="221">
        <f t="shared" si="62"/>
        <v>94.322903041770999</v>
      </c>
      <c r="L337" s="221">
        <f t="shared" si="62"/>
        <v>0</v>
      </c>
      <c r="M337" s="221">
        <f t="shared" si="62"/>
        <v>0</v>
      </c>
      <c r="N337" s="221">
        <f t="shared" si="62"/>
        <v>0</v>
      </c>
      <c r="O337" s="221">
        <f t="shared" si="62"/>
        <v>0</v>
      </c>
      <c r="P337" s="221">
        <f t="shared" si="62"/>
        <v>0</v>
      </c>
      <c r="Q337" s="202"/>
      <c r="R337" s="221">
        <f t="shared" si="63"/>
        <v>276.19200000000001</v>
      </c>
      <c r="S337" s="221">
        <f t="shared" si="63"/>
        <v>0</v>
      </c>
      <c r="T337" s="221">
        <f t="shared" si="63"/>
        <v>0</v>
      </c>
      <c r="U337" s="221">
        <f t="shared" si="63"/>
        <v>0</v>
      </c>
      <c r="V337" s="221">
        <f t="shared" si="63"/>
        <v>0</v>
      </c>
      <c r="W337" s="221">
        <f t="shared" si="63"/>
        <v>0</v>
      </c>
      <c r="X337" s="221">
        <f t="shared" si="63"/>
        <v>0</v>
      </c>
      <c r="Y337" s="221">
        <f t="shared" si="63"/>
        <v>0</v>
      </c>
      <c r="AQ337" s="19"/>
    </row>
    <row r="338" spans="5:43" x14ac:dyDescent="0.25">
      <c r="E338" s="52"/>
      <c r="F338" s="92" t="s">
        <v>74</v>
      </c>
      <c r="G338" s="92" t="s">
        <v>74</v>
      </c>
      <c r="J338" s="202"/>
      <c r="K338" s="221">
        <f t="shared" si="62"/>
        <v>36.219120759093222</v>
      </c>
      <c r="L338" s="221">
        <f t="shared" si="62"/>
        <v>0</v>
      </c>
      <c r="M338" s="221">
        <f t="shared" si="62"/>
        <v>0</v>
      </c>
      <c r="N338" s="221">
        <f t="shared" si="62"/>
        <v>0</v>
      </c>
      <c r="O338" s="221">
        <f t="shared" si="62"/>
        <v>0</v>
      </c>
      <c r="P338" s="221">
        <f t="shared" si="62"/>
        <v>0</v>
      </c>
      <c r="Q338" s="202"/>
      <c r="R338" s="221">
        <f t="shared" si="63"/>
        <v>0</v>
      </c>
      <c r="S338" s="221">
        <f t="shared" si="63"/>
        <v>0</v>
      </c>
      <c r="T338" s="221">
        <f t="shared" si="63"/>
        <v>0</v>
      </c>
      <c r="U338" s="221">
        <f t="shared" si="63"/>
        <v>0</v>
      </c>
      <c r="V338" s="221">
        <f t="shared" si="63"/>
        <v>0</v>
      </c>
      <c r="W338" s="221">
        <f t="shared" si="63"/>
        <v>0</v>
      </c>
      <c r="X338" s="221">
        <f t="shared" si="63"/>
        <v>0</v>
      </c>
      <c r="Y338" s="221">
        <f t="shared" si="63"/>
        <v>0</v>
      </c>
      <c r="AQ338" s="19"/>
    </row>
    <row r="339" spans="5:43" x14ac:dyDescent="0.25">
      <c r="E339" s="52"/>
      <c r="F339" s="92" t="s">
        <v>202</v>
      </c>
      <c r="G339" s="92" t="s">
        <v>169</v>
      </c>
      <c r="J339" s="202"/>
      <c r="K339" s="221">
        <f t="shared" si="62"/>
        <v>0</v>
      </c>
      <c r="L339" s="221">
        <f t="shared" si="62"/>
        <v>0</v>
      </c>
      <c r="M339" s="221">
        <f t="shared" si="62"/>
        <v>0</v>
      </c>
      <c r="N339" s="221">
        <f t="shared" si="62"/>
        <v>0</v>
      </c>
      <c r="O339" s="221">
        <f t="shared" si="62"/>
        <v>0</v>
      </c>
      <c r="P339" s="221">
        <f t="shared" si="62"/>
        <v>0</v>
      </c>
      <c r="Q339" s="202"/>
      <c r="R339" s="221">
        <f t="shared" si="63"/>
        <v>0</v>
      </c>
      <c r="S339" s="221">
        <f t="shared" si="63"/>
        <v>0</v>
      </c>
      <c r="T339" s="221">
        <f t="shared" si="63"/>
        <v>0</v>
      </c>
      <c r="U339" s="221">
        <f t="shared" si="63"/>
        <v>0</v>
      </c>
      <c r="V339" s="221">
        <f t="shared" si="63"/>
        <v>0</v>
      </c>
      <c r="W339" s="221">
        <f t="shared" si="63"/>
        <v>0</v>
      </c>
      <c r="X339" s="221">
        <f t="shared" si="63"/>
        <v>0</v>
      </c>
      <c r="Y339" s="221">
        <f t="shared" si="63"/>
        <v>0</v>
      </c>
      <c r="AQ339" s="19"/>
    </row>
    <row r="340" spans="5:43" x14ac:dyDescent="0.25">
      <c r="E340" s="52"/>
      <c r="F340" s="92" t="s">
        <v>203</v>
      </c>
      <c r="G340" s="92" t="s">
        <v>169</v>
      </c>
      <c r="J340" s="202"/>
      <c r="K340" s="221">
        <f t="shared" si="62"/>
        <v>0</v>
      </c>
      <c r="L340" s="221">
        <f t="shared" si="62"/>
        <v>0</v>
      </c>
      <c r="M340" s="221">
        <f t="shared" si="62"/>
        <v>0</v>
      </c>
      <c r="N340" s="221">
        <f t="shared" si="62"/>
        <v>0</v>
      </c>
      <c r="O340" s="221">
        <f t="shared" si="62"/>
        <v>0</v>
      </c>
      <c r="P340" s="221">
        <f t="shared" si="62"/>
        <v>0</v>
      </c>
      <c r="Q340" s="202"/>
      <c r="R340" s="221">
        <f t="shared" si="63"/>
        <v>0</v>
      </c>
      <c r="S340" s="221">
        <f t="shared" si="63"/>
        <v>0</v>
      </c>
      <c r="T340" s="221">
        <f t="shared" si="63"/>
        <v>0</v>
      </c>
      <c r="U340" s="221">
        <f t="shared" si="63"/>
        <v>0</v>
      </c>
      <c r="V340" s="221">
        <f t="shared" si="63"/>
        <v>0</v>
      </c>
      <c r="W340" s="221">
        <f t="shared" si="63"/>
        <v>0</v>
      </c>
      <c r="X340" s="221">
        <f t="shared" si="63"/>
        <v>0</v>
      </c>
      <c r="Y340" s="221">
        <f t="shared" si="63"/>
        <v>0</v>
      </c>
      <c r="AQ340" s="19"/>
    </row>
    <row r="341" spans="5:43" x14ac:dyDescent="0.25">
      <c r="E341" s="52"/>
      <c r="F341" s="34" t="s">
        <v>204</v>
      </c>
      <c r="G341" s="34" t="s">
        <v>170</v>
      </c>
      <c r="H341" s="17"/>
      <c r="I341" s="17"/>
      <c r="J341" s="203"/>
      <c r="K341" s="225">
        <f t="shared" si="62"/>
        <v>0</v>
      </c>
      <c r="L341" s="225">
        <f t="shared" si="62"/>
        <v>0</v>
      </c>
      <c r="M341" s="225">
        <f t="shared" si="62"/>
        <v>0</v>
      </c>
      <c r="N341" s="225">
        <f t="shared" si="62"/>
        <v>0</v>
      </c>
      <c r="O341" s="225">
        <f t="shared" si="62"/>
        <v>0</v>
      </c>
      <c r="P341" s="225">
        <f t="shared" si="62"/>
        <v>0</v>
      </c>
      <c r="Q341" s="203"/>
      <c r="R341" s="225">
        <f t="shared" si="63"/>
        <v>0</v>
      </c>
      <c r="S341" s="225">
        <f t="shared" si="63"/>
        <v>0</v>
      </c>
      <c r="T341" s="225">
        <f t="shared" si="63"/>
        <v>0</v>
      </c>
      <c r="U341" s="225">
        <f t="shared" si="63"/>
        <v>0</v>
      </c>
      <c r="V341" s="225">
        <f t="shared" si="63"/>
        <v>0</v>
      </c>
      <c r="W341" s="225">
        <f t="shared" si="63"/>
        <v>0</v>
      </c>
      <c r="X341" s="225">
        <f t="shared" si="63"/>
        <v>0</v>
      </c>
      <c r="Y341" s="225">
        <f t="shared" si="63"/>
        <v>0</v>
      </c>
      <c r="AQ341" s="19"/>
    </row>
    <row r="342" spans="5:43" x14ac:dyDescent="0.25">
      <c r="AQ342" s="19"/>
    </row>
    <row r="343" spans="5:43" x14ac:dyDescent="0.25">
      <c r="E343" s="52" t="s">
        <v>1078</v>
      </c>
      <c r="G343" s="91"/>
      <c r="I343" t="s">
        <v>359</v>
      </c>
      <c r="AQ343" s="19"/>
    </row>
    <row r="344" spans="5:43" x14ac:dyDescent="0.25">
      <c r="E344" s="52"/>
      <c r="F344" s="38" t="s">
        <v>199</v>
      </c>
      <c r="G344" s="38" t="s">
        <v>120</v>
      </c>
      <c r="H344" s="80"/>
      <c r="I344" s="80"/>
      <c r="J344" s="201"/>
      <c r="K344" s="224">
        <f t="shared" ref="K344:P350" si="64">(1 - K324) * K152</f>
        <v>0</v>
      </c>
      <c r="L344" s="224">
        <f t="shared" si="64"/>
        <v>0</v>
      </c>
      <c r="M344" s="224">
        <f t="shared" si="64"/>
        <v>0</v>
      </c>
      <c r="N344" s="224">
        <f t="shared" si="64"/>
        <v>0</v>
      </c>
      <c r="O344" s="224">
        <f t="shared" si="64"/>
        <v>0</v>
      </c>
      <c r="P344" s="224">
        <f t="shared" si="64"/>
        <v>0</v>
      </c>
      <c r="Q344" s="201"/>
      <c r="R344" s="224">
        <f t="shared" ref="R344:Y350" si="65">(1 - R324) * R152</f>
        <v>560.25500000000011</v>
      </c>
      <c r="S344" s="224">
        <f t="shared" si="65"/>
        <v>7.944</v>
      </c>
      <c r="T344" s="224">
        <f t="shared" si="65"/>
        <v>0</v>
      </c>
      <c r="U344" s="224">
        <f t="shared" si="65"/>
        <v>0</v>
      </c>
      <c r="V344" s="224">
        <f t="shared" si="65"/>
        <v>0</v>
      </c>
      <c r="W344" s="224">
        <f t="shared" si="65"/>
        <v>0</v>
      </c>
      <c r="X344" s="224">
        <f t="shared" si="65"/>
        <v>0</v>
      </c>
      <c r="Y344" s="224">
        <f t="shared" si="65"/>
        <v>0</v>
      </c>
      <c r="AQ344" s="19"/>
    </row>
    <row r="345" spans="5:43" x14ac:dyDescent="0.25">
      <c r="E345" s="52"/>
      <c r="F345" s="92" t="s">
        <v>200</v>
      </c>
      <c r="G345" s="92" t="s">
        <v>120</v>
      </c>
      <c r="J345" s="202"/>
      <c r="K345" s="221">
        <f t="shared" si="64"/>
        <v>5.1267316455742709</v>
      </c>
      <c r="L345" s="221">
        <f t="shared" si="64"/>
        <v>0</v>
      </c>
      <c r="M345" s="221">
        <f t="shared" si="64"/>
        <v>0</v>
      </c>
      <c r="N345" s="221">
        <f t="shared" si="64"/>
        <v>0</v>
      </c>
      <c r="O345" s="221">
        <f t="shared" si="64"/>
        <v>0</v>
      </c>
      <c r="P345" s="221">
        <f t="shared" si="64"/>
        <v>0</v>
      </c>
      <c r="Q345" s="202"/>
      <c r="R345" s="221">
        <f t="shared" si="65"/>
        <v>2047.2030000000002</v>
      </c>
      <c r="S345" s="221">
        <f t="shared" si="65"/>
        <v>28.603999999999999</v>
      </c>
      <c r="T345" s="221">
        <f t="shared" si="65"/>
        <v>0</v>
      </c>
      <c r="U345" s="221">
        <f t="shared" si="65"/>
        <v>0</v>
      </c>
      <c r="V345" s="221">
        <f t="shared" si="65"/>
        <v>0</v>
      </c>
      <c r="W345" s="221">
        <f t="shared" si="65"/>
        <v>0</v>
      </c>
      <c r="X345" s="221">
        <f t="shared" si="65"/>
        <v>0</v>
      </c>
      <c r="Y345" s="221">
        <f t="shared" si="65"/>
        <v>0</v>
      </c>
      <c r="AQ345" s="19"/>
    </row>
    <row r="346" spans="5:43" x14ac:dyDescent="0.25">
      <c r="E346" s="52"/>
      <c r="F346" s="92" t="s">
        <v>201</v>
      </c>
      <c r="G346" s="92" t="s">
        <v>120</v>
      </c>
      <c r="J346" s="202"/>
      <c r="K346" s="221">
        <f t="shared" si="64"/>
        <v>98.521280395992534</v>
      </c>
      <c r="L346" s="221">
        <f t="shared" si="64"/>
        <v>0</v>
      </c>
      <c r="M346" s="221">
        <f t="shared" si="64"/>
        <v>0</v>
      </c>
      <c r="N346" s="221">
        <f t="shared" si="64"/>
        <v>0</v>
      </c>
      <c r="O346" s="221">
        <f t="shared" si="64"/>
        <v>0</v>
      </c>
      <c r="P346" s="221">
        <f t="shared" si="64"/>
        <v>0</v>
      </c>
      <c r="Q346" s="202"/>
      <c r="R346" s="221">
        <f t="shared" si="65"/>
        <v>914.25899999999979</v>
      </c>
      <c r="S346" s="221">
        <f t="shared" si="65"/>
        <v>13.100000000000001</v>
      </c>
      <c r="T346" s="221">
        <f t="shared" si="65"/>
        <v>0</v>
      </c>
      <c r="U346" s="221">
        <f t="shared" si="65"/>
        <v>0</v>
      </c>
      <c r="V346" s="221">
        <f t="shared" si="65"/>
        <v>0</v>
      </c>
      <c r="W346" s="221">
        <f t="shared" si="65"/>
        <v>0</v>
      </c>
      <c r="X346" s="221">
        <f t="shared" si="65"/>
        <v>0</v>
      </c>
      <c r="Y346" s="221">
        <f t="shared" si="65"/>
        <v>0</v>
      </c>
      <c r="AQ346" s="19"/>
    </row>
    <row r="347" spans="5:43" x14ac:dyDescent="0.25">
      <c r="E347" s="52"/>
      <c r="F347" s="92" t="s">
        <v>74</v>
      </c>
      <c r="G347" s="92" t="s">
        <v>74</v>
      </c>
      <c r="J347" s="202"/>
      <c r="K347" s="221">
        <f t="shared" si="64"/>
        <v>27.510250302046678</v>
      </c>
      <c r="L347" s="221">
        <f t="shared" si="64"/>
        <v>0</v>
      </c>
      <c r="M347" s="221">
        <f t="shared" si="64"/>
        <v>0</v>
      </c>
      <c r="N347" s="221">
        <f t="shared" si="64"/>
        <v>0</v>
      </c>
      <c r="O347" s="221">
        <f t="shared" si="64"/>
        <v>0</v>
      </c>
      <c r="P347" s="221">
        <f t="shared" si="64"/>
        <v>0</v>
      </c>
      <c r="Q347" s="202"/>
      <c r="R347" s="221">
        <f t="shared" si="65"/>
        <v>0</v>
      </c>
      <c r="S347" s="221">
        <f t="shared" si="65"/>
        <v>0</v>
      </c>
      <c r="T347" s="221">
        <f t="shared" si="65"/>
        <v>0</v>
      </c>
      <c r="U347" s="221">
        <f t="shared" si="65"/>
        <v>0</v>
      </c>
      <c r="V347" s="221">
        <f t="shared" si="65"/>
        <v>0</v>
      </c>
      <c r="W347" s="221">
        <f t="shared" si="65"/>
        <v>0</v>
      </c>
      <c r="X347" s="221">
        <f t="shared" si="65"/>
        <v>0</v>
      </c>
      <c r="Y347" s="221">
        <f t="shared" si="65"/>
        <v>0</v>
      </c>
      <c r="AQ347" s="19"/>
    </row>
    <row r="348" spans="5:43" x14ac:dyDescent="0.25">
      <c r="E348" s="52"/>
      <c r="F348" s="92" t="s">
        <v>202</v>
      </c>
      <c r="G348" s="92" t="s">
        <v>169</v>
      </c>
      <c r="J348" s="202"/>
      <c r="K348" s="221">
        <f t="shared" si="64"/>
        <v>0</v>
      </c>
      <c r="L348" s="221">
        <f t="shared" si="64"/>
        <v>0</v>
      </c>
      <c r="M348" s="221">
        <f t="shared" si="64"/>
        <v>0</v>
      </c>
      <c r="N348" s="221">
        <f t="shared" si="64"/>
        <v>0</v>
      </c>
      <c r="O348" s="221">
        <f t="shared" si="64"/>
        <v>0</v>
      </c>
      <c r="P348" s="221">
        <f t="shared" si="64"/>
        <v>0</v>
      </c>
      <c r="Q348" s="202"/>
      <c r="R348" s="221">
        <f t="shared" si="65"/>
        <v>0</v>
      </c>
      <c r="S348" s="221">
        <f t="shared" si="65"/>
        <v>0</v>
      </c>
      <c r="T348" s="221">
        <f t="shared" si="65"/>
        <v>0</v>
      </c>
      <c r="U348" s="221">
        <f t="shared" si="65"/>
        <v>0</v>
      </c>
      <c r="V348" s="221">
        <f t="shared" si="65"/>
        <v>0</v>
      </c>
      <c r="W348" s="221">
        <f t="shared" si="65"/>
        <v>0</v>
      </c>
      <c r="X348" s="221">
        <f t="shared" si="65"/>
        <v>0</v>
      </c>
      <c r="Y348" s="221">
        <f t="shared" si="65"/>
        <v>0</v>
      </c>
      <c r="AQ348" s="19"/>
    </row>
    <row r="349" spans="5:43" x14ac:dyDescent="0.25">
      <c r="E349" s="52"/>
      <c r="F349" s="92" t="s">
        <v>203</v>
      </c>
      <c r="G349" s="92" t="s">
        <v>169</v>
      </c>
      <c r="J349" s="202"/>
      <c r="K349" s="221">
        <f t="shared" si="64"/>
        <v>0</v>
      </c>
      <c r="L349" s="221">
        <f t="shared" si="64"/>
        <v>0</v>
      </c>
      <c r="M349" s="221">
        <f t="shared" si="64"/>
        <v>0</v>
      </c>
      <c r="N349" s="221">
        <f t="shared" si="64"/>
        <v>0</v>
      </c>
      <c r="O349" s="221">
        <f t="shared" si="64"/>
        <v>0</v>
      </c>
      <c r="P349" s="221">
        <f t="shared" si="64"/>
        <v>0</v>
      </c>
      <c r="Q349" s="202"/>
      <c r="R349" s="221">
        <f t="shared" si="65"/>
        <v>0</v>
      </c>
      <c r="S349" s="221">
        <f t="shared" si="65"/>
        <v>0</v>
      </c>
      <c r="T349" s="221">
        <f t="shared" si="65"/>
        <v>0</v>
      </c>
      <c r="U349" s="221">
        <f t="shared" si="65"/>
        <v>0</v>
      </c>
      <c r="V349" s="221">
        <f t="shared" si="65"/>
        <v>0</v>
      </c>
      <c r="W349" s="221">
        <f t="shared" si="65"/>
        <v>0</v>
      </c>
      <c r="X349" s="221">
        <f t="shared" si="65"/>
        <v>0</v>
      </c>
      <c r="Y349" s="221">
        <f t="shared" si="65"/>
        <v>0</v>
      </c>
      <c r="AQ349" s="19"/>
    </row>
    <row r="350" spans="5:43" x14ac:dyDescent="0.25">
      <c r="E350" s="52"/>
      <c r="F350" s="34" t="s">
        <v>204</v>
      </c>
      <c r="G350" s="34" t="s">
        <v>170</v>
      </c>
      <c r="H350" s="17"/>
      <c r="I350" s="17"/>
      <c r="J350" s="203"/>
      <c r="K350" s="225">
        <f t="shared" si="64"/>
        <v>0</v>
      </c>
      <c r="L350" s="225">
        <f t="shared" si="64"/>
        <v>0</v>
      </c>
      <c r="M350" s="225">
        <f t="shared" si="64"/>
        <v>0</v>
      </c>
      <c r="N350" s="225">
        <f t="shared" si="64"/>
        <v>0</v>
      </c>
      <c r="O350" s="225">
        <f t="shared" si="64"/>
        <v>0</v>
      </c>
      <c r="P350" s="225">
        <f t="shared" si="64"/>
        <v>0</v>
      </c>
      <c r="Q350" s="203"/>
      <c r="R350" s="225">
        <f t="shared" si="65"/>
        <v>0</v>
      </c>
      <c r="S350" s="225">
        <f t="shared" si="65"/>
        <v>0</v>
      </c>
      <c r="T350" s="225">
        <f t="shared" si="65"/>
        <v>0</v>
      </c>
      <c r="U350" s="225">
        <f t="shared" si="65"/>
        <v>0</v>
      </c>
      <c r="V350" s="225">
        <f t="shared" si="65"/>
        <v>0</v>
      </c>
      <c r="W350" s="225">
        <f t="shared" si="65"/>
        <v>0</v>
      </c>
      <c r="X350" s="225">
        <f t="shared" si="65"/>
        <v>0</v>
      </c>
      <c r="Y350" s="225">
        <f t="shared" si="65"/>
        <v>0</v>
      </c>
      <c r="AQ350" s="19"/>
    </row>
    <row r="351" spans="5:43" x14ac:dyDescent="0.25">
      <c r="AQ351" s="19"/>
    </row>
    <row r="352" spans="5:43" x14ac:dyDescent="0.25">
      <c r="E352" s="52" t="s">
        <v>1079</v>
      </c>
      <c r="G352" s="91"/>
      <c r="I352" t="s">
        <v>359</v>
      </c>
      <c r="AQ352" s="19"/>
    </row>
    <row r="353" spans="3:43" x14ac:dyDescent="0.25">
      <c r="E353" s="52"/>
      <c r="F353" s="38" t="s">
        <v>199</v>
      </c>
      <c r="G353" s="38" t="s">
        <v>120</v>
      </c>
      <c r="H353" s="80"/>
      <c r="I353" s="80"/>
      <c r="J353" s="201"/>
      <c r="K353" s="224">
        <f t="shared" ref="K353:P359" si="66">K58+K335+K344</f>
        <v>653.19854705140472</v>
      </c>
      <c r="L353" s="224">
        <f t="shared" si="66"/>
        <v>17.458206837827863</v>
      </c>
      <c r="M353" s="224">
        <f t="shared" si="66"/>
        <v>596.52194686342921</v>
      </c>
      <c r="N353" s="224">
        <f t="shared" si="66"/>
        <v>12.367051703011343</v>
      </c>
      <c r="O353" s="224">
        <f t="shared" si="66"/>
        <v>0.10809059005544162</v>
      </c>
      <c r="P353" s="224">
        <f t="shared" si="66"/>
        <v>303.00288221653483</v>
      </c>
      <c r="Q353" s="201"/>
      <c r="R353" s="224">
        <f t="shared" ref="R353:Y359" si="67">R58+R335+R344</f>
        <v>1639.8703771358053</v>
      </c>
      <c r="S353" s="224">
        <f t="shared" si="67"/>
        <v>19.515999999999998</v>
      </c>
      <c r="T353" s="224">
        <f t="shared" si="67"/>
        <v>5840.0349999999999</v>
      </c>
      <c r="U353" s="224">
        <f t="shared" si="67"/>
        <v>0</v>
      </c>
      <c r="V353" s="224">
        <f t="shared" si="67"/>
        <v>62.863</v>
      </c>
      <c r="W353" s="224">
        <f t="shared" si="67"/>
        <v>0</v>
      </c>
      <c r="X353" s="224">
        <f t="shared" si="67"/>
        <v>118436.88399999999</v>
      </c>
      <c r="Y353" s="224">
        <f t="shared" si="67"/>
        <v>0</v>
      </c>
      <c r="AQ353" s="19"/>
    </row>
    <row r="354" spans="3:43" x14ac:dyDescent="0.25">
      <c r="E354" s="52"/>
      <c r="F354" s="92" t="s">
        <v>200</v>
      </c>
      <c r="G354" s="92" t="s">
        <v>120</v>
      </c>
      <c r="J354" s="202"/>
      <c r="K354" s="221">
        <f t="shared" si="66"/>
        <v>17781.49408813944</v>
      </c>
      <c r="L354" s="221">
        <f t="shared" si="66"/>
        <v>89.773682852368651</v>
      </c>
      <c r="M354" s="221">
        <f t="shared" si="66"/>
        <v>8872.4799352594691</v>
      </c>
      <c r="N354" s="221">
        <f t="shared" si="66"/>
        <v>59.332965344726659</v>
      </c>
      <c r="O354" s="221">
        <f t="shared" si="66"/>
        <v>0.50378073179162042</v>
      </c>
      <c r="P354" s="221">
        <f t="shared" si="66"/>
        <v>1405.3229265301227</v>
      </c>
      <c r="Q354" s="202"/>
      <c r="R354" s="221">
        <f t="shared" si="67"/>
        <v>8641.960699846697</v>
      </c>
      <c r="S354" s="221">
        <f t="shared" si="67"/>
        <v>77.882999999999996</v>
      </c>
      <c r="T354" s="221">
        <f t="shared" si="67"/>
        <v>26458.666000000001</v>
      </c>
      <c r="U354" s="221">
        <f t="shared" si="67"/>
        <v>0</v>
      </c>
      <c r="V354" s="221">
        <f t="shared" si="67"/>
        <v>312.48</v>
      </c>
      <c r="W354" s="221">
        <f t="shared" si="67"/>
        <v>0</v>
      </c>
      <c r="X354" s="221">
        <f t="shared" si="67"/>
        <v>429284.261</v>
      </c>
      <c r="Y354" s="221">
        <f t="shared" si="67"/>
        <v>0</v>
      </c>
      <c r="AQ354" s="19"/>
    </row>
    <row r="355" spans="3:43" x14ac:dyDescent="0.25">
      <c r="E355" s="52"/>
      <c r="F355" s="92" t="s">
        <v>201</v>
      </c>
      <c r="G355" s="92" t="s">
        <v>120</v>
      </c>
      <c r="J355" s="202"/>
      <c r="K355" s="221">
        <f t="shared" si="66"/>
        <v>171787.63043176121</v>
      </c>
      <c r="L355" s="221">
        <f t="shared" si="66"/>
        <v>72.20746328181572</v>
      </c>
      <c r="M355" s="221">
        <f t="shared" si="66"/>
        <v>35850.647959933427</v>
      </c>
      <c r="N355" s="221">
        <f t="shared" si="66"/>
        <v>52.629377636737694</v>
      </c>
      <c r="O355" s="221">
        <f t="shared" si="66"/>
        <v>0.51812867815293817</v>
      </c>
      <c r="P355" s="221">
        <f t="shared" si="66"/>
        <v>1546.3846427787762</v>
      </c>
      <c r="Q355" s="202"/>
      <c r="R355" s="221">
        <f t="shared" si="67"/>
        <v>3872.32969751788</v>
      </c>
      <c r="S355" s="221">
        <f t="shared" si="67"/>
        <v>58.205000000000005</v>
      </c>
      <c r="T355" s="221">
        <f t="shared" si="67"/>
        <v>29713.727000000003</v>
      </c>
      <c r="U355" s="221">
        <f t="shared" si="67"/>
        <v>0</v>
      </c>
      <c r="V355" s="221">
        <f t="shared" si="67"/>
        <v>275.35399999999998</v>
      </c>
      <c r="W355" s="221">
        <f t="shared" si="67"/>
        <v>0</v>
      </c>
      <c r="X355" s="221">
        <f t="shared" si="67"/>
        <v>489264.26399999997</v>
      </c>
      <c r="Y355" s="221">
        <f t="shared" si="67"/>
        <v>0</v>
      </c>
      <c r="AQ355" s="19"/>
    </row>
    <row r="356" spans="3:43" x14ac:dyDescent="0.25">
      <c r="E356" s="52"/>
      <c r="F356" s="92" t="s">
        <v>74</v>
      </c>
      <c r="G356" s="92" t="s">
        <v>74</v>
      </c>
      <c r="J356" s="202"/>
      <c r="K356" s="221">
        <f t="shared" si="66"/>
        <v>93043.729371061141</v>
      </c>
      <c r="L356" s="221">
        <f t="shared" si="66"/>
        <v>60</v>
      </c>
      <c r="M356" s="221">
        <f t="shared" si="66"/>
        <v>5473</v>
      </c>
      <c r="N356" s="221">
        <f t="shared" si="66"/>
        <v>21</v>
      </c>
      <c r="O356" s="221">
        <f t="shared" si="66"/>
        <v>1</v>
      </c>
      <c r="P356" s="221">
        <f t="shared" si="66"/>
        <v>133</v>
      </c>
      <c r="Q356" s="202"/>
      <c r="R356" s="221">
        <f t="shared" si="67"/>
        <v>1153</v>
      </c>
      <c r="S356" s="221">
        <f t="shared" si="67"/>
        <v>4</v>
      </c>
      <c r="T356" s="221">
        <f t="shared" si="67"/>
        <v>496</v>
      </c>
      <c r="U356" s="221">
        <f t="shared" si="67"/>
        <v>0</v>
      </c>
      <c r="V356" s="221">
        <f t="shared" si="67"/>
        <v>9</v>
      </c>
      <c r="W356" s="221">
        <f t="shared" si="67"/>
        <v>0</v>
      </c>
      <c r="X356" s="221">
        <f t="shared" si="67"/>
        <v>261</v>
      </c>
      <c r="Y356" s="221">
        <f t="shared" si="67"/>
        <v>0</v>
      </c>
      <c r="AQ356" s="19"/>
    </row>
    <row r="357" spans="3:43" x14ac:dyDescent="0.25">
      <c r="E357" s="52"/>
      <c r="F357" s="92" t="s">
        <v>202</v>
      </c>
      <c r="G357" s="92" t="s">
        <v>169</v>
      </c>
      <c r="J357" s="202"/>
      <c r="K357" s="221">
        <f t="shared" si="66"/>
        <v>0</v>
      </c>
      <c r="L357" s="221">
        <f t="shared" si="66"/>
        <v>0</v>
      </c>
      <c r="M357" s="221">
        <f t="shared" si="66"/>
        <v>0</v>
      </c>
      <c r="N357" s="221">
        <f t="shared" si="66"/>
        <v>952</v>
      </c>
      <c r="O357" s="221">
        <f t="shared" si="66"/>
        <v>8</v>
      </c>
      <c r="P357" s="221">
        <f t="shared" si="66"/>
        <v>7676</v>
      </c>
      <c r="Q357" s="202"/>
      <c r="R357" s="221">
        <f t="shared" si="67"/>
        <v>0</v>
      </c>
      <c r="S357" s="221">
        <f t="shared" si="67"/>
        <v>0</v>
      </c>
      <c r="T357" s="221">
        <f t="shared" si="67"/>
        <v>0</v>
      </c>
      <c r="U357" s="221">
        <f t="shared" si="67"/>
        <v>0</v>
      </c>
      <c r="V357" s="221">
        <f t="shared" si="67"/>
        <v>0</v>
      </c>
      <c r="W357" s="221">
        <f t="shared" si="67"/>
        <v>0</v>
      </c>
      <c r="X357" s="221">
        <f t="shared" si="67"/>
        <v>0</v>
      </c>
      <c r="Y357" s="221">
        <f t="shared" si="67"/>
        <v>0</v>
      </c>
      <c r="AQ357" s="19"/>
    </row>
    <row r="358" spans="3:43" x14ac:dyDescent="0.25">
      <c r="E358" s="52"/>
      <c r="F358" s="92" t="s">
        <v>203</v>
      </c>
      <c r="G358" s="92" t="s">
        <v>169</v>
      </c>
      <c r="J358" s="202"/>
      <c r="K358" s="221">
        <f t="shared" si="66"/>
        <v>0</v>
      </c>
      <c r="L358" s="221">
        <f t="shared" si="66"/>
        <v>0</v>
      </c>
      <c r="M358" s="221">
        <f t="shared" si="66"/>
        <v>0</v>
      </c>
      <c r="N358" s="221">
        <f t="shared" si="66"/>
        <v>42</v>
      </c>
      <c r="O358" s="221">
        <f t="shared" si="66"/>
        <v>5</v>
      </c>
      <c r="P358" s="221">
        <f t="shared" si="66"/>
        <v>744</v>
      </c>
      <c r="Q358" s="202"/>
      <c r="R358" s="221">
        <f t="shared" si="67"/>
        <v>0</v>
      </c>
      <c r="S358" s="221">
        <f t="shared" si="67"/>
        <v>0</v>
      </c>
      <c r="T358" s="221">
        <f t="shared" si="67"/>
        <v>0</v>
      </c>
      <c r="U358" s="221">
        <f t="shared" si="67"/>
        <v>0</v>
      </c>
      <c r="V358" s="221">
        <f t="shared" si="67"/>
        <v>0</v>
      </c>
      <c r="W358" s="221">
        <f t="shared" si="67"/>
        <v>0</v>
      </c>
      <c r="X358" s="221">
        <f t="shared" si="67"/>
        <v>0</v>
      </c>
      <c r="Y358" s="221">
        <f t="shared" si="67"/>
        <v>0</v>
      </c>
      <c r="AQ358" s="19"/>
    </row>
    <row r="359" spans="3:43" x14ac:dyDescent="0.25">
      <c r="E359" s="52"/>
      <c r="F359" s="34" t="s">
        <v>204</v>
      </c>
      <c r="G359" s="34" t="s">
        <v>170</v>
      </c>
      <c r="H359" s="17"/>
      <c r="I359" s="17"/>
      <c r="J359" s="203"/>
      <c r="K359" s="225">
        <f t="shared" si="66"/>
        <v>0</v>
      </c>
      <c r="L359" s="225">
        <f t="shared" si="66"/>
        <v>0</v>
      </c>
      <c r="M359" s="225">
        <f t="shared" si="66"/>
        <v>0</v>
      </c>
      <c r="N359" s="225">
        <f t="shared" si="66"/>
        <v>64.055000000000007</v>
      </c>
      <c r="O359" s="225">
        <f t="shared" si="66"/>
        <v>2.2480000000000002</v>
      </c>
      <c r="P359" s="225">
        <f t="shared" si="66"/>
        <v>1213.202</v>
      </c>
      <c r="Q359" s="203"/>
      <c r="R359" s="225">
        <f t="shared" si="67"/>
        <v>0</v>
      </c>
      <c r="S359" s="225">
        <f t="shared" si="67"/>
        <v>0</v>
      </c>
      <c r="T359" s="225">
        <f t="shared" si="67"/>
        <v>5379.1220000000003</v>
      </c>
      <c r="U359" s="225">
        <f t="shared" si="67"/>
        <v>0</v>
      </c>
      <c r="V359" s="225">
        <f t="shared" si="67"/>
        <v>157.29499999999999</v>
      </c>
      <c r="W359" s="225">
        <f t="shared" si="67"/>
        <v>0</v>
      </c>
      <c r="X359" s="225">
        <f t="shared" si="67"/>
        <v>20692.973000000002</v>
      </c>
      <c r="Y359" s="225">
        <f t="shared" si="67"/>
        <v>0</v>
      </c>
      <c r="AQ359" s="19"/>
    </row>
    <row r="360" spans="3:43" x14ac:dyDescent="0.25">
      <c r="AQ360" s="19"/>
    </row>
    <row r="361" spans="3:43" x14ac:dyDescent="0.25">
      <c r="C361" s="5" t="str">
        <f ca="1">INDEX('Version control'!$H$36:$H$62,MATCH($A$1,'Version control'!$F$36:$F$62,0),1)&amp;"-E: Residual band 1 volume discounting"</f>
        <v>Section 507-E: Residual band 1 volume discounting</v>
      </c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Q361" s="19"/>
    </row>
    <row r="362" spans="3:43" x14ac:dyDescent="0.25">
      <c r="C362" s="52"/>
      <c r="AQ362" s="19"/>
    </row>
    <row r="363" spans="3:43" x14ac:dyDescent="0.25">
      <c r="E363" s="52" t="s">
        <v>1080</v>
      </c>
      <c r="G363" s="91"/>
      <c r="I363" t="s">
        <v>359</v>
      </c>
      <c r="AQ363" s="19"/>
    </row>
    <row r="364" spans="3:43" x14ac:dyDescent="0.25">
      <c r="E364" s="52"/>
      <c r="F364" s="38" t="s">
        <v>199</v>
      </c>
      <c r="G364" s="38" t="s">
        <v>120</v>
      </c>
      <c r="H364" s="80"/>
      <c r="I364" s="80"/>
      <c r="J364" s="224">
        <f t="shared" ref="J364:J370" si="68">(1 - J315) * J114</f>
        <v>11926.337840063808</v>
      </c>
      <c r="K364" s="201"/>
      <c r="L364" s="224">
        <f t="shared" ref="L364:L370" si="69">(1 - L315) * L114</f>
        <v>104.93862165904007</v>
      </c>
      <c r="M364" s="201"/>
      <c r="N364" s="224">
        <f t="shared" ref="N364:Q370" si="70">(1 - N315) * N114</f>
        <v>110.70057348467938</v>
      </c>
      <c r="O364" s="224">
        <f t="shared" si="70"/>
        <v>0</v>
      </c>
      <c r="P364" s="224">
        <f t="shared" si="70"/>
        <v>0</v>
      </c>
      <c r="Q364" s="224">
        <f t="shared" si="70"/>
        <v>16.339273532534982</v>
      </c>
      <c r="R364" s="201"/>
      <c r="S364" s="201"/>
      <c r="T364" s="201"/>
      <c r="U364" s="201"/>
      <c r="V364" s="201"/>
      <c r="W364" s="201"/>
      <c r="X364" s="201"/>
      <c r="Y364" s="201"/>
      <c r="AQ364" s="19"/>
    </row>
    <row r="365" spans="3:43" x14ac:dyDescent="0.25">
      <c r="E365" s="52"/>
      <c r="F365" s="92" t="s">
        <v>200</v>
      </c>
      <c r="G365" s="92" t="s">
        <v>120</v>
      </c>
      <c r="J365" s="221">
        <f t="shared" si="68"/>
        <v>41285.231669412082</v>
      </c>
      <c r="K365" s="202"/>
      <c r="L365" s="221">
        <f t="shared" si="69"/>
        <v>543.62525003065366</v>
      </c>
      <c r="M365" s="202"/>
      <c r="N365" s="221">
        <f t="shared" si="70"/>
        <v>498.64949848520962</v>
      </c>
      <c r="O365" s="221">
        <f t="shared" si="70"/>
        <v>0</v>
      </c>
      <c r="P365" s="221">
        <f t="shared" si="70"/>
        <v>0</v>
      </c>
      <c r="Q365" s="221">
        <f t="shared" si="70"/>
        <v>183.3565422498823</v>
      </c>
      <c r="R365" s="202"/>
      <c r="S365" s="202"/>
      <c r="T365" s="202"/>
      <c r="U365" s="202"/>
      <c r="V365" s="202"/>
      <c r="W365" s="202"/>
      <c r="X365" s="202"/>
      <c r="Y365" s="202"/>
      <c r="AQ365" s="19"/>
    </row>
    <row r="366" spans="3:43" x14ac:dyDescent="0.25">
      <c r="E366" s="52"/>
      <c r="F366" s="92" t="s">
        <v>201</v>
      </c>
      <c r="G366" s="92" t="s">
        <v>120</v>
      </c>
      <c r="J366" s="221">
        <f t="shared" si="68"/>
        <v>36701.80338236181</v>
      </c>
      <c r="K366" s="202"/>
      <c r="L366" s="221">
        <f t="shared" si="69"/>
        <v>412.74569558812073</v>
      </c>
      <c r="M366" s="202"/>
      <c r="N366" s="221">
        <f t="shared" si="70"/>
        <v>444.84217397665492</v>
      </c>
      <c r="O366" s="221">
        <f t="shared" si="70"/>
        <v>0</v>
      </c>
      <c r="P366" s="221">
        <f t="shared" si="70"/>
        <v>0</v>
      </c>
      <c r="Q366" s="221">
        <f t="shared" si="70"/>
        <v>196.91190602706942</v>
      </c>
      <c r="R366" s="202"/>
      <c r="S366" s="202"/>
      <c r="T366" s="202"/>
      <c r="U366" s="202"/>
      <c r="V366" s="202"/>
      <c r="W366" s="202"/>
      <c r="X366" s="202"/>
      <c r="Y366" s="202"/>
      <c r="AQ366" s="19"/>
    </row>
    <row r="367" spans="3:43" x14ac:dyDescent="0.25">
      <c r="E367" s="52"/>
      <c r="F367" s="92" t="s">
        <v>74</v>
      </c>
      <c r="G367" s="92" t="s">
        <v>74</v>
      </c>
      <c r="J367" s="221">
        <f t="shared" si="68"/>
        <v>32873.100279250299</v>
      </c>
      <c r="K367" s="202"/>
      <c r="L367" s="221">
        <f t="shared" si="69"/>
        <v>379.4101338534519</v>
      </c>
      <c r="M367" s="202"/>
      <c r="N367" s="221">
        <f t="shared" si="70"/>
        <v>17.812682340537648</v>
      </c>
      <c r="O367" s="221">
        <f t="shared" si="70"/>
        <v>0</v>
      </c>
      <c r="P367" s="221">
        <f t="shared" si="70"/>
        <v>0</v>
      </c>
      <c r="Q367" s="221">
        <f t="shared" si="70"/>
        <v>42.156681539272434</v>
      </c>
      <c r="R367" s="202"/>
      <c r="S367" s="202"/>
      <c r="T367" s="202"/>
      <c r="U367" s="202"/>
      <c r="V367" s="202"/>
      <c r="W367" s="202"/>
      <c r="X367" s="202"/>
      <c r="Y367" s="202"/>
      <c r="AQ367" s="19"/>
    </row>
    <row r="368" spans="3:43" x14ac:dyDescent="0.25">
      <c r="E368" s="52"/>
      <c r="F368" s="92" t="s">
        <v>202</v>
      </c>
      <c r="G368" s="92" t="s">
        <v>169</v>
      </c>
      <c r="J368" s="221">
        <f t="shared" si="68"/>
        <v>0</v>
      </c>
      <c r="K368" s="202"/>
      <c r="L368" s="221">
        <f t="shared" si="69"/>
        <v>0</v>
      </c>
      <c r="M368" s="202"/>
      <c r="N368" s="221">
        <f t="shared" si="70"/>
        <v>884.69655624670327</v>
      </c>
      <c r="O368" s="221">
        <f t="shared" si="70"/>
        <v>0</v>
      </c>
      <c r="P368" s="221">
        <f t="shared" si="70"/>
        <v>0</v>
      </c>
      <c r="Q368" s="221">
        <f t="shared" si="70"/>
        <v>0</v>
      </c>
      <c r="R368" s="202"/>
      <c r="S368" s="202"/>
      <c r="T368" s="202"/>
      <c r="U368" s="202"/>
      <c r="V368" s="202"/>
      <c r="W368" s="202"/>
      <c r="X368" s="202"/>
      <c r="Y368" s="202"/>
      <c r="AQ368" s="19"/>
    </row>
    <row r="369" spans="5:43" x14ac:dyDescent="0.25">
      <c r="E369" s="52"/>
      <c r="F369" s="92" t="s">
        <v>203</v>
      </c>
      <c r="G369" s="92" t="s">
        <v>169</v>
      </c>
      <c r="J369" s="221">
        <f t="shared" si="68"/>
        <v>0</v>
      </c>
      <c r="K369" s="202"/>
      <c r="L369" s="221">
        <f t="shared" si="69"/>
        <v>0</v>
      </c>
      <c r="M369" s="202"/>
      <c r="N369" s="221">
        <f t="shared" si="70"/>
        <v>2.9687803900896084</v>
      </c>
      <c r="O369" s="221">
        <f t="shared" si="70"/>
        <v>0</v>
      </c>
      <c r="P369" s="221">
        <f t="shared" si="70"/>
        <v>0</v>
      </c>
      <c r="Q369" s="221">
        <f t="shared" si="70"/>
        <v>0</v>
      </c>
      <c r="R369" s="202"/>
      <c r="S369" s="202"/>
      <c r="T369" s="202"/>
      <c r="U369" s="202"/>
      <c r="V369" s="202"/>
      <c r="W369" s="202"/>
      <c r="X369" s="202"/>
      <c r="Y369" s="202"/>
      <c r="AQ369" s="19"/>
    </row>
    <row r="370" spans="5:43" x14ac:dyDescent="0.25">
      <c r="E370" s="52"/>
      <c r="F370" s="34" t="s">
        <v>204</v>
      </c>
      <c r="G370" s="34" t="s">
        <v>170</v>
      </c>
      <c r="H370" s="17"/>
      <c r="I370" s="17"/>
      <c r="J370" s="225">
        <f t="shared" si="68"/>
        <v>0</v>
      </c>
      <c r="K370" s="203"/>
      <c r="L370" s="225">
        <f t="shared" si="69"/>
        <v>0</v>
      </c>
      <c r="M370" s="203"/>
      <c r="N370" s="225">
        <f t="shared" si="70"/>
        <v>59.045479422414203</v>
      </c>
      <c r="O370" s="225">
        <f t="shared" si="70"/>
        <v>0</v>
      </c>
      <c r="P370" s="225">
        <f t="shared" si="70"/>
        <v>0</v>
      </c>
      <c r="Q370" s="225">
        <f t="shared" si="70"/>
        <v>0</v>
      </c>
      <c r="R370" s="203"/>
      <c r="S370" s="203"/>
      <c r="T370" s="203"/>
      <c r="U370" s="203"/>
      <c r="V370" s="203"/>
      <c r="W370" s="203"/>
      <c r="X370" s="203"/>
      <c r="Y370" s="203"/>
      <c r="AQ370" s="19"/>
    </row>
    <row r="371" spans="5:43" x14ac:dyDescent="0.25">
      <c r="AQ371" s="19"/>
    </row>
    <row r="372" spans="5:43" x14ac:dyDescent="0.25">
      <c r="E372" s="52" t="s">
        <v>1081</v>
      </c>
      <c r="G372" s="91"/>
      <c r="I372" t="s">
        <v>359</v>
      </c>
      <c r="AQ372" s="19"/>
    </row>
    <row r="373" spans="5:43" x14ac:dyDescent="0.25">
      <c r="E373" s="52"/>
      <c r="F373" s="38" t="s">
        <v>199</v>
      </c>
      <c r="G373" s="38" t="s">
        <v>120</v>
      </c>
      <c r="H373" s="80"/>
      <c r="I373" s="80"/>
      <c r="J373" s="224">
        <f t="shared" ref="J373:J379" si="71">(1 - J324) * J161</f>
        <v>12822.278841129551</v>
      </c>
      <c r="K373" s="201"/>
      <c r="L373" s="224">
        <f t="shared" ref="L373:L379" si="72">(1 - L324) * L161</f>
        <v>89.733323749631211</v>
      </c>
      <c r="M373" s="201"/>
      <c r="N373" s="224">
        <f t="shared" ref="N373:Q379" si="73">(1 - N324) * N161</f>
        <v>287.09276299958992</v>
      </c>
      <c r="O373" s="224">
        <f t="shared" si="73"/>
        <v>0</v>
      </c>
      <c r="P373" s="224">
        <f t="shared" si="73"/>
        <v>308.76022744858551</v>
      </c>
      <c r="Q373" s="224">
        <f t="shared" si="73"/>
        <v>9.7045991487567314</v>
      </c>
      <c r="R373" s="201"/>
      <c r="S373" s="201"/>
      <c r="T373" s="201"/>
      <c r="U373" s="201"/>
      <c r="V373" s="201"/>
      <c r="W373" s="201"/>
      <c r="X373" s="201"/>
      <c r="Y373" s="201"/>
      <c r="AQ373" s="19"/>
    </row>
    <row r="374" spans="5:43" x14ac:dyDescent="0.25">
      <c r="E374" s="52"/>
      <c r="F374" s="92" t="s">
        <v>200</v>
      </c>
      <c r="G374" s="92" t="s">
        <v>120</v>
      </c>
      <c r="J374" s="221">
        <f t="shared" si="71"/>
        <v>43912.05621435761</v>
      </c>
      <c r="K374" s="202"/>
      <c r="L374" s="221">
        <f t="shared" si="72"/>
        <v>465.61574403294179</v>
      </c>
      <c r="M374" s="202"/>
      <c r="N374" s="221">
        <f t="shared" si="73"/>
        <v>1269.1918614828814</v>
      </c>
      <c r="O374" s="221">
        <f t="shared" si="73"/>
        <v>0</v>
      </c>
      <c r="P374" s="221">
        <f t="shared" si="73"/>
        <v>1366.6468973407152</v>
      </c>
      <c r="Q374" s="221">
        <f t="shared" si="73"/>
        <v>115.75291138090707</v>
      </c>
      <c r="R374" s="202"/>
      <c r="S374" s="202"/>
      <c r="T374" s="202"/>
      <c r="U374" s="202"/>
      <c r="V374" s="202"/>
      <c r="W374" s="202"/>
      <c r="X374" s="202"/>
      <c r="Y374" s="202"/>
      <c r="AQ374" s="19"/>
    </row>
    <row r="375" spans="5:43" x14ac:dyDescent="0.25">
      <c r="E375" s="52"/>
      <c r="F375" s="92" t="s">
        <v>201</v>
      </c>
      <c r="G375" s="92" t="s">
        <v>120</v>
      </c>
      <c r="J375" s="221">
        <f t="shared" si="71"/>
        <v>39330.550730936586</v>
      </c>
      <c r="K375" s="202"/>
      <c r="L375" s="221">
        <f t="shared" si="72"/>
        <v>363.17535737586854</v>
      </c>
      <c r="M375" s="202"/>
      <c r="N375" s="221">
        <f t="shared" si="73"/>
        <v>1155.9216327040172</v>
      </c>
      <c r="O375" s="221">
        <f t="shared" si="73"/>
        <v>0</v>
      </c>
      <c r="P375" s="221">
        <f t="shared" si="73"/>
        <v>1601.7907249359037</v>
      </c>
      <c r="Q375" s="221">
        <f t="shared" si="73"/>
        <v>133.14866858557352</v>
      </c>
      <c r="R375" s="202"/>
      <c r="S375" s="202"/>
      <c r="T375" s="202"/>
      <c r="U375" s="202"/>
      <c r="V375" s="202"/>
      <c r="W375" s="202"/>
      <c r="X375" s="202"/>
      <c r="Y375" s="202"/>
      <c r="AQ375" s="19"/>
    </row>
    <row r="376" spans="5:43" x14ac:dyDescent="0.25">
      <c r="E376" s="52"/>
      <c r="F376" s="92" t="s">
        <v>74</v>
      </c>
      <c r="G376" s="92" t="s">
        <v>74</v>
      </c>
      <c r="J376" s="221">
        <f t="shared" si="71"/>
        <v>33110.434898837753</v>
      </c>
      <c r="K376" s="202"/>
      <c r="L376" s="221">
        <f t="shared" si="72"/>
        <v>230.69309896144856</v>
      </c>
      <c r="M376" s="202"/>
      <c r="N376" s="221">
        <f t="shared" si="73"/>
        <v>34.977318241173634</v>
      </c>
      <c r="O376" s="221">
        <f t="shared" si="73"/>
        <v>0</v>
      </c>
      <c r="P376" s="221">
        <f t="shared" si="73"/>
        <v>6.8457428420986552</v>
      </c>
      <c r="Q376" s="221">
        <f t="shared" si="73"/>
        <v>27.903253877790203</v>
      </c>
      <c r="R376" s="202"/>
      <c r="S376" s="202"/>
      <c r="T376" s="202"/>
      <c r="U376" s="202"/>
      <c r="V376" s="202"/>
      <c r="W376" s="202"/>
      <c r="X376" s="202"/>
      <c r="Y376" s="202"/>
      <c r="AQ376" s="19"/>
    </row>
    <row r="377" spans="5:43" x14ac:dyDescent="0.25">
      <c r="E377" s="52"/>
      <c r="F377" s="92" t="s">
        <v>202</v>
      </c>
      <c r="G377" s="92" t="s">
        <v>169</v>
      </c>
      <c r="J377" s="221">
        <f t="shared" si="71"/>
        <v>0</v>
      </c>
      <c r="K377" s="202"/>
      <c r="L377" s="221">
        <f t="shared" si="72"/>
        <v>0</v>
      </c>
      <c r="M377" s="202"/>
      <c r="N377" s="221">
        <f t="shared" si="73"/>
        <v>1949.2977356878789</v>
      </c>
      <c r="O377" s="221">
        <f t="shared" si="73"/>
        <v>0</v>
      </c>
      <c r="P377" s="221">
        <f t="shared" si="73"/>
        <v>2086.430290652957</v>
      </c>
      <c r="Q377" s="221">
        <f t="shared" si="73"/>
        <v>0</v>
      </c>
      <c r="R377" s="202"/>
      <c r="S377" s="202"/>
      <c r="T377" s="202"/>
      <c r="U377" s="202"/>
      <c r="V377" s="202"/>
      <c r="W377" s="202"/>
      <c r="X377" s="202"/>
      <c r="Y377" s="202"/>
      <c r="AQ377" s="19"/>
    </row>
    <row r="378" spans="5:43" x14ac:dyDescent="0.25">
      <c r="E378" s="52"/>
      <c r="F378" s="92" t="s">
        <v>203</v>
      </c>
      <c r="G378" s="92" t="s">
        <v>169</v>
      </c>
      <c r="J378" s="221">
        <f t="shared" si="71"/>
        <v>0</v>
      </c>
      <c r="K378" s="202"/>
      <c r="L378" s="221">
        <f t="shared" si="72"/>
        <v>0</v>
      </c>
      <c r="M378" s="202"/>
      <c r="N378" s="221">
        <f t="shared" si="73"/>
        <v>4.7160429089222875</v>
      </c>
      <c r="O378" s="221">
        <f t="shared" si="73"/>
        <v>0</v>
      </c>
      <c r="P378" s="221">
        <f t="shared" si="73"/>
        <v>9.1276571227982064</v>
      </c>
      <c r="Q378" s="221">
        <f t="shared" si="73"/>
        <v>0</v>
      </c>
      <c r="R378" s="202"/>
      <c r="S378" s="202"/>
      <c r="T378" s="202"/>
      <c r="U378" s="202"/>
      <c r="V378" s="202"/>
      <c r="W378" s="202"/>
      <c r="X378" s="202"/>
      <c r="Y378" s="202"/>
      <c r="AQ378" s="19"/>
    </row>
    <row r="379" spans="5:43" x14ac:dyDescent="0.25">
      <c r="E379" s="52"/>
      <c r="F379" s="34" t="s">
        <v>204</v>
      </c>
      <c r="G379" s="34" t="s">
        <v>170</v>
      </c>
      <c r="H379" s="17"/>
      <c r="I379" s="17"/>
      <c r="J379" s="225">
        <f t="shared" si="71"/>
        <v>0</v>
      </c>
      <c r="K379" s="203"/>
      <c r="L379" s="225">
        <f t="shared" si="72"/>
        <v>0</v>
      </c>
      <c r="M379" s="203"/>
      <c r="N379" s="225">
        <f t="shared" si="73"/>
        <v>131.70689533535145</v>
      </c>
      <c r="O379" s="225">
        <f t="shared" si="73"/>
        <v>0</v>
      </c>
      <c r="P379" s="225">
        <f t="shared" si="73"/>
        <v>105.75379606283359</v>
      </c>
      <c r="Q379" s="225">
        <f t="shared" si="73"/>
        <v>0</v>
      </c>
      <c r="R379" s="203"/>
      <c r="S379" s="203"/>
      <c r="T379" s="203"/>
      <c r="U379" s="203"/>
      <c r="V379" s="203"/>
      <c r="W379" s="203"/>
      <c r="X379" s="203"/>
      <c r="Y379" s="203"/>
      <c r="AQ379" s="19"/>
    </row>
    <row r="380" spans="5:43" x14ac:dyDescent="0.25">
      <c r="AQ380" s="19"/>
    </row>
    <row r="381" spans="5:43" x14ac:dyDescent="0.25">
      <c r="E381" s="52" t="s">
        <v>1082</v>
      </c>
      <c r="G381" s="91"/>
      <c r="I381" t="s">
        <v>359</v>
      </c>
      <c r="AQ381" s="19"/>
    </row>
    <row r="382" spans="5:43" x14ac:dyDescent="0.25">
      <c r="E382" s="52"/>
      <c r="F382" s="38" t="s">
        <v>199</v>
      </c>
      <c r="G382" s="38" t="s">
        <v>120</v>
      </c>
      <c r="H382" s="80"/>
      <c r="I382" s="80"/>
      <c r="J382" s="224">
        <f t="shared" ref="J382:J388" si="74">J67+J364+J373</f>
        <v>715414.14424724563</v>
      </c>
      <c r="K382" s="201"/>
      <c r="L382" s="224">
        <f t="shared" ref="L382:L388" si="75">L67+L364+L373</f>
        <v>16830.933999091732</v>
      </c>
      <c r="M382" s="201"/>
      <c r="N382" s="224">
        <f t="shared" ref="N382:Q388" si="76">N67+N364+N373</f>
        <v>46169.335329102898</v>
      </c>
      <c r="O382" s="224">
        <f t="shared" si="76"/>
        <v>138.40406993184831</v>
      </c>
      <c r="P382" s="224">
        <f t="shared" si="76"/>
        <v>17133.920595490683</v>
      </c>
      <c r="Q382" s="224">
        <f t="shared" si="76"/>
        <v>11206.576663337462</v>
      </c>
      <c r="R382" s="201"/>
      <c r="S382" s="201"/>
      <c r="T382" s="201"/>
      <c r="U382" s="201"/>
      <c r="V382" s="201"/>
      <c r="W382" s="201"/>
      <c r="X382" s="201"/>
      <c r="Y382" s="201"/>
      <c r="AQ382" s="19"/>
    </row>
    <row r="383" spans="5:43" x14ac:dyDescent="0.25">
      <c r="E383" s="52"/>
      <c r="F383" s="92" t="s">
        <v>200</v>
      </c>
      <c r="G383" s="92" t="s">
        <v>120</v>
      </c>
      <c r="J383" s="221">
        <f t="shared" si="74"/>
        <v>2461960.7706021941</v>
      </c>
      <c r="K383" s="202"/>
      <c r="L383" s="221">
        <f t="shared" si="75"/>
        <v>86556.315062413807</v>
      </c>
      <c r="M383" s="202"/>
      <c r="N383" s="221">
        <f t="shared" si="76"/>
        <v>221364.34504091096</v>
      </c>
      <c r="O383" s="221">
        <f t="shared" si="76"/>
        <v>645.06358599246971</v>
      </c>
      <c r="P383" s="221">
        <f t="shared" si="76"/>
        <v>79401.494073673166</v>
      </c>
      <c r="Q383" s="221">
        <f t="shared" si="76"/>
        <v>64706.530073099166</v>
      </c>
      <c r="R383" s="202"/>
      <c r="S383" s="202"/>
      <c r="T383" s="202"/>
      <c r="U383" s="202"/>
      <c r="V383" s="202"/>
      <c r="W383" s="202"/>
      <c r="X383" s="202"/>
      <c r="Y383" s="202"/>
      <c r="AQ383" s="19"/>
    </row>
    <row r="384" spans="5:43" x14ac:dyDescent="0.25">
      <c r="E384" s="52"/>
      <c r="F384" s="92" t="s">
        <v>201</v>
      </c>
      <c r="G384" s="92" t="s">
        <v>120</v>
      </c>
      <c r="J384" s="221">
        <f t="shared" si="74"/>
        <v>2333226.662709387</v>
      </c>
      <c r="K384" s="202"/>
      <c r="L384" s="221">
        <f t="shared" si="75"/>
        <v>69583.805651119197</v>
      </c>
      <c r="M384" s="202"/>
      <c r="N384" s="221">
        <f t="shared" si="76"/>
        <v>196386.70199102216</v>
      </c>
      <c r="O384" s="221">
        <f t="shared" si="76"/>
        <v>663.435344075682</v>
      </c>
      <c r="P384" s="221">
        <f t="shared" si="76"/>
        <v>87469.520480843115</v>
      </c>
      <c r="Q384" s="221">
        <f t="shared" si="76"/>
        <v>148914.11944191009</v>
      </c>
      <c r="R384" s="202"/>
      <c r="S384" s="202"/>
      <c r="T384" s="202"/>
      <c r="U384" s="202"/>
      <c r="V384" s="202"/>
      <c r="W384" s="202"/>
      <c r="X384" s="202"/>
      <c r="Y384" s="202"/>
      <c r="AQ384" s="19"/>
    </row>
    <row r="385" spans="3:43" x14ac:dyDescent="0.25">
      <c r="E385" s="52"/>
      <c r="F385" s="92" t="s">
        <v>74</v>
      </c>
      <c r="G385" s="92" t="s">
        <v>74</v>
      </c>
      <c r="J385" s="221">
        <f t="shared" si="74"/>
        <v>1924111.5351780879</v>
      </c>
      <c r="K385" s="202"/>
      <c r="L385" s="221">
        <f t="shared" si="75"/>
        <v>47213.103232814901</v>
      </c>
      <c r="M385" s="202"/>
      <c r="N385" s="221">
        <f t="shared" si="76"/>
        <v>4576.790000581711</v>
      </c>
      <c r="O385" s="221">
        <f t="shared" si="76"/>
        <v>10</v>
      </c>
      <c r="P385" s="221">
        <f t="shared" si="76"/>
        <v>362.84574284209867</v>
      </c>
      <c r="Q385" s="221">
        <f t="shared" si="76"/>
        <v>4874.0599354170627</v>
      </c>
      <c r="R385" s="202"/>
      <c r="S385" s="202"/>
      <c r="T385" s="202"/>
      <c r="U385" s="202"/>
      <c r="V385" s="202"/>
      <c r="W385" s="202"/>
      <c r="X385" s="202"/>
      <c r="Y385" s="202"/>
      <c r="AQ385" s="19"/>
    </row>
    <row r="386" spans="3:43" x14ac:dyDescent="0.25">
      <c r="E386" s="52"/>
      <c r="F386" s="92" t="s">
        <v>202</v>
      </c>
      <c r="G386" s="92" t="s">
        <v>169</v>
      </c>
      <c r="J386" s="221">
        <f t="shared" si="74"/>
        <v>0</v>
      </c>
      <c r="K386" s="202"/>
      <c r="L386" s="221">
        <f t="shared" si="75"/>
        <v>0</v>
      </c>
      <c r="M386" s="202"/>
      <c r="N386" s="221">
        <f t="shared" si="76"/>
        <v>256462.99429193456</v>
      </c>
      <c r="O386" s="221">
        <f t="shared" si="76"/>
        <v>456</v>
      </c>
      <c r="P386" s="221">
        <f t="shared" si="76"/>
        <v>73715.430290652963</v>
      </c>
      <c r="Q386" s="221">
        <f t="shared" si="76"/>
        <v>0</v>
      </c>
      <c r="R386" s="202"/>
      <c r="S386" s="202"/>
      <c r="T386" s="202"/>
      <c r="U386" s="202"/>
      <c r="V386" s="202"/>
      <c r="W386" s="202"/>
      <c r="X386" s="202"/>
      <c r="Y386" s="202"/>
      <c r="AQ386" s="19"/>
    </row>
    <row r="387" spans="3:43" x14ac:dyDescent="0.25">
      <c r="E387" s="52"/>
      <c r="F387" s="92" t="s">
        <v>203</v>
      </c>
      <c r="G387" s="92" t="s">
        <v>169</v>
      </c>
      <c r="J387" s="221">
        <f t="shared" si="74"/>
        <v>0</v>
      </c>
      <c r="K387" s="202"/>
      <c r="L387" s="221">
        <f t="shared" si="75"/>
        <v>0</v>
      </c>
      <c r="M387" s="202"/>
      <c r="N387" s="221">
        <f t="shared" si="76"/>
        <v>12248.684823299011</v>
      </c>
      <c r="O387" s="221">
        <f t="shared" si="76"/>
        <v>302</v>
      </c>
      <c r="P387" s="221">
        <f t="shared" si="76"/>
        <v>5855.1276571227982</v>
      </c>
      <c r="Q387" s="221">
        <f t="shared" si="76"/>
        <v>0</v>
      </c>
      <c r="R387" s="202"/>
      <c r="S387" s="202"/>
      <c r="T387" s="202"/>
      <c r="U387" s="202"/>
      <c r="V387" s="202"/>
      <c r="W387" s="202"/>
      <c r="X387" s="202"/>
      <c r="Y387" s="202"/>
      <c r="AQ387" s="19"/>
    </row>
    <row r="388" spans="3:43" x14ac:dyDescent="0.25">
      <c r="E388" s="52"/>
      <c r="F388" s="34" t="s">
        <v>204</v>
      </c>
      <c r="G388" s="34" t="s">
        <v>170</v>
      </c>
      <c r="H388" s="17"/>
      <c r="I388" s="17"/>
      <c r="J388" s="225">
        <f t="shared" si="74"/>
        <v>0</v>
      </c>
      <c r="K388" s="203"/>
      <c r="L388" s="225">
        <f t="shared" si="75"/>
        <v>0</v>
      </c>
      <c r="M388" s="203"/>
      <c r="N388" s="225">
        <f t="shared" si="76"/>
        <v>48337.155374757764</v>
      </c>
      <c r="O388" s="225">
        <f t="shared" si="76"/>
        <v>502.32499999999999</v>
      </c>
      <c r="P388" s="225">
        <f t="shared" si="76"/>
        <v>24418.754796062833</v>
      </c>
      <c r="Q388" s="225">
        <f t="shared" si="76"/>
        <v>0</v>
      </c>
      <c r="R388" s="203"/>
      <c r="S388" s="203"/>
      <c r="T388" s="203"/>
      <c r="U388" s="203"/>
      <c r="V388" s="203"/>
      <c r="W388" s="203"/>
      <c r="X388" s="203"/>
      <c r="Y388" s="203"/>
      <c r="AQ388" s="19"/>
    </row>
    <row r="389" spans="3:43" x14ac:dyDescent="0.25">
      <c r="AQ389" s="19"/>
    </row>
    <row r="390" spans="3:43" x14ac:dyDescent="0.25">
      <c r="C390" s="5" t="str">
        <f ca="1">INDEX('Version control'!$H$36:$H$62,MATCH($A$1,'Version control'!$F$36:$F$62,0),1)&amp;"-F: Residual band 2 volume discounting"</f>
        <v>Section 507-F: Residual band 2 volume discounting</v>
      </c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Q390" s="19"/>
    </row>
    <row r="391" spans="3:43" x14ac:dyDescent="0.25">
      <c r="C391" s="52"/>
      <c r="AQ391" s="19"/>
    </row>
    <row r="392" spans="3:43" x14ac:dyDescent="0.25">
      <c r="E392" s="52" t="s">
        <v>1083</v>
      </c>
      <c r="G392" s="91"/>
      <c r="I392" t="s">
        <v>359</v>
      </c>
      <c r="AQ392" s="19"/>
    </row>
    <row r="393" spans="3:43" x14ac:dyDescent="0.25">
      <c r="E393" s="52"/>
      <c r="F393" s="38" t="s">
        <v>199</v>
      </c>
      <c r="G393" s="38" t="s">
        <v>120</v>
      </c>
      <c r="H393" s="80"/>
      <c r="I393" s="80"/>
      <c r="J393" s="201"/>
      <c r="K393" s="201"/>
      <c r="L393" s="224">
        <f t="shared" ref="L393:L399" si="77">(1 - L315) * L123</f>
        <v>139.20944230672245</v>
      </c>
      <c r="M393" s="201"/>
      <c r="N393" s="224">
        <f t="shared" ref="N393:P399" si="78">(1 - N315) * N123</f>
        <v>270.13911757737861</v>
      </c>
      <c r="O393" s="224">
        <f t="shared" si="78"/>
        <v>0</v>
      </c>
      <c r="P393" s="224">
        <f t="shared" si="78"/>
        <v>0</v>
      </c>
      <c r="Q393" s="201"/>
      <c r="R393" s="201"/>
      <c r="S393" s="201"/>
      <c r="T393" s="201"/>
      <c r="U393" s="201"/>
      <c r="V393" s="201"/>
      <c r="W393" s="201"/>
      <c r="X393" s="201"/>
      <c r="Y393" s="201"/>
      <c r="AQ393" s="19"/>
    </row>
    <row r="394" spans="3:43" x14ac:dyDescent="0.25">
      <c r="E394" s="52"/>
      <c r="F394" s="92" t="s">
        <v>200</v>
      </c>
      <c r="G394" s="92" t="s">
        <v>120</v>
      </c>
      <c r="J394" s="202"/>
      <c r="K394" s="202"/>
      <c r="L394" s="221">
        <f t="shared" si="77"/>
        <v>721.16220590839544</v>
      </c>
      <c r="M394" s="202"/>
      <c r="N394" s="221">
        <f t="shared" si="78"/>
        <v>1216.8386419410886</v>
      </c>
      <c r="O394" s="221">
        <f t="shared" si="78"/>
        <v>0</v>
      </c>
      <c r="P394" s="221">
        <f t="shared" si="78"/>
        <v>0</v>
      </c>
      <c r="Q394" s="202"/>
      <c r="R394" s="202"/>
      <c r="S394" s="202"/>
      <c r="T394" s="202"/>
      <c r="U394" s="202"/>
      <c r="V394" s="202"/>
      <c r="W394" s="202"/>
      <c r="X394" s="202"/>
      <c r="Y394" s="202"/>
      <c r="AQ394" s="19"/>
    </row>
    <row r="395" spans="3:43" x14ac:dyDescent="0.25">
      <c r="E395" s="52"/>
      <c r="F395" s="92" t="s">
        <v>201</v>
      </c>
      <c r="G395" s="92" t="s">
        <v>120</v>
      </c>
      <c r="J395" s="202"/>
      <c r="K395" s="202"/>
      <c r="L395" s="221">
        <f t="shared" si="77"/>
        <v>547.54004949685486</v>
      </c>
      <c r="M395" s="202"/>
      <c r="N395" s="221">
        <f t="shared" si="78"/>
        <v>1085.5343252208841</v>
      </c>
      <c r="O395" s="221">
        <f t="shared" si="78"/>
        <v>0</v>
      </c>
      <c r="P395" s="221">
        <f t="shared" si="78"/>
        <v>0</v>
      </c>
      <c r="Q395" s="202"/>
      <c r="R395" s="202"/>
      <c r="S395" s="202"/>
      <c r="T395" s="202"/>
      <c r="U395" s="202"/>
      <c r="V395" s="202"/>
      <c r="W395" s="202"/>
      <c r="X395" s="202"/>
      <c r="Y395" s="202"/>
      <c r="AQ395" s="19"/>
    </row>
    <row r="396" spans="3:43" x14ac:dyDescent="0.25">
      <c r="E396" s="52"/>
      <c r="F396" s="92" t="s">
        <v>74</v>
      </c>
      <c r="G396" s="92" t="s">
        <v>74</v>
      </c>
      <c r="J396" s="202"/>
      <c r="K396" s="202"/>
      <c r="L396" s="221">
        <f t="shared" si="77"/>
        <v>182.28311595150194</v>
      </c>
      <c r="M396" s="202"/>
      <c r="N396" s="221">
        <f t="shared" si="78"/>
        <v>20.187706652609336</v>
      </c>
      <c r="O396" s="221">
        <f t="shared" si="78"/>
        <v>0</v>
      </c>
      <c r="P396" s="221">
        <f t="shared" si="78"/>
        <v>0</v>
      </c>
      <c r="Q396" s="202"/>
      <c r="R396" s="202"/>
      <c r="S396" s="202"/>
      <c r="T396" s="202"/>
      <c r="U396" s="202"/>
      <c r="V396" s="202"/>
      <c r="W396" s="202"/>
      <c r="X396" s="202"/>
      <c r="Y396" s="202"/>
      <c r="AQ396" s="19"/>
    </row>
    <row r="397" spans="3:43" x14ac:dyDescent="0.25">
      <c r="E397" s="52"/>
      <c r="F397" s="92" t="s">
        <v>202</v>
      </c>
      <c r="G397" s="92" t="s">
        <v>169</v>
      </c>
      <c r="J397" s="202"/>
      <c r="K397" s="202"/>
      <c r="L397" s="221">
        <f t="shared" si="77"/>
        <v>0</v>
      </c>
      <c r="M397" s="202"/>
      <c r="N397" s="221">
        <f t="shared" si="78"/>
        <v>2158.8970996731632</v>
      </c>
      <c r="O397" s="221">
        <f t="shared" si="78"/>
        <v>0</v>
      </c>
      <c r="P397" s="221">
        <f t="shared" si="78"/>
        <v>0</v>
      </c>
      <c r="Q397" s="202"/>
      <c r="R397" s="202"/>
      <c r="S397" s="202"/>
      <c r="T397" s="202"/>
      <c r="U397" s="202"/>
      <c r="V397" s="202"/>
      <c r="W397" s="202"/>
      <c r="X397" s="202"/>
      <c r="Y397" s="202"/>
      <c r="AQ397" s="19"/>
    </row>
    <row r="398" spans="3:43" x14ac:dyDescent="0.25">
      <c r="E398" s="52"/>
      <c r="F398" s="92" t="s">
        <v>203</v>
      </c>
      <c r="G398" s="92" t="s">
        <v>169</v>
      </c>
      <c r="J398" s="202"/>
      <c r="K398" s="202"/>
      <c r="L398" s="221">
        <f t="shared" si="77"/>
        <v>0</v>
      </c>
      <c r="M398" s="202"/>
      <c r="N398" s="221">
        <f t="shared" si="78"/>
        <v>7.1250729362150595</v>
      </c>
      <c r="O398" s="221">
        <f t="shared" si="78"/>
        <v>0</v>
      </c>
      <c r="P398" s="221">
        <f t="shared" si="78"/>
        <v>0</v>
      </c>
      <c r="Q398" s="202"/>
      <c r="R398" s="202"/>
      <c r="S398" s="202"/>
      <c r="T398" s="202"/>
      <c r="U398" s="202"/>
      <c r="V398" s="202"/>
      <c r="W398" s="202"/>
      <c r="X398" s="202"/>
      <c r="Y398" s="202"/>
      <c r="AQ398" s="19"/>
    </row>
    <row r="399" spans="3:43" x14ac:dyDescent="0.25">
      <c r="E399" s="52"/>
      <c r="F399" s="34" t="s">
        <v>204</v>
      </c>
      <c r="G399" s="34" t="s">
        <v>170</v>
      </c>
      <c r="H399" s="17"/>
      <c r="I399" s="17"/>
      <c r="J399" s="203"/>
      <c r="K399" s="203"/>
      <c r="L399" s="225">
        <f t="shared" si="77"/>
        <v>0</v>
      </c>
      <c r="M399" s="203"/>
      <c r="N399" s="225">
        <f t="shared" si="78"/>
        <v>144.08738120868705</v>
      </c>
      <c r="O399" s="225">
        <f t="shared" si="78"/>
        <v>0</v>
      </c>
      <c r="P399" s="225">
        <f t="shared" si="78"/>
        <v>0</v>
      </c>
      <c r="Q399" s="203"/>
      <c r="R399" s="203"/>
      <c r="S399" s="203"/>
      <c r="T399" s="203"/>
      <c r="U399" s="203"/>
      <c r="V399" s="203"/>
      <c r="W399" s="203"/>
      <c r="X399" s="203"/>
      <c r="Y399" s="203"/>
      <c r="AQ399" s="19"/>
    </row>
    <row r="400" spans="3:43" x14ac:dyDescent="0.25">
      <c r="AQ400" s="19"/>
    </row>
    <row r="401" spans="5:43" x14ac:dyDescent="0.25">
      <c r="E401" s="52" t="s">
        <v>1084</v>
      </c>
      <c r="G401" s="91"/>
      <c r="I401" t="s">
        <v>359</v>
      </c>
      <c r="AQ401" s="19"/>
    </row>
    <row r="402" spans="5:43" x14ac:dyDescent="0.25">
      <c r="E402" s="52"/>
      <c r="F402" s="38" t="s">
        <v>199</v>
      </c>
      <c r="G402" s="38" t="s">
        <v>120</v>
      </c>
      <c r="H402" s="80"/>
      <c r="I402" s="80"/>
      <c r="J402" s="201"/>
      <c r="K402" s="201"/>
      <c r="L402" s="224">
        <f t="shared" ref="L402:L408" si="79">(1 - L324) * L170</f>
        <v>141.32918219365408</v>
      </c>
      <c r="M402" s="201"/>
      <c r="N402" s="224">
        <f t="shared" ref="N402:P408" si="80">(1 - N324) * N170</f>
        <v>937.16107373515342</v>
      </c>
      <c r="O402" s="224">
        <f t="shared" si="80"/>
        <v>33.049542841558413</v>
      </c>
      <c r="P402" s="224">
        <f t="shared" si="80"/>
        <v>415.92017514492284</v>
      </c>
      <c r="Q402" s="201"/>
      <c r="R402" s="201"/>
      <c r="S402" s="201"/>
      <c r="T402" s="201"/>
      <c r="U402" s="201"/>
      <c r="V402" s="201"/>
      <c r="W402" s="201"/>
      <c r="X402" s="201"/>
      <c r="Y402" s="201"/>
      <c r="AQ402" s="19"/>
    </row>
    <row r="403" spans="5:43" x14ac:dyDescent="0.25">
      <c r="E403" s="52"/>
      <c r="F403" s="92" t="s">
        <v>200</v>
      </c>
      <c r="G403" s="92" t="s">
        <v>120</v>
      </c>
      <c r="J403" s="202"/>
      <c r="K403" s="202"/>
      <c r="L403" s="221">
        <f t="shared" si="79"/>
        <v>733.34063167292288</v>
      </c>
      <c r="M403" s="202"/>
      <c r="N403" s="221">
        <f t="shared" si="80"/>
        <v>4143.0414171913981</v>
      </c>
      <c r="O403" s="221">
        <f t="shared" si="80"/>
        <v>150.79934708973798</v>
      </c>
      <c r="P403" s="221">
        <f t="shared" si="80"/>
        <v>1840.9625540189363</v>
      </c>
      <c r="Q403" s="202"/>
      <c r="R403" s="202"/>
      <c r="S403" s="202"/>
      <c r="T403" s="202"/>
      <c r="U403" s="202"/>
      <c r="V403" s="202"/>
      <c r="W403" s="202"/>
      <c r="X403" s="202"/>
      <c r="Y403" s="202"/>
      <c r="AQ403" s="19"/>
    </row>
    <row r="404" spans="5:43" x14ac:dyDescent="0.25">
      <c r="E404" s="52"/>
      <c r="F404" s="92" t="s">
        <v>201</v>
      </c>
      <c r="G404" s="92" t="s">
        <v>120</v>
      </c>
      <c r="J404" s="202"/>
      <c r="K404" s="202"/>
      <c r="L404" s="221">
        <f t="shared" si="79"/>
        <v>571.99793907144237</v>
      </c>
      <c r="M404" s="202"/>
      <c r="N404" s="221">
        <f t="shared" si="80"/>
        <v>3773.2917651432945</v>
      </c>
      <c r="O404" s="221">
        <f t="shared" si="80"/>
        <v>138.47407412692516</v>
      </c>
      <c r="P404" s="221">
        <f t="shared" si="80"/>
        <v>2157.7166345746132</v>
      </c>
      <c r="Q404" s="202"/>
      <c r="R404" s="202"/>
      <c r="S404" s="202"/>
      <c r="T404" s="202"/>
      <c r="U404" s="202"/>
      <c r="V404" s="202"/>
      <c r="W404" s="202"/>
      <c r="X404" s="202"/>
      <c r="Y404" s="202"/>
      <c r="AQ404" s="19"/>
    </row>
    <row r="405" spans="5:43" x14ac:dyDescent="0.25">
      <c r="E405" s="52"/>
      <c r="F405" s="92" t="s">
        <v>74</v>
      </c>
      <c r="G405" s="92" t="s">
        <v>74</v>
      </c>
      <c r="J405" s="202"/>
      <c r="K405" s="202"/>
      <c r="L405" s="221">
        <f t="shared" si="79"/>
        <v>195.32277714453141</v>
      </c>
      <c r="M405" s="202"/>
      <c r="N405" s="221">
        <f t="shared" si="80"/>
        <v>55.020500604093357</v>
      </c>
      <c r="O405" s="221">
        <f t="shared" si="80"/>
        <v>1.9888817652176447</v>
      </c>
      <c r="P405" s="221">
        <f t="shared" si="80"/>
        <v>4.5638285613991032</v>
      </c>
      <c r="Q405" s="202"/>
      <c r="R405" s="202"/>
      <c r="S405" s="202"/>
      <c r="T405" s="202"/>
      <c r="U405" s="202"/>
      <c r="V405" s="202"/>
      <c r="W405" s="202"/>
      <c r="X405" s="202"/>
      <c r="Y405" s="202"/>
      <c r="AQ405" s="19"/>
    </row>
    <row r="406" spans="5:43" x14ac:dyDescent="0.25">
      <c r="E406" s="52"/>
      <c r="F406" s="92" t="s">
        <v>202</v>
      </c>
      <c r="G406" s="92" t="s">
        <v>169</v>
      </c>
      <c r="J406" s="202"/>
      <c r="K406" s="202"/>
      <c r="L406" s="221">
        <f t="shared" si="79"/>
        <v>0</v>
      </c>
      <c r="M406" s="202"/>
      <c r="N406" s="221">
        <f t="shared" si="80"/>
        <v>6363.1208948633966</v>
      </c>
      <c r="O406" s="221">
        <f t="shared" si="80"/>
        <v>216.78811240872326</v>
      </c>
      <c r="P406" s="221">
        <f t="shared" si="80"/>
        <v>2810.5577557282813</v>
      </c>
      <c r="Q406" s="202"/>
      <c r="R406" s="202"/>
      <c r="S406" s="202"/>
      <c r="T406" s="202"/>
      <c r="U406" s="202"/>
      <c r="V406" s="202"/>
      <c r="W406" s="202"/>
      <c r="X406" s="202"/>
      <c r="Y406" s="202"/>
      <c r="AQ406" s="19"/>
    </row>
    <row r="407" spans="5:43" x14ac:dyDescent="0.25">
      <c r="E407" s="52"/>
      <c r="F407" s="92" t="s">
        <v>203</v>
      </c>
      <c r="G407" s="92" t="s">
        <v>169</v>
      </c>
      <c r="J407" s="202"/>
      <c r="K407" s="202"/>
      <c r="L407" s="221">
        <f t="shared" si="79"/>
        <v>0</v>
      </c>
      <c r="M407" s="202"/>
      <c r="N407" s="221">
        <f t="shared" si="80"/>
        <v>15.327139453997434</v>
      </c>
      <c r="O407" s="221">
        <f t="shared" si="80"/>
        <v>0</v>
      </c>
      <c r="P407" s="221">
        <f t="shared" si="80"/>
        <v>12.930847590630792</v>
      </c>
      <c r="Q407" s="202"/>
      <c r="R407" s="202"/>
      <c r="S407" s="202"/>
      <c r="T407" s="202"/>
      <c r="U407" s="202"/>
      <c r="V407" s="202"/>
      <c r="W407" s="202"/>
      <c r="X407" s="202"/>
      <c r="Y407" s="202"/>
      <c r="AQ407" s="19"/>
    </row>
    <row r="408" spans="5:43" x14ac:dyDescent="0.25">
      <c r="E408" s="52"/>
      <c r="F408" s="34" t="s">
        <v>204</v>
      </c>
      <c r="G408" s="34" t="s">
        <v>170</v>
      </c>
      <c r="H408" s="17"/>
      <c r="I408" s="17"/>
      <c r="J408" s="203"/>
      <c r="K408" s="203"/>
      <c r="L408" s="225">
        <f t="shared" si="79"/>
        <v>0</v>
      </c>
      <c r="M408" s="203"/>
      <c r="N408" s="225">
        <f t="shared" si="80"/>
        <v>429.93254974183986</v>
      </c>
      <c r="O408" s="225">
        <f t="shared" si="80"/>
        <v>17.848224961063146</v>
      </c>
      <c r="P408" s="225">
        <f t="shared" si="80"/>
        <v>142.45762662979232</v>
      </c>
      <c r="Q408" s="203"/>
      <c r="R408" s="203"/>
      <c r="S408" s="203"/>
      <c r="T408" s="203"/>
      <c r="U408" s="203"/>
      <c r="V408" s="203"/>
      <c r="W408" s="203"/>
      <c r="X408" s="203"/>
      <c r="Y408" s="203"/>
      <c r="AQ408" s="19"/>
    </row>
    <row r="409" spans="5:43" x14ac:dyDescent="0.25">
      <c r="AQ409" s="19"/>
    </row>
    <row r="410" spans="5:43" x14ac:dyDescent="0.25">
      <c r="E410" s="52" t="s">
        <v>1085</v>
      </c>
      <c r="G410" s="91"/>
      <c r="I410" t="s">
        <v>359</v>
      </c>
      <c r="AQ410" s="19"/>
    </row>
    <row r="411" spans="5:43" x14ac:dyDescent="0.25">
      <c r="E411" s="52"/>
      <c r="F411" s="38" t="s">
        <v>199</v>
      </c>
      <c r="G411" s="38" t="s">
        <v>120</v>
      </c>
      <c r="H411" s="80"/>
      <c r="I411" s="80"/>
      <c r="J411" s="201"/>
      <c r="K411" s="201"/>
      <c r="L411" s="224">
        <f t="shared" ref="L411:L417" si="81">L76+L393+L402</f>
        <v>30337.857984181341</v>
      </c>
      <c r="M411" s="201"/>
      <c r="N411" s="224">
        <f t="shared" ref="N411:P417" si="82">N76+N393+N402</f>
        <v>66833.204284466337</v>
      </c>
      <c r="O411" s="224">
        <f t="shared" si="82"/>
        <v>655.20281343986665</v>
      </c>
      <c r="P411" s="224">
        <f t="shared" si="82"/>
        <v>58349.346287214612</v>
      </c>
      <c r="Q411" s="201"/>
      <c r="R411" s="201"/>
      <c r="S411" s="201"/>
      <c r="T411" s="201"/>
      <c r="U411" s="201"/>
      <c r="V411" s="201"/>
      <c r="W411" s="201"/>
      <c r="X411" s="201"/>
      <c r="Y411" s="201"/>
      <c r="AQ411" s="19"/>
    </row>
    <row r="412" spans="5:43" x14ac:dyDescent="0.25">
      <c r="E412" s="52"/>
      <c r="F412" s="92" t="s">
        <v>200</v>
      </c>
      <c r="G412" s="92" t="s">
        <v>120</v>
      </c>
      <c r="J412" s="202"/>
      <c r="K412" s="202"/>
      <c r="L412" s="221">
        <f t="shared" si="81"/>
        <v>156015.40824177497</v>
      </c>
      <c r="M412" s="202"/>
      <c r="N412" s="221">
        <f t="shared" si="82"/>
        <v>320210.95263347327</v>
      </c>
      <c r="O412" s="221">
        <f t="shared" si="82"/>
        <v>3050.4858950843641</v>
      </c>
      <c r="P412" s="221">
        <f t="shared" si="82"/>
        <v>270535.34371686453</v>
      </c>
      <c r="Q412" s="202"/>
      <c r="R412" s="202"/>
      <c r="S412" s="202"/>
      <c r="T412" s="202"/>
      <c r="U412" s="202"/>
      <c r="V412" s="202"/>
      <c r="W412" s="202"/>
      <c r="X412" s="202"/>
      <c r="Y412" s="202"/>
      <c r="AQ412" s="19"/>
    </row>
    <row r="413" spans="5:43" x14ac:dyDescent="0.25">
      <c r="E413" s="52"/>
      <c r="F413" s="92" t="s">
        <v>201</v>
      </c>
      <c r="G413" s="92" t="s">
        <v>120</v>
      </c>
      <c r="J413" s="202"/>
      <c r="K413" s="202"/>
      <c r="L413" s="221">
        <f t="shared" si="81"/>
        <v>125437.16145212483</v>
      </c>
      <c r="M413" s="202"/>
      <c r="N413" s="221">
        <f t="shared" si="82"/>
        <v>284137.23231146194</v>
      </c>
      <c r="O413" s="221">
        <f t="shared" si="82"/>
        <v>3120.745255533991</v>
      </c>
      <c r="P413" s="221">
        <f t="shared" si="82"/>
        <v>297822.76043848717</v>
      </c>
      <c r="Q413" s="202"/>
      <c r="R413" s="202"/>
      <c r="S413" s="202"/>
      <c r="T413" s="202"/>
      <c r="U413" s="202"/>
      <c r="V413" s="202"/>
      <c r="W413" s="202"/>
      <c r="X413" s="202"/>
      <c r="Y413" s="202"/>
      <c r="AQ413" s="19"/>
    </row>
    <row r="414" spans="5:43" x14ac:dyDescent="0.25">
      <c r="E414" s="52"/>
      <c r="F414" s="92" t="s">
        <v>74</v>
      </c>
      <c r="G414" s="92" t="s">
        <v>74</v>
      </c>
      <c r="J414" s="202"/>
      <c r="K414" s="202"/>
      <c r="L414" s="221">
        <f t="shared" si="81"/>
        <v>37038.605893096035</v>
      </c>
      <c r="M414" s="202"/>
      <c r="N414" s="221">
        <f t="shared" si="82"/>
        <v>3798.2082072567027</v>
      </c>
      <c r="O414" s="221">
        <f t="shared" si="82"/>
        <v>25.988881765217645</v>
      </c>
      <c r="P414" s="221">
        <f t="shared" si="82"/>
        <v>407.56382856139908</v>
      </c>
      <c r="Q414" s="202"/>
      <c r="R414" s="202"/>
      <c r="S414" s="202"/>
      <c r="T414" s="202"/>
      <c r="U414" s="202"/>
      <c r="V414" s="202"/>
      <c r="W414" s="202"/>
      <c r="X414" s="202"/>
      <c r="Y414" s="202"/>
      <c r="AQ414" s="19"/>
    </row>
    <row r="415" spans="5:43" x14ac:dyDescent="0.25">
      <c r="E415" s="52"/>
      <c r="F415" s="92" t="s">
        <v>202</v>
      </c>
      <c r="G415" s="92" t="s">
        <v>169</v>
      </c>
      <c r="J415" s="202"/>
      <c r="K415" s="202"/>
      <c r="L415" s="221">
        <f t="shared" si="81"/>
        <v>0</v>
      </c>
      <c r="M415" s="202"/>
      <c r="N415" s="221">
        <f t="shared" si="82"/>
        <v>428540.01799453655</v>
      </c>
      <c r="O415" s="221">
        <f t="shared" si="82"/>
        <v>3267.7881124087235</v>
      </c>
      <c r="P415" s="221">
        <f t="shared" si="82"/>
        <v>280516.55775572825</v>
      </c>
      <c r="Q415" s="202"/>
      <c r="R415" s="202"/>
      <c r="S415" s="202"/>
      <c r="T415" s="202"/>
      <c r="U415" s="202"/>
      <c r="V415" s="202"/>
      <c r="W415" s="202"/>
      <c r="X415" s="202"/>
      <c r="Y415" s="202"/>
      <c r="AQ415" s="19"/>
    </row>
    <row r="416" spans="5:43" x14ac:dyDescent="0.25">
      <c r="E416" s="52"/>
      <c r="F416" s="92" t="s">
        <v>203</v>
      </c>
      <c r="G416" s="92" t="s">
        <v>169</v>
      </c>
      <c r="J416" s="202"/>
      <c r="K416" s="202"/>
      <c r="L416" s="221">
        <f t="shared" si="81"/>
        <v>0</v>
      </c>
      <c r="M416" s="202"/>
      <c r="N416" s="221">
        <f t="shared" si="82"/>
        <v>6992.4522123902125</v>
      </c>
      <c r="O416" s="221">
        <f t="shared" si="82"/>
        <v>189</v>
      </c>
      <c r="P416" s="221">
        <f t="shared" si="82"/>
        <v>2085.9308475906309</v>
      </c>
      <c r="Q416" s="202"/>
      <c r="R416" s="202"/>
      <c r="S416" s="202"/>
      <c r="T416" s="202"/>
      <c r="U416" s="202"/>
      <c r="V416" s="202"/>
      <c r="W416" s="202"/>
      <c r="X416" s="202"/>
      <c r="Y416" s="202"/>
      <c r="AQ416" s="19"/>
    </row>
    <row r="417" spans="3:43" x14ac:dyDescent="0.25">
      <c r="E417" s="52"/>
      <c r="F417" s="34" t="s">
        <v>204</v>
      </c>
      <c r="G417" s="34" t="s">
        <v>170</v>
      </c>
      <c r="H417" s="17"/>
      <c r="I417" s="17"/>
      <c r="J417" s="203"/>
      <c r="K417" s="203"/>
      <c r="L417" s="225">
        <f t="shared" si="81"/>
        <v>0</v>
      </c>
      <c r="M417" s="203"/>
      <c r="N417" s="225">
        <f t="shared" si="82"/>
        <v>61052.924930950525</v>
      </c>
      <c r="O417" s="225">
        <f t="shared" si="82"/>
        <v>629.42722496106308</v>
      </c>
      <c r="P417" s="225">
        <f t="shared" si="82"/>
        <v>38919.564626629799</v>
      </c>
      <c r="Q417" s="203"/>
      <c r="R417" s="203"/>
      <c r="S417" s="203"/>
      <c r="T417" s="203"/>
      <c r="U417" s="203"/>
      <c r="V417" s="203"/>
      <c r="W417" s="203"/>
      <c r="X417" s="203"/>
      <c r="Y417" s="203"/>
      <c r="AQ417" s="19"/>
    </row>
    <row r="418" spans="3:43" x14ac:dyDescent="0.25">
      <c r="AQ418" s="19"/>
    </row>
    <row r="419" spans="3:43" x14ac:dyDescent="0.25">
      <c r="C419" s="5" t="str">
        <f ca="1">INDEX('Version control'!$H$36:$H$62,MATCH($A$1,'Version control'!$F$36:$F$62,0),1)&amp;"-G: Residual band 3 volume discounting"</f>
        <v>Section 507-G: Residual band 3 volume discounting</v>
      </c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Q419" s="19"/>
    </row>
    <row r="420" spans="3:43" x14ac:dyDescent="0.25">
      <c r="C420" s="52"/>
      <c r="AQ420" s="19"/>
    </row>
    <row r="421" spans="3:43" x14ac:dyDescent="0.25">
      <c r="E421" s="52" t="s">
        <v>1086</v>
      </c>
      <c r="G421" s="91"/>
      <c r="I421" t="s">
        <v>359</v>
      </c>
      <c r="AQ421" s="19"/>
    </row>
    <row r="422" spans="3:43" x14ac:dyDescent="0.25">
      <c r="E422" s="52"/>
      <c r="F422" s="38" t="s">
        <v>199</v>
      </c>
      <c r="G422" s="38" t="s">
        <v>120</v>
      </c>
      <c r="H422" s="80"/>
      <c r="I422" s="80"/>
      <c r="J422" s="201"/>
      <c r="K422" s="201"/>
      <c r="L422" s="224">
        <f t="shared" ref="L422:L428" si="83">(1 - L315) * L132</f>
        <v>97.153004629698145</v>
      </c>
      <c r="M422" s="201"/>
      <c r="N422" s="224">
        <f t="shared" ref="N422:P428" si="84">(1 - N315) * N132</f>
        <v>500.23285991432635</v>
      </c>
      <c r="O422" s="224">
        <f t="shared" si="84"/>
        <v>0</v>
      </c>
      <c r="P422" s="224">
        <f t="shared" si="84"/>
        <v>0</v>
      </c>
      <c r="Q422" s="201"/>
      <c r="R422" s="201"/>
      <c r="S422" s="201"/>
      <c r="T422" s="201"/>
      <c r="U422" s="201"/>
      <c r="V422" s="201"/>
      <c r="W422" s="201"/>
      <c r="X422" s="201"/>
      <c r="Y422" s="201"/>
      <c r="AQ422" s="19"/>
    </row>
    <row r="423" spans="3:43" x14ac:dyDescent="0.25">
      <c r="E423" s="52"/>
      <c r="F423" s="92" t="s">
        <v>200</v>
      </c>
      <c r="G423" s="92" t="s">
        <v>120</v>
      </c>
      <c r="J423" s="202"/>
      <c r="K423" s="202"/>
      <c r="L423" s="221">
        <f t="shared" si="83"/>
        <v>503.29254947383913</v>
      </c>
      <c r="M423" s="202"/>
      <c r="N423" s="221">
        <f t="shared" si="84"/>
        <v>2253.2933377858499</v>
      </c>
      <c r="O423" s="221">
        <f t="shared" si="84"/>
        <v>0</v>
      </c>
      <c r="P423" s="221">
        <f t="shared" si="84"/>
        <v>0</v>
      </c>
      <c r="Q423" s="202"/>
      <c r="R423" s="202"/>
      <c r="S423" s="202"/>
      <c r="T423" s="202"/>
      <c r="U423" s="202"/>
      <c r="V423" s="202"/>
      <c r="W423" s="202"/>
      <c r="X423" s="202"/>
      <c r="Y423" s="202"/>
      <c r="AQ423" s="19"/>
    </row>
    <row r="424" spans="3:43" x14ac:dyDescent="0.25">
      <c r="E424" s="52"/>
      <c r="F424" s="92" t="s">
        <v>201</v>
      </c>
      <c r="G424" s="92" t="s">
        <v>120</v>
      </c>
      <c r="J424" s="202"/>
      <c r="K424" s="202"/>
      <c r="L424" s="221">
        <f t="shared" si="83"/>
        <v>382.12322441826404</v>
      </c>
      <c r="M424" s="202"/>
      <c r="N424" s="221">
        <f t="shared" si="84"/>
        <v>2010.149233144173</v>
      </c>
      <c r="O424" s="221">
        <f t="shared" si="84"/>
        <v>0</v>
      </c>
      <c r="P424" s="221">
        <f t="shared" si="84"/>
        <v>0</v>
      </c>
      <c r="Q424" s="202"/>
      <c r="R424" s="202"/>
      <c r="S424" s="202"/>
      <c r="T424" s="202"/>
      <c r="U424" s="202"/>
      <c r="V424" s="202"/>
      <c r="W424" s="202"/>
      <c r="X424" s="202"/>
      <c r="Y424" s="202"/>
      <c r="AQ424" s="19"/>
    </row>
    <row r="425" spans="3:43" x14ac:dyDescent="0.25">
      <c r="E425" s="52"/>
      <c r="F425" s="92" t="s">
        <v>74</v>
      </c>
      <c r="G425" s="92" t="s">
        <v>74</v>
      </c>
      <c r="J425" s="202"/>
      <c r="K425" s="202"/>
      <c r="L425" s="221">
        <f t="shared" si="83"/>
        <v>95.000972482867468</v>
      </c>
      <c r="M425" s="202"/>
      <c r="N425" s="221">
        <f t="shared" si="84"/>
        <v>21.37521880864518</v>
      </c>
      <c r="O425" s="221">
        <f t="shared" si="84"/>
        <v>0</v>
      </c>
      <c r="P425" s="221">
        <f t="shared" si="84"/>
        <v>0</v>
      </c>
      <c r="Q425" s="202"/>
      <c r="R425" s="202"/>
      <c r="S425" s="202"/>
      <c r="T425" s="202"/>
      <c r="U425" s="202"/>
      <c r="V425" s="202"/>
      <c r="W425" s="202"/>
      <c r="X425" s="202"/>
      <c r="Y425" s="202"/>
      <c r="AQ425" s="19"/>
    </row>
    <row r="426" spans="3:43" x14ac:dyDescent="0.25">
      <c r="E426" s="52"/>
      <c r="F426" s="92" t="s">
        <v>202</v>
      </c>
      <c r="G426" s="92" t="s">
        <v>169</v>
      </c>
      <c r="J426" s="202"/>
      <c r="K426" s="202"/>
      <c r="L426" s="221">
        <f t="shared" si="83"/>
        <v>0</v>
      </c>
      <c r="M426" s="202"/>
      <c r="N426" s="221">
        <f t="shared" si="84"/>
        <v>3997.7596732946663</v>
      </c>
      <c r="O426" s="221">
        <f t="shared" si="84"/>
        <v>0</v>
      </c>
      <c r="P426" s="221">
        <f t="shared" si="84"/>
        <v>0</v>
      </c>
      <c r="Q426" s="202"/>
      <c r="R426" s="202"/>
      <c r="S426" s="202"/>
      <c r="T426" s="202"/>
      <c r="U426" s="202"/>
      <c r="V426" s="202"/>
      <c r="W426" s="202"/>
      <c r="X426" s="202"/>
      <c r="Y426" s="202"/>
      <c r="AQ426" s="19"/>
    </row>
    <row r="427" spans="3:43" x14ac:dyDescent="0.25">
      <c r="E427" s="52"/>
      <c r="F427" s="92" t="s">
        <v>203</v>
      </c>
      <c r="G427" s="92" t="s">
        <v>169</v>
      </c>
      <c r="J427" s="202"/>
      <c r="K427" s="202"/>
      <c r="L427" s="221">
        <f t="shared" si="83"/>
        <v>0</v>
      </c>
      <c r="M427" s="202"/>
      <c r="N427" s="221">
        <f t="shared" si="84"/>
        <v>13.062633716394275</v>
      </c>
      <c r="O427" s="221">
        <f t="shared" si="84"/>
        <v>0</v>
      </c>
      <c r="P427" s="221">
        <f t="shared" si="84"/>
        <v>0</v>
      </c>
      <c r="Q427" s="202"/>
      <c r="R427" s="202"/>
      <c r="S427" s="202"/>
      <c r="T427" s="202"/>
      <c r="U427" s="202"/>
      <c r="V427" s="202"/>
      <c r="W427" s="202"/>
      <c r="X427" s="202"/>
      <c r="Y427" s="202"/>
      <c r="AQ427" s="19"/>
    </row>
    <row r="428" spans="3:43" x14ac:dyDescent="0.25">
      <c r="E428" s="52"/>
      <c r="F428" s="34" t="s">
        <v>204</v>
      </c>
      <c r="G428" s="34" t="s">
        <v>170</v>
      </c>
      <c r="H428" s="17"/>
      <c r="I428" s="17"/>
      <c r="J428" s="203"/>
      <c r="K428" s="203"/>
      <c r="L428" s="225">
        <f t="shared" si="83"/>
        <v>0</v>
      </c>
      <c r="M428" s="203"/>
      <c r="N428" s="225">
        <f t="shared" si="84"/>
        <v>266.8149812667574</v>
      </c>
      <c r="O428" s="225">
        <f t="shared" si="84"/>
        <v>0</v>
      </c>
      <c r="P428" s="225">
        <f t="shared" si="84"/>
        <v>0</v>
      </c>
      <c r="Q428" s="203"/>
      <c r="R428" s="203"/>
      <c r="S428" s="203"/>
      <c r="T428" s="203"/>
      <c r="U428" s="203"/>
      <c r="V428" s="203"/>
      <c r="W428" s="203"/>
      <c r="X428" s="203"/>
      <c r="Y428" s="203"/>
      <c r="AQ428" s="19"/>
    </row>
    <row r="429" spans="3:43" x14ac:dyDescent="0.25">
      <c r="AQ429" s="19"/>
    </row>
    <row r="430" spans="3:43" x14ac:dyDescent="0.25">
      <c r="E430" s="52" t="s">
        <v>1087</v>
      </c>
      <c r="G430" s="91"/>
      <c r="I430" t="s">
        <v>359</v>
      </c>
      <c r="AQ430" s="19"/>
    </row>
    <row r="431" spans="3:43" x14ac:dyDescent="0.25">
      <c r="E431" s="52"/>
      <c r="F431" s="38" t="s">
        <v>199</v>
      </c>
      <c r="G431" s="38" t="s">
        <v>120</v>
      </c>
      <c r="H431" s="80"/>
      <c r="I431" s="80"/>
      <c r="J431" s="201"/>
      <c r="K431" s="201"/>
      <c r="L431" s="224">
        <f t="shared" ref="L431:L437" si="85">(1 - L324) * L179</f>
        <v>223.43691822057303</v>
      </c>
      <c r="M431" s="201"/>
      <c r="N431" s="224">
        <f t="shared" ref="N431:P437" si="86">(1 - N324) * N179</f>
        <v>1072.1988592347591</v>
      </c>
      <c r="O431" s="224">
        <f t="shared" si="86"/>
        <v>22.740511129512669</v>
      </c>
      <c r="P431" s="224">
        <f t="shared" si="86"/>
        <v>1283.217861069586</v>
      </c>
      <c r="Q431" s="201"/>
      <c r="R431" s="201"/>
      <c r="S431" s="201"/>
      <c r="T431" s="201"/>
      <c r="U431" s="201"/>
      <c r="V431" s="201"/>
      <c r="W431" s="201"/>
      <c r="X431" s="201"/>
      <c r="Y431" s="201"/>
      <c r="AQ431" s="19"/>
    </row>
    <row r="432" spans="3:43" x14ac:dyDescent="0.25">
      <c r="E432" s="52"/>
      <c r="F432" s="92" t="s">
        <v>200</v>
      </c>
      <c r="G432" s="92" t="s">
        <v>120</v>
      </c>
      <c r="J432" s="202"/>
      <c r="K432" s="202"/>
      <c r="L432" s="221">
        <f t="shared" si="85"/>
        <v>1159.3880910059038</v>
      </c>
      <c r="M432" s="202"/>
      <c r="N432" s="221">
        <f t="shared" si="86"/>
        <v>4740.0221859090516</v>
      </c>
      <c r="O432" s="221">
        <f t="shared" si="86"/>
        <v>103.76101863972798</v>
      </c>
      <c r="P432" s="221">
        <f t="shared" si="86"/>
        <v>5679.8303425753375</v>
      </c>
      <c r="Q432" s="202"/>
      <c r="R432" s="202"/>
      <c r="S432" s="202"/>
      <c r="T432" s="202"/>
      <c r="U432" s="202"/>
      <c r="V432" s="202"/>
      <c r="W432" s="202"/>
      <c r="X432" s="202"/>
      <c r="Y432" s="202"/>
      <c r="AQ432" s="19"/>
    </row>
    <row r="433" spans="3:43" x14ac:dyDescent="0.25">
      <c r="E433" s="52"/>
      <c r="F433" s="92" t="s">
        <v>201</v>
      </c>
      <c r="G433" s="92" t="s">
        <v>120</v>
      </c>
      <c r="J433" s="202"/>
      <c r="K433" s="202"/>
      <c r="L433" s="221">
        <f t="shared" si="85"/>
        <v>904.31045273805341</v>
      </c>
      <c r="M433" s="202"/>
      <c r="N433" s="221">
        <f t="shared" si="86"/>
        <v>4316.9944202034703</v>
      </c>
      <c r="O433" s="221">
        <f t="shared" si="86"/>
        <v>95.280326234122825</v>
      </c>
      <c r="P433" s="221">
        <f t="shared" si="86"/>
        <v>6657.0959767660597</v>
      </c>
      <c r="Q433" s="202"/>
      <c r="R433" s="202"/>
      <c r="S433" s="202"/>
      <c r="T433" s="202"/>
      <c r="U433" s="202"/>
      <c r="V433" s="202"/>
      <c r="W433" s="202"/>
      <c r="X433" s="202"/>
      <c r="Y433" s="202"/>
      <c r="AQ433" s="19"/>
    </row>
    <row r="434" spans="3:43" x14ac:dyDescent="0.25">
      <c r="E434" s="52"/>
      <c r="F434" s="92" t="s">
        <v>74</v>
      </c>
      <c r="G434" s="92" t="s">
        <v>74</v>
      </c>
      <c r="J434" s="202"/>
      <c r="K434" s="202"/>
      <c r="L434" s="221">
        <f t="shared" si="85"/>
        <v>137.55125151023339</v>
      </c>
      <c r="M434" s="202"/>
      <c r="N434" s="221">
        <f t="shared" si="86"/>
        <v>39.300357574352397</v>
      </c>
      <c r="O434" s="221">
        <f t="shared" si="86"/>
        <v>0.66296058840588157</v>
      </c>
      <c r="P434" s="221">
        <f t="shared" si="86"/>
        <v>6.0851047485321379</v>
      </c>
      <c r="Q434" s="202"/>
      <c r="R434" s="202"/>
      <c r="S434" s="202"/>
      <c r="T434" s="202"/>
      <c r="U434" s="202"/>
      <c r="V434" s="202"/>
      <c r="W434" s="202"/>
      <c r="X434" s="202"/>
      <c r="Y434" s="202"/>
      <c r="AQ434" s="19"/>
    </row>
    <row r="435" spans="3:43" x14ac:dyDescent="0.25">
      <c r="E435" s="52"/>
      <c r="F435" s="92" t="s">
        <v>202</v>
      </c>
      <c r="G435" s="92" t="s">
        <v>169</v>
      </c>
      <c r="J435" s="202"/>
      <c r="K435" s="202"/>
      <c r="L435" s="221">
        <f t="shared" si="85"/>
        <v>0</v>
      </c>
      <c r="M435" s="202"/>
      <c r="N435" s="221">
        <f t="shared" si="86"/>
        <v>7279.9982370730377</v>
      </c>
      <c r="O435" s="221">
        <f t="shared" si="86"/>
        <v>149.16613239132334</v>
      </c>
      <c r="P435" s="221">
        <f t="shared" si="86"/>
        <v>8671.2742666582963</v>
      </c>
      <c r="Q435" s="202"/>
      <c r="R435" s="202"/>
      <c r="S435" s="202"/>
      <c r="T435" s="202"/>
      <c r="U435" s="202"/>
      <c r="V435" s="202"/>
      <c r="W435" s="202"/>
      <c r="X435" s="202"/>
      <c r="Y435" s="202"/>
      <c r="AQ435" s="19"/>
    </row>
    <row r="436" spans="3:43" x14ac:dyDescent="0.25">
      <c r="E436" s="52"/>
      <c r="F436" s="92" t="s">
        <v>203</v>
      </c>
      <c r="G436" s="92" t="s">
        <v>169</v>
      </c>
      <c r="J436" s="202"/>
      <c r="K436" s="202"/>
      <c r="L436" s="221">
        <f t="shared" si="85"/>
        <v>0</v>
      </c>
      <c r="M436" s="202"/>
      <c r="N436" s="221">
        <f t="shared" si="86"/>
        <v>17.685160908458577</v>
      </c>
      <c r="O436" s="221">
        <f t="shared" si="86"/>
        <v>0</v>
      </c>
      <c r="P436" s="221">
        <f t="shared" si="86"/>
        <v>38.792542771892379</v>
      </c>
      <c r="Q436" s="202"/>
      <c r="R436" s="202"/>
      <c r="S436" s="202"/>
      <c r="T436" s="202"/>
      <c r="U436" s="202"/>
      <c r="V436" s="202"/>
      <c r="W436" s="202"/>
      <c r="X436" s="202"/>
      <c r="Y436" s="202"/>
      <c r="AQ436" s="19"/>
    </row>
    <row r="437" spans="3:43" x14ac:dyDescent="0.25">
      <c r="E437" s="52"/>
      <c r="F437" s="34" t="s">
        <v>204</v>
      </c>
      <c r="G437" s="34" t="s">
        <v>170</v>
      </c>
      <c r="H437" s="17"/>
      <c r="I437" s="17"/>
      <c r="J437" s="203"/>
      <c r="K437" s="203"/>
      <c r="L437" s="225">
        <f t="shared" si="85"/>
        <v>0</v>
      </c>
      <c r="M437" s="203"/>
      <c r="N437" s="225">
        <f t="shared" si="86"/>
        <v>491.88248939344311</v>
      </c>
      <c r="O437" s="225">
        <f t="shared" si="86"/>
        <v>12.280681939630551</v>
      </c>
      <c r="P437" s="225">
        <f t="shared" si="86"/>
        <v>439.5179883293535</v>
      </c>
      <c r="Q437" s="203"/>
      <c r="R437" s="203"/>
      <c r="S437" s="203"/>
      <c r="T437" s="203"/>
      <c r="U437" s="203"/>
      <c r="V437" s="203"/>
      <c r="W437" s="203"/>
      <c r="X437" s="203"/>
      <c r="Y437" s="203"/>
      <c r="AQ437" s="19"/>
    </row>
    <row r="438" spans="3:43" x14ac:dyDescent="0.25">
      <c r="AQ438" s="19"/>
    </row>
    <row r="439" spans="3:43" x14ac:dyDescent="0.25">
      <c r="E439" s="52" t="s">
        <v>1088</v>
      </c>
      <c r="G439" s="91"/>
      <c r="I439" t="s">
        <v>359</v>
      </c>
      <c r="AQ439" s="19"/>
    </row>
    <row r="440" spans="3:43" x14ac:dyDescent="0.25">
      <c r="E440" s="52"/>
      <c r="F440" s="38" t="s">
        <v>199</v>
      </c>
      <c r="G440" s="38" t="s">
        <v>120</v>
      </c>
      <c r="H440" s="80"/>
      <c r="I440" s="80"/>
      <c r="J440" s="201"/>
      <c r="K440" s="201"/>
      <c r="L440" s="224">
        <f t="shared" ref="L440:L446" si="87">L85+L422+L431</f>
        <v>37746.513855855017</v>
      </c>
      <c r="M440" s="201"/>
      <c r="N440" s="224">
        <f t="shared" ref="N440:P446" si="88">N85+N422+N431</f>
        <v>38441.000052264499</v>
      </c>
      <c r="O440" s="224">
        <f t="shared" si="88"/>
        <v>2110.6383406168134</v>
      </c>
      <c r="P440" s="224">
        <f t="shared" si="88"/>
        <v>53442.468628816052</v>
      </c>
      <c r="Q440" s="201"/>
      <c r="R440" s="201"/>
      <c r="S440" s="201"/>
      <c r="T440" s="201"/>
      <c r="U440" s="201"/>
      <c r="V440" s="201"/>
      <c r="W440" s="201"/>
      <c r="X440" s="201"/>
      <c r="Y440" s="201"/>
      <c r="AQ440" s="19"/>
    </row>
    <row r="441" spans="3:43" x14ac:dyDescent="0.25">
      <c r="E441" s="52"/>
      <c r="F441" s="92" t="s">
        <v>200</v>
      </c>
      <c r="G441" s="92" t="s">
        <v>120</v>
      </c>
      <c r="J441" s="202"/>
      <c r="K441" s="202"/>
      <c r="L441" s="221">
        <f t="shared" si="87"/>
        <v>194114.46316481108</v>
      </c>
      <c r="M441" s="202"/>
      <c r="N441" s="221">
        <f t="shared" si="88"/>
        <v>183876.33823199061</v>
      </c>
      <c r="O441" s="221">
        <f t="shared" si="88"/>
        <v>9834.8828110708655</v>
      </c>
      <c r="P441" s="221">
        <f t="shared" si="88"/>
        <v>247593.67089200363</v>
      </c>
      <c r="Q441" s="202"/>
      <c r="R441" s="202"/>
      <c r="S441" s="202"/>
      <c r="T441" s="202"/>
      <c r="U441" s="202"/>
      <c r="V441" s="202"/>
      <c r="W441" s="202"/>
      <c r="X441" s="202"/>
      <c r="Y441" s="202"/>
      <c r="AQ441" s="19"/>
    </row>
    <row r="442" spans="3:43" x14ac:dyDescent="0.25">
      <c r="E442" s="52"/>
      <c r="F442" s="92" t="s">
        <v>201</v>
      </c>
      <c r="G442" s="92" t="s">
        <v>120</v>
      </c>
      <c r="J442" s="202"/>
      <c r="K442" s="202"/>
      <c r="L442" s="221">
        <f t="shared" si="87"/>
        <v>156080.74063455418</v>
      </c>
      <c r="M442" s="202"/>
      <c r="N442" s="221">
        <f t="shared" si="88"/>
        <v>163225.47741360229</v>
      </c>
      <c r="O442" s="221">
        <f t="shared" si="88"/>
        <v>10103.549704315687</v>
      </c>
      <c r="P442" s="221">
        <f t="shared" si="88"/>
        <v>272853.45614356297</v>
      </c>
      <c r="Q442" s="202"/>
      <c r="R442" s="202"/>
      <c r="S442" s="202"/>
      <c r="T442" s="202"/>
      <c r="U442" s="202"/>
      <c r="V442" s="202"/>
      <c r="W442" s="202"/>
      <c r="X442" s="202"/>
      <c r="Y442" s="202"/>
      <c r="AQ442" s="19"/>
    </row>
    <row r="443" spans="3:43" x14ac:dyDescent="0.25">
      <c r="E443" s="52"/>
      <c r="F443" s="92" t="s">
        <v>74</v>
      </c>
      <c r="G443" s="92" t="s">
        <v>74</v>
      </c>
      <c r="J443" s="202"/>
      <c r="K443" s="202"/>
      <c r="L443" s="221">
        <f t="shared" si="87"/>
        <v>21339.552223993102</v>
      </c>
      <c r="M443" s="202"/>
      <c r="N443" s="221">
        <f t="shared" si="88"/>
        <v>1321.6755763829976</v>
      </c>
      <c r="O443" s="221">
        <f t="shared" si="88"/>
        <v>41.66296058840588</v>
      </c>
      <c r="P443" s="221">
        <f t="shared" si="88"/>
        <v>183.08510474853213</v>
      </c>
      <c r="Q443" s="202"/>
      <c r="R443" s="202"/>
      <c r="S443" s="202"/>
      <c r="T443" s="202"/>
      <c r="U443" s="202"/>
      <c r="V443" s="202"/>
      <c r="W443" s="202"/>
      <c r="X443" s="202"/>
      <c r="Y443" s="202"/>
      <c r="AQ443" s="19"/>
    </row>
    <row r="444" spans="3:43" x14ac:dyDescent="0.25">
      <c r="E444" s="52"/>
      <c r="F444" s="92" t="s">
        <v>202</v>
      </c>
      <c r="G444" s="92" t="s">
        <v>169</v>
      </c>
      <c r="J444" s="202"/>
      <c r="K444" s="202"/>
      <c r="L444" s="221">
        <f t="shared" si="87"/>
        <v>0</v>
      </c>
      <c r="M444" s="202"/>
      <c r="N444" s="221">
        <f t="shared" si="88"/>
        <v>248632.75791036771</v>
      </c>
      <c r="O444" s="221">
        <f t="shared" si="88"/>
        <v>7890.1661323913231</v>
      </c>
      <c r="P444" s="221">
        <f t="shared" si="88"/>
        <v>248207.27426665829</v>
      </c>
      <c r="Q444" s="202"/>
      <c r="R444" s="202"/>
      <c r="S444" s="202"/>
      <c r="T444" s="202"/>
      <c r="U444" s="202"/>
      <c r="V444" s="202"/>
      <c r="W444" s="202"/>
      <c r="X444" s="202"/>
      <c r="Y444" s="202"/>
      <c r="AQ444" s="19"/>
    </row>
    <row r="445" spans="3:43" x14ac:dyDescent="0.25">
      <c r="E445" s="52"/>
      <c r="F445" s="92" t="s">
        <v>203</v>
      </c>
      <c r="G445" s="92" t="s">
        <v>169</v>
      </c>
      <c r="J445" s="202"/>
      <c r="K445" s="202"/>
      <c r="L445" s="221">
        <f t="shared" si="87"/>
        <v>0</v>
      </c>
      <c r="M445" s="202"/>
      <c r="N445" s="221">
        <f t="shared" si="88"/>
        <v>1366.7477946248528</v>
      </c>
      <c r="O445" s="221">
        <f t="shared" si="88"/>
        <v>144</v>
      </c>
      <c r="P445" s="221">
        <f t="shared" si="88"/>
        <v>1726.7925427718924</v>
      </c>
      <c r="Q445" s="202"/>
      <c r="R445" s="202"/>
      <c r="S445" s="202"/>
      <c r="T445" s="202"/>
      <c r="U445" s="202"/>
      <c r="V445" s="202"/>
      <c r="W445" s="202"/>
      <c r="X445" s="202"/>
      <c r="Y445" s="202"/>
      <c r="AQ445" s="19"/>
    </row>
    <row r="446" spans="3:43" x14ac:dyDescent="0.25">
      <c r="E446" s="52"/>
      <c r="F446" s="34" t="s">
        <v>204</v>
      </c>
      <c r="G446" s="34" t="s">
        <v>170</v>
      </c>
      <c r="H446" s="17"/>
      <c r="I446" s="17"/>
      <c r="J446" s="203"/>
      <c r="K446" s="203"/>
      <c r="L446" s="225">
        <f t="shared" si="87"/>
        <v>0</v>
      </c>
      <c r="M446" s="203"/>
      <c r="N446" s="225">
        <f t="shared" si="88"/>
        <v>32956.518470660201</v>
      </c>
      <c r="O446" s="225">
        <f t="shared" si="88"/>
        <v>1805.2166819396305</v>
      </c>
      <c r="P446" s="225">
        <f t="shared" si="88"/>
        <v>34469.917988329355</v>
      </c>
      <c r="Q446" s="203"/>
      <c r="R446" s="203"/>
      <c r="S446" s="203"/>
      <c r="T446" s="203"/>
      <c r="U446" s="203"/>
      <c r="V446" s="203"/>
      <c r="W446" s="203"/>
      <c r="X446" s="203"/>
      <c r="Y446" s="203"/>
      <c r="AQ446" s="19"/>
    </row>
    <row r="447" spans="3:43" x14ac:dyDescent="0.25">
      <c r="AQ447" s="19"/>
    </row>
    <row r="448" spans="3:43" x14ac:dyDescent="0.25">
      <c r="C448" s="5" t="str">
        <f ca="1">INDEX('Version control'!$H$36:$H$62,MATCH($A$1,'Version control'!$F$36:$F$62,0),1)&amp;"-H: Residual band 4 volume discounting"</f>
        <v>Section 507-H: Residual band 4 volume discounting</v>
      </c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Q448" s="19"/>
    </row>
    <row r="449" spans="3:43" x14ac:dyDescent="0.25">
      <c r="C449" s="52"/>
      <c r="AQ449" s="19"/>
    </row>
    <row r="450" spans="3:43" x14ac:dyDescent="0.25">
      <c r="E450" s="52" t="s">
        <v>1089</v>
      </c>
      <c r="G450" s="91"/>
      <c r="I450" t="s">
        <v>359</v>
      </c>
      <c r="AQ450" s="19"/>
    </row>
    <row r="451" spans="3:43" x14ac:dyDescent="0.25">
      <c r="E451" s="52"/>
      <c r="F451" s="38" t="s">
        <v>199</v>
      </c>
      <c r="G451" s="38" t="s">
        <v>120</v>
      </c>
      <c r="H451" s="80"/>
      <c r="I451" s="80"/>
      <c r="J451" s="201"/>
      <c r="K451" s="201"/>
      <c r="L451" s="224">
        <f t="shared" ref="L451:L457" si="89">(1 - L315) * L141</f>
        <v>162.84074735734191</v>
      </c>
      <c r="M451" s="201"/>
      <c r="N451" s="224">
        <f t="shared" ref="N451:P457" si="90">(1 - N315) * N141</f>
        <v>362.63724777095297</v>
      </c>
      <c r="O451" s="224">
        <f t="shared" si="90"/>
        <v>0</v>
      </c>
      <c r="P451" s="224">
        <f t="shared" si="90"/>
        <v>0</v>
      </c>
      <c r="Q451" s="201"/>
      <c r="R451" s="201"/>
      <c r="S451" s="201"/>
      <c r="T451" s="201"/>
      <c r="U451" s="201"/>
      <c r="V451" s="201"/>
      <c r="W451" s="201"/>
      <c r="X451" s="201"/>
      <c r="Y451" s="201"/>
      <c r="AQ451" s="19"/>
    </row>
    <row r="452" spans="3:43" x14ac:dyDescent="0.25">
      <c r="E452" s="52"/>
      <c r="F452" s="92" t="s">
        <v>200</v>
      </c>
      <c r="G452" s="92" t="s">
        <v>120</v>
      </c>
      <c r="J452" s="202"/>
      <c r="K452" s="202"/>
      <c r="L452" s="221">
        <f t="shared" si="89"/>
        <v>843.58209206274114</v>
      </c>
      <c r="M452" s="202"/>
      <c r="N452" s="221">
        <f t="shared" si="90"/>
        <v>1633.4954376552405</v>
      </c>
      <c r="O452" s="221">
        <f t="shared" si="90"/>
        <v>0</v>
      </c>
      <c r="P452" s="221">
        <f t="shared" si="90"/>
        <v>0</v>
      </c>
      <c r="Q452" s="202"/>
      <c r="R452" s="202"/>
      <c r="S452" s="202"/>
      <c r="T452" s="202"/>
      <c r="U452" s="202"/>
      <c r="V452" s="202"/>
      <c r="W452" s="202"/>
      <c r="X452" s="202"/>
      <c r="Y452" s="202"/>
      <c r="AQ452" s="19"/>
    </row>
    <row r="453" spans="3:43" x14ac:dyDescent="0.25">
      <c r="E453" s="52"/>
      <c r="F453" s="92" t="s">
        <v>201</v>
      </c>
      <c r="G453" s="92" t="s">
        <v>120</v>
      </c>
      <c r="J453" s="202"/>
      <c r="K453" s="202"/>
      <c r="L453" s="221">
        <f t="shared" si="89"/>
        <v>640.48694823223332</v>
      </c>
      <c r="M453" s="202"/>
      <c r="N453" s="221">
        <f t="shared" si="90"/>
        <v>1457.231309516814</v>
      </c>
      <c r="O453" s="221">
        <f t="shared" si="90"/>
        <v>0</v>
      </c>
      <c r="P453" s="221">
        <f t="shared" si="90"/>
        <v>0</v>
      </c>
      <c r="Q453" s="202"/>
      <c r="R453" s="202"/>
      <c r="S453" s="202"/>
      <c r="T453" s="202"/>
      <c r="U453" s="202"/>
      <c r="V453" s="202"/>
      <c r="W453" s="202"/>
      <c r="X453" s="202"/>
      <c r="Y453" s="202"/>
      <c r="AQ453" s="19"/>
    </row>
    <row r="454" spans="3:43" x14ac:dyDescent="0.25">
      <c r="E454" s="52"/>
      <c r="F454" s="92" t="s">
        <v>74</v>
      </c>
      <c r="G454" s="92" t="s">
        <v>74</v>
      </c>
      <c r="J454" s="202"/>
      <c r="K454" s="202"/>
      <c r="L454" s="221">
        <f t="shared" si="89"/>
        <v>51.656778787559183</v>
      </c>
      <c r="M454" s="202"/>
      <c r="N454" s="221">
        <f t="shared" si="90"/>
        <v>5.3438047021612949</v>
      </c>
      <c r="O454" s="221">
        <f t="shared" si="90"/>
        <v>0</v>
      </c>
      <c r="P454" s="221">
        <f t="shared" si="90"/>
        <v>0</v>
      </c>
      <c r="Q454" s="202"/>
      <c r="R454" s="202"/>
      <c r="S454" s="202"/>
      <c r="T454" s="202"/>
      <c r="U454" s="202"/>
      <c r="V454" s="202"/>
      <c r="W454" s="202"/>
      <c r="X454" s="202"/>
      <c r="Y454" s="202"/>
      <c r="AQ454" s="19"/>
    </row>
    <row r="455" spans="3:43" x14ac:dyDescent="0.25">
      <c r="E455" s="52"/>
      <c r="F455" s="92" t="s">
        <v>202</v>
      </c>
      <c r="G455" s="92" t="s">
        <v>169</v>
      </c>
      <c r="J455" s="202"/>
      <c r="K455" s="202"/>
      <c r="L455" s="221">
        <f t="shared" si="89"/>
        <v>0</v>
      </c>
      <c r="M455" s="202"/>
      <c r="N455" s="221">
        <f t="shared" si="90"/>
        <v>2898.1234168054752</v>
      </c>
      <c r="O455" s="221">
        <f t="shared" si="90"/>
        <v>0</v>
      </c>
      <c r="P455" s="221">
        <f t="shared" si="90"/>
        <v>0</v>
      </c>
      <c r="Q455" s="202"/>
      <c r="R455" s="202"/>
      <c r="S455" s="202"/>
      <c r="T455" s="202"/>
      <c r="U455" s="202"/>
      <c r="V455" s="202"/>
      <c r="W455" s="202"/>
      <c r="X455" s="202"/>
      <c r="Y455" s="202"/>
      <c r="AQ455" s="19"/>
    </row>
    <row r="456" spans="3:43" x14ac:dyDescent="0.25">
      <c r="E456" s="52"/>
      <c r="F456" s="92" t="s">
        <v>203</v>
      </c>
      <c r="G456" s="92" t="s">
        <v>169</v>
      </c>
      <c r="J456" s="202"/>
      <c r="K456" s="202"/>
      <c r="L456" s="221">
        <f t="shared" si="89"/>
        <v>0</v>
      </c>
      <c r="M456" s="202"/>
      <c r="N456" s="221">
        <f t="shared" si="90"/>
        <v>9.5000972482867461</v>
      </c>
      <c r="O456" s="221">
        <f t="shared" si="90"/>
        <v>0</v>
      </c>
      <c r="P456" s="221">
        <f t="shared" si="90"/>
        <v>0</v>
      </c>
      <c r="Q456" s="202"/>
      <c r="R456" s="202"/>
      <c r="S456" s="202"/>
      <c r="T456" s="202"/>
      <c r="U456" s="202"/>
      <c r="V456" s="202"/>
      <c r="W456" s="202"/>
      <c r="X456" s="202"/>
      <c r="Y456" s="202"/>
      <c r="AQ456" s="19"/>
    </row>
    <row r="457" spans="3:43" x14ac:dyDescent="0.25">
      <c r="E457" s="52"/>
      <c r="F457" s="34" t="s">
        <v>204</v>
      </c>
      <c r="G457" s="34" t="s">
        <v>170</v>
      </c>
      <c r="H457" s="17"/>
      <c r="I457" s="17"/>
      <c r="J457" s="203"/>
      <c r="K457" s="203"/>
      <c r="L457" s="225">
        <f t="shared" si="89"/>
        <v>0</v>
      </c>
      <c r="M457" s="203"/>
      <c r="N457" s="225">
        <f t="shared" si="90"/>
        <v>193.42435499943022</v>
      </c>
      <c r="O457" s="225">
        <f t="shared" si="90"/>
        <v>0</v>
      </c>
      <c r="P457" s="225">
        <f t="shared" si="90"/>
        <v>0</v>
      </c>
      <c r="Q457" s="203"/>
      <c r="R457" s="203"/>
      <c r="S457" s="203"/>
      <c r="T457" s="203"/>
      <c r="U457" s="203"/>
      <c r="V457" s="203"/>
      <c r="W457" s="203"/>
      <c r="X457" s="203"/>
      <c r="Y457" s="203"/>
      <c r="AQ457" s="19"/>
    </row>
    <row r="458" spans="3:43" x14ac:dyDescent="0.25">
      <c r="AQ458" s="19"/>
    </row>
    <row r="459" spans="3:43" x14ac:dyDescent="0.25">
      <c r="E459" s="52" t="s">
        <v>1090</v>
      </c>
      <c r="G459" s="91"/>
      <c r="I459" t="s">
        <v>359</v>
      </c>
      <c r="AQ459" s="19"/>
    </row>
    <row r="460" spans="3:43" x14ac:dyDescent="0.25">
      <c r="E460" s="52"/>
      <c r="F460" s="38" t="s">
        <v>199</v>
      </c>
      <c r="G460" s="38" t="s">
        <v>120</v>
      </c>
      <c r="H460" s="80"/>
      <c r="I460" s="80"/>
      <c r="J460" s="201"/>
      <c r="K460" s="201"/>
      <c r="L460" s="224">
        <f t="shared" ref="L460:L466" si="91">(1 - L324) * L188</f>
        <v>473.66201237534466</v>
      </c>
      <c r="M460" s="201"/>
      <c r="N460" s="224">
        <f t="shared" ref="N460:P466" si="92">(1 - N324) * N188</f>
        <v>3936.0070517611121</v>
      </c>
      <c r="O460" s="224">
        <f t="shared" si="92"/>
        <v>2096.5740572027148</v>
      </c>
      <c r="P460" s="224">
        <f t="shared" si="92"/>
        <v>2138.6964351159763</v>
      </c>
      <c r="Q460" s="201"/>
      <c r="R460" s="201"/>
      <c r="S460" s="201"/>
      <c r="T460" s="201"/>
      <c r="U460" s="201"/>
      <c r="V460" s="201"/>
      <c r="W460" s="201"/>
      <c r="X460" s="201"/>
      <c r="Y460" s="201"/>
      <c r="AQ460" s="19"/>
    </row>
    <row r="461" spans="3:43" x14ac:dyDescent="0.25">
      <c r="E461" s="52"/>
      <c r="F461" s="92" t="s">
        <v>200</v>
      </c>
      <c r="G461" s="92" t="s">
        <v>120</v>
      </c>
      <c r="J461" s="202"/>
      <c r="K461" s="202"/>
      <c r="L461" s="221">
        <f t="shared" si="91"/>
        <v>2457.7769004482352</v>
      </c>
      <c r="M461" s="202"/>
      <c r="N461" s="221">
        <f t="shared" si="92"/>
        <v>17400.466889656738</v>
      </c>
      <c r="O461" s="221">
        <f t="shared" si="92"/>
        <v>9566.304758500075</v>
      </c>
      <c r="P461" s="221">
        <f t="shared" si="92"/>
        <v>9466.38390429223</v>
      </c>
      <c r="Q461" s="202"/>
      <c r="R461" s="202"/>
      <c r="S461" s="202"/>
      <c r="T461" s="202"/>
      <c r="U461" s="202"/>
      <c r="V461" s="202"/>
      <c r="W461" s="202"/>
      <c r="X461" s="202"/>
      <c r="Y461" s="202"/>
      <c r="AQ461" s="19"/>
    </row>
    <row r="462" spans="3:43" x14ac:dyDescent="0.25">
      <c r="E462" s="52"/>
      <c r="F462" s="92" t="s">
        <v>201</v>
      </c>
      <c r="G462" s="92" t="s">
        <v>120</v>
      </c>
      <c r="J462" s="202"/>
      <c r="K462" s="202"/>
      <c r="L462" s="221">
        <f t="shared" si="91"/>
        <v>1917.0399961975763</v>
      </c>
      <c r="M462" s="202"/>
      <c r="N462" s="221">
        <f t="shared" si="92"/>
        <v>15847.545755142313</v>
      </c>
      <c r="O462" s="221">
        <f t="shared" si="92"/>
        <v>8784.4226106695278</v>
      </c>
      <c r="P462" s="221">
        <f t="shared" si="92"/>
        <v>11095.159961276766</v>
      </c>
      <c r="Q462" s="202"/>
      <c r="R462" s="202"/>
      <c r="S462" s="202"/>
      <c r="T462" s="202"/>
      <c r="U462" s="202"/>
      <c r="V462" s="202"/>
      <c r="W462" s="202"/>
      <c r="X462" s="202"/>
      <c r="Y462" s="202"/>
      <c r="AQ462" s="19"/>
    </row>
    <row r="463" spans="3:43" x14ac:dyDescent="0.25">
      <c r="E463" s="52"/>
      <c r="F463" s="92" t="s">
        <v>74</v>
      </c>
      <c r="G463" s="92" t="s">
        <v>74</v>
      </c>
      <c r="J463" s="202"/>
      <c r="K463" s="202"/>
      <c r="L463" s="221">
        <f t="shared" si="91"/>
        <v>113.18502981413491</v>
      </c>
      <c r="M463" s="202"/>
      <c r="N463" s="221">
        <f t="shared" si="92"/>
        <v>59.73654351301564</v>
      </c>
      <c r="O463" s="221">
        <f t="shared" si="92"/>
        <v>22.540660005799975</v>
      </c>
      <c r="P463" s="221">
        <f t="shared" si="92"/>
        <v>5.3244666549656205</v>
      </c>
      <c r="Q463" s="202"/>
      <c r="R463" s="202"/>
      <c r="S463" s="202"/>
      <c r="T463" s="202"/>
      <c r="U463" s="202"/>
      <c r="V463" s="202"/>
      <c r="W463" s="202"/>
      <c r="X463" s="202"/>
      <c r="Y463" s="202"/>
      <c r="AQ463" s="19"/>
    </row>
    <row r="464" spans="3:43" x14ac:dyDescent="0.25">
      <c r="E464" s="52"/>
      <c r="F464" s="92" t="s">
        <v>202</v>
      </c>
      <c r="G464" s="92" t="s">
        <v>169</v>
      </c>
      <c r="J464" s="202"/>
      <c r="K464" s="202"/>
      <c r="L464" s="221">
        <f t="shared" si="91"/>
        <v>0</v>
      </c>
      <c r="M464" s="202"/>
      <c r="N464" s="221">
        <f t="shared" si="92"/>
        <v>26724.636154135373</v>
      </c>
      <c r="O464" s="221">
        <f t="shared" si="92"/>
        <v>13752.454445891608</v>
      </c>
      <c r="P464" s="221">
        <f t="shared" si="92"/>
        <v>14452.123777763827</v>
      </c>
      <c r="Q464" s="202"/>
      <c r="R464" s="202"/>
      <c r="S464" s="202"/>
      <c r="T464" s="202"/>
      <c r="U464" s="202"/>
      <c r="V464" s="202"/>
      <c r="W464" s="202"/>
      <c r="X464" s="202"/>
      <c r="Y464" s="202"/>
      <c r="AQ464" s="19"/>
    </row>
    <row r="465" spans="3:43" x14ac:dyDescent="0.25">
      <c r="E465" s="52"/>
      <c r="F465" s="92" t="s">
        <v>203</v>
      </c>
      <c r="G465" s="92" t="s">
        <v>169</v>
      </c>
      <c r="J465" s="202"/>
      <c r="K465" s="202"/>
      <c r="L465" s="221">
        <f t="shared" si="91"/>
        <v>0</v>
      </c>
      <c r="M465" s="202"/>
      <c r="N465" s="221">
        <f t="shared" si="92"/>
        <v>64.845589997681458</v>
      </c>
      <c r="O465" s="221">
        <f t="shared" si="92"/>
        <v>3.9777635304352894</v>
      </c>
      <c r="P465" s="221">
        <f t="shared" si="92"/>
        <v>64.654237953153967</v>
      </c>
      <c r="Q465" s="202"/>
      <c r="R465" s="202"/>
      <c r="S465" s="202"/>
      <c r="T465" s="202"/>
      <c r="U465" s="202"/>
      <c r="V465" s="202"/>
      <c r="W465" s="202"/>
      <c r="X465" s="202"/>
      <c r="Y465" s="202"/>
      <c r="AQ465" s="19"/>
    </row>
    <row r="466" spans="3:43" x14ac:dyDescent="0.25">
      <c r="E466" s="52"/>
      <c r="F466" s="34" t="s">
        <v>204</v>
      </c>
      <c r="G466" s="34" t="s">
        <v>170</v>
      </c>
      <c r="H466" s="17"/>
      <c r="I466" s="17"/>
      <c r="J466" s="203"/>
      <c r="K466" s="203"/>
      <c r="L466" s="225">
        <f t="shared" si="91"/>
        <v>0</v>
      </c>
      <c r="M466" s="203"/>
      <c r="N466" s="225">
        <f t="shared" si="92"/>
        <v>1805.6844040218016</v>
      </c>
      <c r="O466" s="225">
        <f t="shared" si="92"/>
        <v>1132.2451964360457</v>
      </c>
      <c r="P466" s="225">
        <f t="shared" si="92"/>
        <v>732.52947345686016</v>
      </c>
      <c r="Q466" s="203"/>
      <c r="R466" s="203"/>
      <c r="S466" s="203"/>
      <c r="T466" s="203"/>
      <c r="U466" s="203"/>
      <c r="V466" s="203"/>
      <c r="W466" s="203"/>
      <c r="X466" s="203"/>
      <c r="Y466" s="203"/>
      <c r="AQ466" s="19"/>
    </row>
    <row r="467" spans="3:43" x14ac:dyDescent="0.25">
      <c r="AQ467" s="19"/>
    </row>
    <row r="468" spans="3:43" x14ac:dyDescent="0.25">
      <c r="E468" s="52" t="s">
        <v>1091</v>
      </c>
      <c r="G468" s="91"/>
      <c r="I468" t="s">
        <v>359</v>
      </c>
      <c r="AQ468" s="19"/>
    </row>
    <row r="469" spans="3:43" x14ac:dyDescent="0.25">
      <c r="E469" s="52"/>
      <c r="F469" s="38" t="s">
        <v>199</v>
      </c>
      <c r="G469" s="38" t="s">
        <v>120</v>
      </c>
      <c r="H469" s="80"/>
      <c r="I469" s="80"/>
      <c r="J469" s="201"/>
      <c r="K469" s="201"/>
      <c r="L469" s="224">
        <f t="shared" ref="L469:L475" si="93">L94+L451+L460</f>
        <v>113715.25745369098</v>
      </c>
      <c r="M469" s="201"/>
      <c r="N469" s="224">
        <f t="shared" ref="N469:P475" si="94">N94+N451+N460</f>
        <v>95232.67112123828</v>
      </c>
      <c r="O469" s="224">
        <f t="shared" si="94"/>
        <v>23795.077796595204</v>
      </c>
      <c r="P469" s="224">
        <f t="shared" si="94"/>
        <v>166683.18248264582</v>
      </c>
      <c r="Q469" s="201"/>
      <c r="R469" s="201"/>
      <c r="S469" s="201"/>
      <c r="T469" s="201"/>
      <c r="U469" s="201"/>
      <c r="V469" s="201"/>
      <c r="W469" s="201"/>
      <c r="X469" s="201"/>
      <c r="Y469" s="201"/>
      <c r="AQ469" s="19"/>
    </row>
    <row r="470" spans="3:43" x14ac:dyDescent="0.25">
      <c r="E470" s="52"/>
      <c r="F470" s="92" t="s">
        <v>200</v>
      </c>
      <c r="G470" s="92" t="s">
        <v>120</v>
      </c>
      <c r="J470" s="202"/>
      <c r="K470" s="202"/>
      <c r="L470" s="221">
        <f t="shared" si="93"/>
        <v>584775.52501283109</v>
      </c>
      <c r="M470" s="202"/>
      <c r="N470" s="221">
        <f t="shared" si="94"/>
        <v>455304.91773659328</v>
      </c>
      <c r="O470" s="221">
        <f t="shared" si="94"/>
        <v>110697.10705135003</v>
      </c>
      <c r="P470" s="221">
        <f t="shared" si="94"/>
        <v>772621.29842243204</v>
      </c>
      <c r="Q470" s="202"/>
      <c r="R470" s="202"/>
      <c r="S470" s="202"/>
      <c r="T470" s="202"/>
      <c r="U470" s="202"/>
      <c r="V470" s="202"/>
      <c r="W470" s="202"/>
      <c r="X470" s="202"/>
      <c r="Y470" s="202"/>
      <c r="AQ470" s="19"/>
    </row>
    <row r="471" spans="3:43" x14ac:dyDescent="0.25">
      <c r="E471" s="52"/>
      <c r="F471" s="92" t="s">
        <v>201</v>
      </c>
      <c r="G471" s="92" t="s">
        <v>120</v>
      </c>
      <c r="J471" s="202"/>
      <c r="K471" s="202"/>
      <c r="L471" s="221">
        <f t="shared" si="93"/>
        <v>470253.32774256839</v>
      </c>
      <c r="M471" s="202"/>
      <c r="N471" s="221">
        <f t="shared" si="94"/>
        <v>404284.74226230447</v>
      </c>
      <c r="O471" s="221">
        <f t="shared" si="94"/>
        <v>112795.48457842709</v>
      </c>
      <c r="P471" s="221">
        <f t="shared" si="94"/>
        <v>850853.06726722093</v>
      </c>
      <c r="Q471" s="202"/>
      <c r="R471" s="202"/>
      <c r="S471" s="202"/>
      <c r="T471" s="202"/>
      <c r="U471" s="202"/>
      <c r="V471" s="202"/>
      <c r="W471" s="202"/>
      <c r="X471" s="202"/>
      <c r="Y471" s="202"/>
      <c r="AQ471" s="19"/>
    </row>
    <row r="472" spans="3:43" x14ac:dyDescent="0.25">
      <c r="E472" s="52"/>
      <c r="F472" s="92" t="s">
        <v>74</v>
      </c>
      <c r="G472" s="92" t="s">
        <v>74</v>
      </c>
      <c r="J472" s="202"/>
      <c r="K472" s="202"/>
      <c r="L472" s="221">
        <f t="shared" si="93"/>
        <v>21869.841808601694</v>
      </c>
      <c r="M472" s="202"/>
      <c r="N472" s="221">
        <f t="shared" si="94"/>
        <v>1622.0803482151771</v>
      </c>
      <c r="O472" s="221">
        <f t="shared" si="94"/>
        <v>224.54066000579996</v>
      </c>
      <c r="P472" s="221">
        <f t="shared" si="94"/>
        <v>215.32446665496562</v>
      </c>
      <c r="Q472" s="202"/>
      <c r="R472" s="202"/>
      <c r="S472" s="202"/>
      <c r="T472" s="202"/>
      <c r="U472" s="202"/>
      <c r="V472" s="202"/>
      <c r="W472" s="202"/>
      <c r="X472" s="202"/>
      <c r="Y472" s="202"/>
      <c r="AQ472" s="19"/>
    </row>
    <row r="473" spans="3:43" x14ac:dyDescent="0.25">
      <c r="E473" s="52"/>
      <c r="F473" s="92" t="s">
        <v>202</v>
      </c>
      <c r="G473" s="92" t="s">
        <v>169</v>
      </c>
      <c r="J473" s="202"/>
      <c r="K473" s="202"/>
      <c r="L473" s="221">
        <f t="shared" si="93"/>
        <v>0</v>
      </c>
      <c r="M473" s="202"/>
      <c r="N473" s="221">
        <f t="shared" si="94"/>
        <v>638324.75957094086</v>
      </c>
      <c r="O473" s="221">
        <f t="shared" si="94"/>
        <v>111392.45444589161</v>
      </c>
      <c r="P473" s="221">
        <f t="shared" si="94"/>
        <v>736991.1237777638</v>
      </c>
      <c r="Q473" s="202"/>
      <c r="R473" s="202"/>
      <c r="S473" s="202"/>
      <c r="T473" s="202"/>
      <c r="U473" s="202"/>
      <c r="V473" s="202"/>
      <c r="W473" s="202"/>
      <c r="X473" s="202"/>
      <c r="Y473" s="202"/>
      <c r="AQ473" s="19"/>
    </row>
    <row r="474" spans="3:43" x14ac:dyDescent="0.25">
      <c r="E474" s="52"/>
      <c r="F474" s="92" t="s">
        <v>203</v>
      </c>
      <c r="G474" s="92" t="s">
        <v>169</v>
      </c>
      <c r="J474" s="202"/>
      <c r="K474" s="202"/>
      <c r="L474" s="221">
        <f t="shared" si="93"/>
        <v>0</v>
      </c>
      <c r="M474" s="202"/>
      <c r="N474" s="221">
        <f t="shared" si="94"/>
        <v>1667.3456872459681</v>
      </c>
      <c r="O474" s="221">
        <f t="shared" si="94"/>
        <v>322.97776353043531</v>
      </c>
      <c r="P474" s="221">
        <f t="shared" si="94"/>
        <v>3978.6542379531538</v>
      </c>
      <c r="Q474" s="202"/>
      <c r="R474" s="202"/>
      <c r="S474" s="202"/>
      <c r="T474" s="202"/>
      <c r="U474" s="202"/>
      <c r="V474" s="202"/>
      <c r="W474" s="202"/>
      <c r="X474" s="202"/>
      <c r="Y474" s="202"/>
      <c r="AQ474" s="19"/>
    </row>
    <row r="475" spans="3:43" x14ac:dyDescent="0.25">
      <c r="E475" s="52"/>
      <c r="F475" s="34" t="s">
        <v>204</v>
      </c>
      <c r="G475" s="34" t="s">
        <v>170</v>
      </c>
      <c r="H475" s="17"/>
      <c r="I475" s="17"/>
      <c r="J475" s="203"/>
      <c r="K475" s="203"/>
      <c r="L475" s="225">
        <f t="shared" si="93"/>
        <v>0</v>
      </c>
      <c r="M475" s="203"/>
      <c r="N475" s="225">
        <f t="shared" si="94"/>
        <v>87547.226759021229</v>
      </c>
      <c r="O475" s="225">
        <f t="shared" si="94"/>
        <v>18296.472196436043</v>
      </c>
      <c r="P475" s="225">
        <f t="shared" si="94"/>
        <v>140247.08347345688</v>
      </c>
      <c r="Q475" s="203"/>
      <c r="R475" s="203"/>
      <c r="S475" s="203"/>
      <c r="T475" s="203"/>
      <c r="U475" s="203"/>
      <c r="V475" s="203"/>
      <c r="W475" s="203"/>
      <c r="X475" s="203"/>
      <c r="Y475" s="203"/>
      <c r="AQ475" s="19"/>
    </row>
    <row r="476" spans="3:43" x14ac:dyDescent="0.25">
      <c r="AQ476" s="19"/>
    </row>
    <row r="477" spans="3:43" x14ac:dyDescent="0.25">
      <c r="C477" s="5" t="str">
        <f ca="1">INDEX('Version control'!$H$36:$H$62,MATCH($A$1,'Version control'!$F$36:$F$62,0),1)&amp;"-I: Discounted volumes by residual band"</f>
        <v>Section 507-I: Discounted volumes by residual band</v>
      </c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Q477" s="19"/>
    </row>
    <row r="478" spans="3:43" x14ac:dyDescent="0.25">
      <c r="C478" s="52"/>
      <c r="AQ478" s="19"/>
    </row>
    <row r="479" spans="3:43" x14ac:dyDescent="0.25">
      <c r="D479" s="52" t="s">
        <v>1092</v>
      </c>
      <c r="AQ479" s="19"/>
    </row>
    <row r="480" spans="3:43" x14ac:dyDescent="0.25">
      <c r="E480" s="38" t="s">
        <v>199</v>
      </c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AQ480" s="19"/>
    </row>
    <row r="481" spans="5:43" x14ac:dyDescent="0.25">
      <c r="E481" s="37"/>
      <c r="F481" s="84" t="s">
        <v>1060</v>
      </c>
      <c r="G481" t="s">
        <v>120</v>
      </c>
      <c r="J481" s="217">
        <f t="shared" ref="J481:Y481" si="95">J353</f>
        <v>0</v>
      </c>
      <c r="K481" s="217">
        <f t="shared" si="95"/>
        <v>653.19854705140472</v>
      </c>
      <c r="L481" s="217">
        <f t="shared" si="95"/>
        <v>17.458206837827863</v>
      </c>
      <c r="M481" s="217">
        <f t="shared" si="95"/>
        <v>596.52194686342921</v>
      </c>
      <c r="N481" s="217">
        <f t="shared" si="95"/>
        <v>12.367051703011343</v>
      </c>
      <c r="O481" s="217">
        <f t="shared" si="95"/>
        <v>0.10809059005544162</v>
      </c>
      <c r="P481" s="217">
        <f t="shared" si="95"/>
        <v>303.00288221653483</v>
      </c>
      <c r="Q481" s="217">
        <f t="shared" si="95"/>
        <v>0</v>
      </c>
      <c r="R481" s="217">
        <f t="shared" si="95"/>
        <v>1639.8703771358053</v>
      </c>
      <c r="S481" s="217">
        <f t="shared" si="95"/>
        <v>19.515999999999998</v>
      </c>
      <c r="T481" s="217">
        <f t="shared" si="95"/>
        <v>5840.0349999999999</v>
      </c>
      <c r="U481" s="217">
        <f t="shared" si="95"/>
        <v>0</v>
      </c>
      <c r="V481" s="217">
        <f t="shared" si="95"/>
        <v>62.863</v>
      </c>
      <c r="W481" s="217">
        <f t="shared" si="95"/>
        <v>0</v>
      </c>
      <c r="X481" s="217">
        <f t="shared" si="95"/>
        <v>118436.88399999999</v>
      </c>
      <c r="Y481" s="217">
        <f t="shared" si="95"/>
        <v>0</v>
      </c>
      <c r="AQ481" s="19"/>
    </row>
    <row r="482" spans="5:43" x14ac:dyDescent="0.25">
      <c r="E482" s="37"/>
      <c r="F482" s="84" t="s">
        <v>1093</v>
      </c>
      <c r="G482" t="s">
        <v>120</v>
      </c>
      <c r="J482" s="421">
        <f t="shared" ref="J482:Y482" si="96">J382</f>
        <v>715414.14424724563</v>
      </c>
      <c r="K482" s="421">
        <f t="shared" si="96"/>
        <v>0</v>
      </c>
      <c r="L482" s="421">
        <f t="shared" si="96"/>
        <v>16830.933999091732</v>
      </c>
      <c r="M482" s="421">
        <f t="shared" si="96"/>
        <v>0</v>
      </c>
      <c r="N482" s="421">
        <f t="shared" si="96"/>
        <v>46169.335329102898</v>
      </c>
      <c r="O482" s="421">
        <f t="shared" si="96"/>
        <v>138.40406993184831</v>
      </c>
      <c r="P482" s="421">
        <f t="shared" si="96"/>
        <v>17133.920595490683</v>
      </c>
      <c r="Q482" s="421">
        <f t="shared" si="96"/>
        <v>11206.576663337462</v>
      </c>
      <c r="R482" s="421">
        <f t="shared" si="96"/>
        <v>0</v>
      </c>
      <c r="S482" s="421">
        <f t="shared" si="96"/>
        <v>0</v>
      </c>
      <c r="T482" s="421">
        <f t="shared" si="96"/>
        <v>0</v>
      </c>
      <c r="U482" s="421">
        <f t="shared" si="96"/>
        <v>0</v>
      </c>
      <c r="V482" s="421">
        <f t="shared" si="96"/>
        <v>0</v>
      </c>
      <c r="W482" s="421">
        <f t="shared" si="96"/>
        <v>0</v>
      </c>
      <c r="X482" s="421">
        <f t="shared" si="96"/>
        <v>0</v>
      </c>
      <c r="Y482" s="421">
        <f t="shared" si="96"/>
        <v>0</v>
      </c>
      <c r="AQ482" s="19"/>
    </row>
    <row r="483" spans="5:43" x14ac:dyDescent="0.25">
      <c r="E483" s="37"/>
      <c r="F483" s="84" t="s">
        <v>1094</v>
      </c>
      <c r="G483" t="s">
        <v>120</v>
      </c>
      <c r="J483" s="421">
        <f t="shared" ref="J483:Y483" si="97">J411</f>
        <v>0</v>
      </c>
      <c r="K483" s="421">
        <f t="shared" si="97"/>
        <v>0</v>
      </c>
      <c r="L483" s="421">
        <f t="shared" si="97"/>
        <v>30337.857984181341</v>
      </c>
      <c r="M483" s="421">
        <f t="shared" si="97"/>
        <v>0</v>
      </c>
      <c r="N483" s="421">
        <f t="shared" si="97"/>
        <v>66833.204284466337</v>
      </c>
      <c r="O483" s="421">
        <f t="shared" si="97"/>
        <v>655.20281343986665</v>
      </c>
      <c r="P483" s="421">
        <f t="shared" si="97"/>
        <v>58349.346287214612</v>
      </c>
      <c r="Q483" s="421">
        <f t="shared" si="97"/>
        <v>0</v>
      </c>
      <c r="R483" s="421">
        <f t="shared" si="97"/>
        <v>0</v>
      </c>
      <c r="S483" s="421">
        <f t="shared" si="97"/>
        <v>0</v>
      </c>
      <c r="T483" s="421">
        <f t="shared" si="97"/>
        <v>0</v>
      </c>
      <c r="U483" s="421">
        <f t="shared" si="97"/>
        <v>0</v>
      </c>
      <c r="V483" s="421">
        <f t="shared" si="97"/>
        <v>0</v>
      </c>
      <c r="W483" s="421">
        <f t="shared" si="97"/>
        <v>0</v>
      </c>
      <c r="X483" s="421">
        <f t="shared" si="97"/>
        <v>0</v>
      </c>
      <c r="Y483" s="421">
        <f t="shared" si="97"/>
        <v>0</v>
      </c>
      <c r="AQ483" s="19"/>
    </row>
    <row r="484" spans="5:43" x14ac:dyDescent="0.25">
      <c r="E484" s="37"/>
      <c r="F484" s="84" t="s">
        <v>1095</v>
      </c>
      <c r="G484" t="s">
        <v>120</v>
      </c>
      <c r="J484" s="213">
        <f t="shared" ref="J484:Y484" si="98">J440</f>
        <v>0</v>
      </c>
      <c r="K484" s="213">
        <f t="shared" si="98"/>
        <v>0</v>
      </c>
      <c r="L484" s="213">
        <f t="shared" si="98"/>
        <v>37746.513855855017</v>
      </c>
      <c r="M484" s="213">
        <f t="shared" si="98"/>
        <v>0</v>
      </c>
      <c r="N484" s="213">
        <f t="shared" si="98"/>
        <v>38441.000052264499</v>
      </c>
      <c r="O484" s="213">
        <f t="shared" si="98"/>
        <v>2110.6383406168134</v>
      </c>
      <c r="P484" s="213">
        <f t="shared" si="98"/>
        <v>53442.468628816052</v>
      </c>
      <c r="Q484" s="213">
        <f t="shared" si="98"/>
        <v>0</v>
      </c>
      <c r="R484" s="213">
        <f t="shared" si="98"/>
        <v>0</v>
      </c>
      <c r="S484" s="213">
        <f t="shared" si="98"/>
        <v>0</v>
      </c>
      <c r="T484" s="213">
        <f t="shared" si="98"/>
        <v>0</v>
      </c>
      <c r="U484" s="213">
        <f t="shared" si="98"/>
        <v>0</v>
      </c>
      <c r="V484" s="213">
        <f t="shared" si="98"/>
        <v>0</v>
      </c>
      <c r="W484" s="213">
        <f t="shared" si="98"/>
        <v>0</v>
      </c>
      <c r="X484" s="213">
        <f t="shared" si="98"/>
        <v>0</v>
      </c>
      <c r="Y484" s="213">
        <f t="shared" si="98"/>
        <v>0</v>
      </c>
      <c r="AQ484" s="19"/>
    </row>
    <row r="485" spans="5:43" x14ac:dyDescent="0.25">
      <c r="E485" s="37"/>
      <c r="F485" s="84" t="s">
        <v>1096</v>
      </c>
      <c r="G485" t="s">
        <v>120</v>
      </c>
      <c r="J485" s="213">
        <f t="shared" ref="J485:Y485" si="99">J469</f>
        <v>0</v>
      </c>
      <c r="K485" s="213">
        <f t="shared" si="99"/>
        <v>0</v>
      </c>
      <c r="L485" s="213">
        <f t="shared" si="99"/>
        <v>113715.25745369098</v>
      </c>
      <c r="M485" s="213">
        <f t="shared" si="99"/>
        <v>0</v>
      </c>
      <c r="N485" s="213">
        <f t="shared" si="99"/>
        <v>95232.67112123828</v>
      </c>
      <c r="O485" s="213">
        <f t="shared" si="99"/>
        <v>23795.077796595204</v>
      </c>
      <c r="P485" s="213">
        <f t="shared" si="99"/>
        <v>166683.18248264582</v>
      </c>
      <c r="Q485" s="213">
        <f t="shared" si="99"/>
        <v>0</v>
      </c>
      <c r="R485" s="213">
        <f t="shared" si="99"/>
        <v>0</v>
      </c>
      <c r="S485" s="213">
        <f t="shared" si="99"/>
        <v>0</v>
      </c>
      <c r="T485" s="213">
        <f t="shared" si="99"/>
        <v>0</v>
      </c>
      <c r="U485" s="213">
        <f t="shared" si="99"/>
        <v>0</v>
      </c>
      <c r="V485" s="213">
        <f t="shared" si="99"/>
        <v>0</v>
      </c>
      <c r="W485" s="213">
        <f t="shared" si="99"/>
        <v>0</v>
      </c>
      <c r="X485" s="213">
        <f t="shared" si="99"/>
        <v>0</v>
      </c>
      <c r="Y485" s="213">
        <f t="shared" si="99"/>
        <v>0</v>
      </c>
      <c r="AQ485" s="19"/>
    </row>
    <row r="486" spans="5:43" x14ac:dyDescent="0.25">
      <c r="E486" s="92" t="s">
        <v>200</v>
      </c>
      <c r="F486" s="84"/>
      <c r="J486" s="128"/>
      <c r="K486" s="128"/>
      <c r="L486" s="128"/>
      <c r="M486" s="128"/>
      <c r="N486" s="128"/>
      <c r="O486" s="128"/>
      <c r="P486" s="128"/>
      <c r="Q486" s="128"/>
      <c r="R486" s="128"/>
      <c r="S486" s="128"/>
      <c r="T486" s="128"/>
      <c r="U486" s="128"/>
      <c r="V486" s="128"/>
      <c r="W486" s="128"/>
      <c r="X486" s="128"/>
      <c r="Y486" s="128"/>
      <c r="AQ486" s="19"/>
    </row>
    <row r="487" spans="5:43" x14ac:dyDescent="0.25">
      <c r="E487" s="37"/>
      <c r="F487" s="84" t="s">
        <v>1060</v>
      </c>
      <c r="G487" t="s">
        <v>120</v>
      </c>
      <c r="J487" s="217">
        <f t="shared" ref="J487:Y487" si="100">J354</f>
        <v>0</v>
      </c>
      <c r="K487" s="217">
        <f t="shared" si="100"/>
        <v>17781.49408813944</v>
      </c>
      <c r="L487" s="217">
        <f t="shared" si="100"/>
        <v>89.773682852368651</v>
      </c>
      <c r="M487" s="217">
        <f t="shared" si="100"/>
        <v>8872.4799352594691</v>
      </c>
      <c r="N487" s="217">
        <f t="shared" si="100"/>
        <v>59.332965344726659</v>
      </c>
      <c r="O487" s="217">
        <f t="shared" si="100"/>
        <v>0.50378073179162042</v>
      </c>
      <c r="P487" s="217">
        <f t="shared" si="100"/>
        <v>1405.3229265301227</v>
      </c>
      <c r="Q487" s="217">
        <f t="shared" si="100"/>
        <v>0</v>
      </c>
      <c r="R487" s="217">
        <f t="shared" si="100"/>
        <v>8641.960699846697</v>
      </c>
      <c r="S487" s="217">
        <f t="shared" si="100"/>
        <v>77.882999999999996</v>
      </c>
      <c r="T487" s="217">
        <f t="shared" si="100"/>
        <v>26458.666000000001</v>
      </c>
      <c r="U487" s="217">
        <f t="shared" si="100"/>
        <v>0</v>
      </c>
      <c r="V487" s="217">
        <f t="shared" si="100"/>
        <v>312.48</v>
      </c>
      <c r="W487" s="217">
        <f t="shared" si="100"/>
        <v>0</v>
      </c>
      <c r="X487" s="217">
        <f t="shared" si="100"/>
        <v>429284.261</v>
      </c>
      <c r="Y487" s="217">
        <f t="shared" si="100"/>
        <v>0</v>
      </c>
      <c r="AQ487" s="19"/>
    </row>
    <row r="488" spans="5:43" x14ac:dyDescent="0.25">
      <c r="E488" s="37"/>
      <c r="F488" s="84" t="s">
        <v>1093</v>
      </c>
      <c r="G488" t="s">
        <v>120</v>
      </c>
      <c r="J488" s="421">
        <f t="shared" ref="J488:Y488" si="101">J383</f>
        <v>2461960.7706021941</v>
      </c>
      <c r="K488" s="421">
        <f t="shared" si="101"/>
        <v>0</v>
      </c>
      <c r="L488" s="421">
        <f t="shared" si="101"/>
        <v>86556.315062413807</v>
      </c>
      <c r="M488" s="421">
        <f t="shared" si="101"/>
        <v>0</v>
      </c>
      <c r="N488" s="421">
        <f t="shared" si="101"/>
        <v>221364.34504091096</v>
      </c>
      <c r="O488" s="421">
        <f t="shared" si="101"/>
        <v>645.06358599246971</v>
      </c>
      <c r="P488" s="421">
        <f t="shared" si="101"/>
        <v>79401.494073673166</v>
      </c>
      <c r="Q488" s="421">
        <f t="shared" si="101"/>
        <v>64706.530073099166</v>
      </c>
      <c r="R488" s="421">
        <f t="shared" si="101"/>
        <v>0</v>
      </c>
      <c r="S488" s="421">
        <f t="shared" si="101"/>
        <v>0</v>
      </c>
      <c r="T488" s="421">
        <f t="shared" si="101"/>
        <v>0</v>
      </c>
      <c r="U488" s="421">
        <f t="shared" si="101"/>
        <v>0</v>
      </c>
      <c r="V488" s="421">
        <f t="shared" si="101"/>
        <v>0</v>
      </c>
      <c r="W488" s="421">
        <f t="shared" si="101"/>
        <v>0</v>
      </c>
      <c r="X488" s="421">
        <f t="shared" si="101"/>
        <v>0</v>
      </c>
      <c r="Y488" s="421">
        <f t="shared" si="101"/>
        <v>0</v>
      </c>
      <c r="AQ488" s="19"/>
    </row>
    <row r="489" spans="5:43" x14ac:dyDescent="0.25">
      <c r="E489" s="37"/>
      <c r="F489" s="84" t="s">
        <v>1094</v>
      </c>
      <c r="G489" t="s">
        <v>120</v>
      </c>
      <c r="J489" s="421">
        <f t="shared" ref="J489:Y489" si="102">J412</f>
        <v>0</v>
      </c>
      <c r="K489" s="421">
        <f t="shared" si="102"/>
        <v>0</v>
      </c>
      <c r="L489" s="421">
        <f t="shared" si="102"/>
        <v>156015.40824177497</v>
      </c>
      <c r="M489" s="421">
        <f t="shared" si="102"/>
        <v>0</v>
      </c>
      <c r="N489" s="421">
        <f t="shared" si="102"/>
        <v>320210.95263347327</v>
      </c>
      <c r="O489" s="421">
        <f t="shared" si="102"/>
        <v>3050.4858950843641</v>
      </c>
      <c r="P489" s="421">
        <f t="shared" si="102"/>
        <v>270535.34371686453</v>
      </c>
      <c r="Q489" s="421">
        <f t="shared" si="102"/>
        <v>0</v>
      </c>
      <c r="R489" s="421">
        <f t="shared" si="102"/>
        <v>0</v>
      </c>
      <c r="S489" s="421">
        <f t="shared" si="102"/>
        <v>0</v>
      </c>
      <c r="T489" s="421">
        <f t="shared" si="102"/>
        <v>0</v>
      </c>
      <c r="U489" s="421">
        <f t="shared" si="102"/>
        <v>0</v>
      </c>
      <c r="V489" s="421">
        <f t="shared" si="102"/>
        <v>0</v>
      </c>
      <c r="W489" s="421">
        <f t="shared" si="102"/>
        <v>0</v>
      </c>
      <c r="X489" s="421">
        <f t="shared" si="102"/>
        <v>0</v>
      </c>
      <c r="Y489" s="421">
        <f t="shared" si="102"/>
        <v>0</v>
      </c>
      <c r="AQ489" s="19"/>
    </row>
    <row r="490" spans="5:43" x14ac:dyDescent="0.25">
      <c r="E490" s="37"/>
      <c r="F490" s="84" t="s">
        <v>1095</v>
      </c>
      <c r="G490" t="s">
        <v>120</v>
      </c>
      <c r="J490" s="213">
        <f t="shared" ref="J490:Y490" si="103">J441</f>
        <v>0</v>
      </c>
      <c r="K490" s="213">
        <f t="shared" si="103"/>
        <v>0</v>
      </c>
      <c r="L490" s="213">
        <f t="shared" si="103"/>
        <v>194114.46316481108</v>
      </c>
      <c r="M490" s="213">
        <f t="shared" si="103"/>
        <v>0</v>
      </c>
      <c r="N490" s="213">
        <f t="shared" si="103"/>
        <v>183876.33823199061</v>
      </c>
      <c r="O490" s="213">
        <f t="shared" si="103"/>
        <v>9834.8828110708655</v>
      </c>
      <c r="P490" s="213">
        <f t="shared" si="103"/>
        <v>247593.67089200363</v>
      </c>
      <c r="Q490" s="213">
        <f t="shared" si="103"/>
        <v>0</v>
      </c>
      <c r="R490" s="213">
        <f t="shared" si="103"/>
        <v>0</v>
      </c>
      <c r="S490" s="213">
        <f t="shared" si="103"/>
        <v>0</v>
      </c>
      <c r="T490" s="213">
        <f t="shared" si="103"/>
        <v>0</v>
      </c>
      <c r="U490" s="213">
        <f t="shared" si="103"/>
        <v>0</v>
      </c>
      <c r="V490" s="213">
        <f t="shared" si="103"/>
        <v>0</v>
      </c>
      <c r="W490" s="213">
        <f t="shared" si="103"/>
        <v>0</v>
      </c>
      <c r="X490" s="213">
        <f t="shared" si="103"/>
        <v>0</v>
      </c>
      <c r="Y490" s="213">
        <f t="shared" si="103"/>
        <v>0</v>
      </c>
      <c r="AQ490" s="19"/>
    </row>
    <row r="491" spans="5:43" x14ac:dyDescent="0.25">
      <c r="E491" s="37"/>
      <c r="F491" s="84" t="s">
        <v>1096</v>
      </c>
      <c r="G491" t="s">
        <v>120</v>
      </c>
      <c r="J491" s="213">
        <f t="shared" ref="J491:Y491" si="104">J470</f>
        <v>0</v>
      </c>
      <c r="K491" s="213">
        <f t="shared" si="104"/>
        <v>0</v>
      </c>
      <c r="L491" s="213">
        <f t="shared" si="104"/>
        <v>584775.52501283109</v>
      </c>
      <c r="M491" s="213">
        <f t="shared" si="104"/>
        <v>0</v>
      </c>
      <c r="N491" s="213">
        <f t="shared" si="104"/>
        <v>455304.91773659328</v>
      </c>
      <c r="O491" s="213">
        <f t="shared" si="104"/>
        <v>110697.10705135003</v>
      </c>
      <c r="P491" s="213">
        <f t="shared" si="104"/>
        <v>772621.29842243204</v>
      </c>
      <c r="Q491" s="213">
        <f t="shared" si="104"/>
        <v>0</v>
      </c>
      <c r="R491" s="213">
        <f t="shared" si="104"/>
        <v>0</v>
      </c>
      <c r="S491" s="213">
        <f t="shared" si="104"/>
        <v>0</v>
      </c>
      <c r="T491" s="213">
        <f t="shared" si="104"/>
        <v>0</v>
      </c>
      <c r="U491" s="213">
        <f t="shared" si="104"/>
        <v>0</v>
      </c>
      <c r="V491" s="213">
        <f t="shared" si="104"/>
        <v>0</v>
      </c>
      <c r="W491" s="213">
        <f t="shared" si="104"/>
        <v>0</v>
      </c>
      <c r="X491" s="213">
        <f t="shared" si="104"/>
        <v>0</v>
      </c>
      <c r="Y491" s="213">
        <f t="shared" si="104"/>
        <v>0</v>
      </c>
      <c r="AQ491" s="19"/>
    </row>
    <row r="492" spans="5:43" x14ac:dyDescent="0.25">
      <c r="E492" s="92" t="s">
        <v>201</v>
      </c>
      <c r="F492" s="84"/>
      <c r="J492" s="128"/>
      <c r="K492" s="128"/>
      <c r="L492" s="128"/>
      <c r="M492" s="128"/>
      <c r="N492" s="128"/>
      <c r="O492" s="128"/>
      <c r="P492" s="128"/>
      <c r="Q492" s="128"/>
      <c r="R492" s="128"/>
      <c r="S492" s="128"/>
      <c r="T492" s="128"/>
      <c r="U492" s="128"/>
      <c r="V492" s="128"/>
      <c r="W492" s="128"/>
      <c r="X492" s="128"/>
      <c r="Y492" s="128"/>
      <c r="AQ492" s="19"/>
    </row>
    <row r="493" spans="5:43" x14ac:dyDescent="0.25">
      <c r="E493" s="37"/>
      <c r="F493" s="84" t="s">
        <v>1060</v>
      </c>
      <c r="G493" t="s">
        <v>120</v>
      </c>
      <c r="J493" s="217">
        <f t="shared" ref="J493:Y493" si="105">J355</f>
        <v>0</v>
      </c>
      <c r="K493" s="217">
        <f t="shared" si="105"/>
        <v>171787.63043176121</v>
      </c>
      <c r="L493" s="217">
        <f t="shared" si="105"/>
        <v>72.20746328181572</v>
      </c>
      <c r="M493" s="217">
        <f t="shared" si="105"/>
        <v>35850.647959933427</v>
      </c>
      <c r="N493" s="217">
        <f t="shared" si="105"/>
        <v>52.629377636737694</v>
      </c>
      <c r="O493" s="217">
        <f t="shared" si="105"/>
        <v>0.51812867815293817</v>
      </c>
      <c r="P493" s="217">
        <f t="shared" si="105"/>
        <v>1546.3846427787762</v>
      </c>
      <c r="Q493" s="217">
        <f t="shared" si="105"/>
        <v>0</v>
      </c>
      <c r="R493" s="217">
        <f t="shared" si="105"/>
        <v>3872.32969751788</v>
      </c>
      <c r="S493" s="217">
        <f t="shared" si="105"/>
        <v>58.205000000000005</v>
      </c>
      <c r="T493" s="217">
        <f t="shared" si="105"/>
        <v>29713.727000000003</v>
      </c>
      <c r="U493" s="217">
        <f t="shared" si="105"/>
        <v>0</v>
      </c>
      <c r="V493" s="217">
        <f t="shared" si="105"/>
        <v>275.35399999999998</v>
      </c>
      <c r="W493" s="217">
        <f t="shared" si="105"/>
        <v>0</v>
      </c>
      <c r="X493" s="217">
        <f t="shared" si="105"/>
        <v>489264.26399999997</v>
      </c>
      <c r="Y493" s="217">
        <f t="shared" si="105"/>
        <v>0</v>
      </c>
      <c r="AQ493" s="19"/>
    </row>
    <row r="494" spans="5:43" x14ac:dyDescent="0.25">
      <c r="E494" s="37"/>
      <c r="F494" s="84" t="s">
        <v>1093</v>
      </c>
      <c r="G494" t="s">
        <v>120</v>
      </c>
      <c r="J494" s="421">
        <f t="shared" ref="J494:Y494" si="106">J384</f>
        <v>2333226.662709387</v>
      </c>
      <c r="K494" s="421">
        <f t="shared" si="106"/>
        <v>0</v>
      </c>
      <c r="L494" s="421">
        <f t="shared" si="106"/>
        <v>69583.805651119197</v>
      </c>
      <c r="M494" s="421">
        <f t="shared" si="106"/>
        <v>0</v>
      </c>
      <c r="N494" s="421">
        <f t="shared" si="106"/>
        <v>196386.70199102216</v>
      </c>
      <c r="O494" s="421">
        <f t="shared" si="106"/>
        <v>663.435344075682</v>
      </c>
      <c r="P494" s="421">
        <f t="shared" si="106"/>
        <v>87469.520480843115</v>
      </c>
      <c r="Q494" s="421">
        <f t="shared" si="106"/>
        <v>148914.11944191009</v>
      </c>
      <c r="R494" s="421">
        <f t="shared" si="106"/>
        <v>0</v>
      </c>
      <c r="S494" s="421">
        <f t="shared" si="106"/>
        <v>0</v>
      </c>
      <c r="T494" s="421">
        <f t="shared" si="106"/>
        <v>0</v>
      </c>
      <c r="U494" s="421">
        <f t="shared" si="106"/>
        <v>0</v>
      </c>
      <c r="V494" s="421">
        <f t="shared" si="106"/>
        <v>0</v>
      </c>
      <c r="W494" s="421">
        <f t="shared" si="106"/>
        <v>0</v>
      </c>
      <c r="X494" s="421">
        <f t="shared" si="106"/>
        <v>0</v>
      </c>
      <c r="Y494" s="421">
        <f t="shared" si="106"/>
        <v>0</v>
      </c>
      <c r="AQ494" s="19"/>
    </row>
    <row r="495" spans="5:43" x14ac:dyDescent="0.25">
      <c r="E495" s="37"/>
      <c r="F495" s="84" t="s">
        <v>1094</v>
      </c>
      <c r="G495" t="s">
        <v>120</v>
      </c>
      <c r="J495" s="421">
        <f t="shared" ref="J495:Y495" si="107">J413</f>
        <v>0</v>
      </c>
      <c r="K495" s="421">
        <f t="shared" si="107"/>
        <v>0</v>
      </c>
      <c r="L495" s="421">
        <f t="shared" si="107"/>
        <v>125437.16145212483</v>
      </c>
      <c r="M495" s="421">
        <f t="shared" si="107"/>
        <v>0</v>
      </c>
      <c r="N495" s="421">
        <f t="shared" si="107"/>
        <v>284137.23231146194</v>
      </c>
      <c r="O495" s="421">
        <f t="shared" si="107"/>
        <v>3120.745255533991</v>
      </c>
      <c r="P495" s="421">
        <f t="shared" si="107"/>
        <v>297822.76043848717</v>
      </c>
      <c r="Q495" s="421">
        <f t="shared" si="107"/>
        <v>0</v>
      </c>
      <c r="R495" s="421">
        <f t="shared" si="107"/>
        <v>0</v>
      </c>
      <c r="S495" s="421">
        <f t="shared" si="107"/>
        <v>0</v>
      </c>
      <c r="T495" s="421">
        <f t="shared" si="107"/>
        <v>0</v>
      </c>
      <c r="U495" s="421">
        <f t="shared" si="107"/>
        <v>0</v>
      </c>
      <c r="V495" s="421">
        <f t="shared" si="107"/>
        <v>0</v>
      </c>
      <c r="W495" s="421">
        <f t="shared" si="107"/>
        <v>0</v>
      </c>
      <c r="X495" s="421">
        <f t="shared" si="107"/>
        <v>0</v>
      </c>
      <c r="Y495" s="421">
        <f t="shared" si="107"/>
        <v>0</v>
      </c>
      <c r="AQ495" s="19"/>
    </row>
    <row r="496" spans="5:43" x14ac:dyDescent="0.25">
      <c r="E496" s="37"/>
      <c r="F496" s="84" t="s">
        <v>1095</v>
      </c>
      <c r="G496" t="s">
        <v>120</v>
      </c>
      <c r="J496" s="213">
        <f t="shared" ref="J496:Y496" si="108">J442</f>
        <v>0</v>
      </c>
      <c r="K496" s="213">
        <f t="shared" si="108"/>
        <v>0</v>
      </c>
      <c r="L496" s="213">
        <f t="shared" si="108"/>
        <v>156080.74063455418</v>
      </c>
      <c r="M496" s="213">
        <f t="shared" si="108"/>
        <v>0</v>
      </c>
      <c r="N496" s="213">
        <f t="shared" si="108"/>
        <v>163225.47741360229</v>
      </c>
      <c r="O496" s="213">
        <f t="shared" si="108"/>
        <v>10103.549704315687</v>
      </c>
      <c r="P496" s="213">
        <f t="shared" si="108"/>
        <v>272853.45614356297</v>
      </c>
      <c r="Q496" s="213">
        <f t="shared" si="108"/>
        <v>0</v>
      </c>
      <c r="R496" s="213">
        <f t="shared" si="108"/>
        <v>0</v>
      </c>
      <c r="S496" s="213">
        <f t="shared" si="108"/>
        <v>0</v>
      </c>
      <c r="T496" s="213">
        <f t="shared" si="108"/>
        <v>0</v>
      </c>
      <c r="U496" s="213">
        <f t="shared" si="108"/>
        <v>0</v>
      </c>
      <c r="V496" s="213">
        <f t="shared" si="108"/>
        <v>0</v>
      </c>
      <c r="W496" s="213">
        <f t="shared" si="108"/>
        <v>0</v>
      </c>
      <c r="X496" s="213">
        <f t="shared" si="108"/>
        <v>0</v>
      </c>
      <c r="Y496" s="213">
        <f t="shared" si="108"/>
        <v>0</v>
      </c>
      <c r="AQ496" s="19"/>
    </row>
    <row r="497" spans="5:43" x14ac:dyDescent="0.25">
      <c r="E497" s="37"/>
      <c r="F497" s="84" t="s">
        <v>1096</v>
      </c>
      <c r="G497" t="s">
        <v>120</v>
      </c>
      <c r="J497" s="213">
        <f t="shared" ref="J497:Y497" si="109">J471</f>
        <v>0</v>
      </c>
      <c r="K497" s="213">
        <f t="shared" si="109"/>
        <v>0</v>
      </c>
      <c r="L497" s="213">
        <f t="shared" si="109"/>
        <v>470253.32774256839</v>
      </c>
      <c r="M497" s="213">
        <f t="shared" si="109"/>
        <v>0</v>
      </c>
      <c r="N497" s="213">
        <f t="shared" si="109"/>
        <v>404284.74226230447</v>
      </c>
      <c r="O497" s="213">
        <f t="shared" si="109"/>
        <v>112795.48457842709</v>
      </c>
      <c r="P497" s="213">
        <f t="shared" si="109"/>
        <v>850853.06726722093</v>
      </c>
      <c r="Q497" s="213">
        <f t="shared" si="109"/>
        <v>0</v>
      </c>
      <c r="R497" s="213">
        <f t="shared" si="109"/>
        <v>0</v>
      </c>
      <c r="S497" s="213">
        <f t="shared" si="109"/>
        <v>0</v>
      </c>
      <c r="T497" s="213">
        <f t="shared" si="109"/>
        <v>0</v>
      </c>
      <c r="U497" s="213">
        <f t="shared" si="109"/>
        <v>0</v>
      </c>
      <c r="V497" s="213">
        <f t="shared" si="109"/>
        <v>0</v>
      </c>
      <c r="W497" s="213">
        <f t="shared" si="109"/>
        <v>0</v>
      </c>
      <c r="X497" s="213">
        <f t="shared" si="109"/>
        <v>0</v>
      </c>
      <c r="Y497" s="213">
        <f t="shared" si="109"/>
        <v>0</v>
      </c>
      <c r="AQ497" s="19"/>
    </row>
    <row r="498" spans="5:43" x14ac:dyDescent="0.25">
      <c r="E498" s="92" t="s">
        <v>74</v>
      </c>
      <c r="F498" s="84"/>
      <c r="J498" s="128"/>
      <c r="K498" s="128"/>
      <c r="L498" s="128"/>
      <c r="M498" s="128"/>
      <c r="N498" s="128"/>
      <c r="O498" s="128"/>
      <c r="P498" s="128"/>
      <c r="Q498" s="128"/>
      <c r="R498" s="128"/>
      <c r="S498" s="128"/>
      <c r="T498" s="128"/>
      <c r="U498" s="128"/>
      <c r="V498" s="128"/>
      <c r="W498" s="128"/>
      <c r="X498" s="128"/>
      <c r="Y498" s="128"/>
      <c r="AQ498" s="19"/>
    </row>
    <row r="499" spans="5:43" x14ac:dyDescent="0.25">
      <c r="E499" s="37"/>
      <c r="F499" s="84" t="s">
        <v>1060</v>
      </c>
      <c r="G499" t="s">
        <v>74</v>
      </c>
      <c r="J499" s="217">
        <f t="shared" ref="J499:Y499" si="110">J356</f>
        <v>0</v>
      </c>
      <c r="K499" s="217">
        <f t="shared" si="110"/>
        <v>93043.729371061141</v>
      </c>
      <c r="L499" s="217">
        <f t="shared" si="110"/>
        <v>60</v>
      </c>
      <c r="M499" s="217">
        <f t="shared" si="110"/>
        <v>5473</v>
      </c>
      <c r="N499" s="217">
        <f t="shared" si="110"/>
        <v>21</v>
      </c>
      <c r="O499" s="217">
        <f t="shared" si="110"/>
        <v>1</v>
      </c>
      <c r="P499" s="217">
        <f t="shared" si="110"/>
        <v>133</v>
      </c>
      <c r="Q499" s="217">
        <f t="shared" si="110"/>
        <v>0</v>
      </c>
      <c r="R499" s="217">
        <f t="shared" si="110"/>
        <v>1153</v>
      </c>
      <c r="S499" s="217">
        <f t="shared" si="110"/>
        <v>4</v>
      </c>
      <c r="T499" s="217">
        <f t="shared" si="110"/>
        <v>496</v>
      </c>
      <c r="U499" s="217">
        <f t="shared" si="110"/>
        <v>0</v>
      </c>
      <c r="V499" s="217">
        <f t="shared" si="110"/>
        <v>9</v>
      </c>
      <c r="W499" s="217">
        <f t="shared" si="110"/>
        <v>0</v>
      </c>
      <c r="X499" s="217">
        <f t="shared" si="110"/>
        <v>261</v>
      </c>
      <c r="Y499" s="217">
        <f t="shared" si="110"/>
        <v>0</v>
      </c>
      <c r="AQ499" s="19"/>
    </row>
    <row r="500" spans="5:43" x14ac:dyDescent="0.25">
      <c r="E500" s="37"/>
      <c r="F500" s="84" t="s">
        <v>1093</v>
      </c>
      <c r="G500" t="s">
        <v>74</v>
      </c>
      <c r="J500" s="421">
        <f t="shared" ref="J500:Y500" si="111">J385</f>
        <v>1924111.5351780879</v>
      </c>
      <c r="K500" s="421">
        <f t="shared" si="111"/>
        <v>0</v>
      </c>
      <c r="L500" s="421">
        <f t="shared" si="111"/>
        <v>47213.103232814901</v>
      </c>
      <c r="M500" s="421">
        <f t="shared" si="111"/>
        <v>0</v>
      </c>
      <c r="N500" s="421">
        <f t="shared" si="111"/>
        <v>4576.790000581711</v>
      </c>
      <c r="O500" s="421">
        <f t="shared" si="111"/>
        <v>10</v>
      </c>
      <c r="P500" s="421">
        <f t="shared" si="111"/>
        <v>362.84574284209867</v>
      </c>
      <c r="Q500" s="421">
        <f t="shared" si="111"/>
        <v>4874.0599354170627</v>
      </c>
      <c r="R500" s="421">
        <f t="shared" si="111"/>
        <v>0</v>
      </c>
      <c r="S500" s="421">
        <f t="shared" si="111"/>
        <v>0</v>
      </c>
      <c r="T500" s="421">
        <f t="shared" si="111"/>
        <v>0</v>
      </c>
      <c r="U500" s="421">
        <f t="shared" si="111"/>
        <v>0</v>
      </c>
      <c r="V500" s="421">
        <f t="shared" si="111"/>
        <v>0</v>
      </c>
      <c r="W500" s="421">
        <f t="shared" si="111"/>
        <v>0</v>
      </c>
      <c r="X500" s="421">
        <f t="shared" si="111"/>
        <v>0</v>
      </c>
      <c r="Y500" s="421">
        <f t="shared" si="111"/>
        <v>0</v>
      </c>
      <c r="AQ500" s="19"/>
    </row>
    <row r="501" spans="5:43" x14ac:dyDescent="0.25">
      <c r="E501" s="37"/>
      <c r="F501" s="84" t="s">
        <v>1094</v>
      </c>
      <c r="G501" t="s">
        <v>74</v>
      </c>
      <c r="J501" s="421">
        <f t="shared" ref="J501:Y501" si="112">J414</f>
        <v>0</v>
      </c>
      <c r="K501" s="421">
        <f t="shared" si="112"/>
        <v>0</v>
      </c>
      <c r="L501" s="421">
        <f t="shared" si="112"/>
        <v>37038.605893096035</v>
      </c>
      <c r="M501" s="421">
        <f t="shared" si="112"/>
        <v>0</v>
      </c>
      <c r="N501" s="421">
        <f t="shared" si="112"/>
        <v>3798.2082072567027</v>
      </c>
      <c r="O501" s="421">
        <f t="shared" si="112"/>
        <v>25.988881765217645</v>
      </c>
      <c r="P501" s="421">
        <f t="shared" si="112"/>
        <v>407.56382856139908</v>
      </c>
      <c r="Q501" s="421">
        <f t="shared" si="112"/>
        <v>0</v>
      </c>
      <c r="R501" s="421">
        <f t="shared" si="112"/>
        <v>0</v>
      </c>
      <c r="S501" s="421">
        <f t="shared" si="112"/>
        <v>0</v>
      </c>
      <c r="T501" s="421">
        <f t="shared" si="112"/>
        <v>0</v>
      </c>
      <c r="U501" s="421">
        <f t="shared" si="112"/>
        <v>0</v>
      </c>
      <c r="V501" s="421">
        <f t="shared" si="112"/>
        <v>0</v>
      </c>
      <c r="W501" s="421">
        <f t="shared" si="112"/>
        <v>0</v>
      </c>
      <c r="X501" s="421">
        <f t="shared" si="112"/>
        <v>0</v>
      </c>
      <c r="Y501" s="421">
        <f t="shared" si="112"/>
        <v>0</v>
      </c>
      <c r="AQ501" s="19"/>
    </row>
    <row r="502" spans="5:43" x14ac:dyDescent="0.25">
      <c r="E502" s="37"/>
      <c r="F502" s="84" t="s">
        <v>1095</v>
      </c>
      <c r="G502" t="s">
        <v>74</v>
      </c>
      <c r="J502" s="213">
        <f t="shared" ref="J502:Y502" si="113">J443</f>
        <v>0</v>
      </c>
      <c r="K502" s="213">
        <f t="shared" si="113"/>
        <v>0</v>
      </c>
      <c r="L502" s="213">
        <f t="shared" si="113"/>
        <v>21339.552223993102</v>
      </c>
      <c r="M502" s="213">
        <f t="shared" si="113"/>
        <v>0</v>
      </c>
      <c r="N502" s="213">
        <f t="shared" si="113"/>
        <v>1321.6755763829976</v>
      </c>
      <c r="O502" s="213">
        <f t="shared" si="113"/>
        <v>41.66296058840588</v>
      </c>
      <c r="P502" s="213">
        <f t="shared" si="113"/>
        <v>183.08510474853213</v>
      </c>
      <c r="Q502" s="213">
        <f t="shared" si="113"/>
        <v>0</v>
      </c>
      <c r="R502" s="213">
        <f t="shared" si="113"/>
        <v>0</v>
      </c>
      <c r="S502" s="213">
        <f t="shared" si="113"/>
        <v>0</v>
      </c>
      <c r="T502" s="213">
        <f t="shared" si="113"/>
        <v>0</v>
      </c>
      <c r="U502" s="213">
        <f t="shared" si="113"/>
        <v>0</v>
      </c>
      <c r="V502" s="213">
        <f t="shared" si="113"/>
        <v>0</v>
      </c>
      <c r="W502" s="213">
        <f t="shared" si="113"/>
        <v>0</v>
      </c>
      <c r="X502" s="213">
        <f t="shared" si="113"/>
        <v>0</v>
      </c>
      <c r="Y502" s="213">
        <f t="shared" si="113"/>
        <v>0</v>
      </c>
      <c r="AQ502" s="19"/>
    </row>
    <row r="503" spans="5:43" x14ac:dyDescent="0.25">
      <c r="E503" s="37"/>
      <c r="F503" s="84" t="s">
        <v>1096</v>
      </c>
      <c r="G503" t="s">
        <v>74</v>
      </c>
      <c r="J503" s="213">
        <f t="shared" ref="J503:Y503" si="114">J472</f>
        <v>0</v>
      </c>
      <c r="K503" s="213">
        <f t="shared" si="114"/>
        <v>0</v>
      </c>
      <c r="L503" s="213">
        <f t="shared" si="114"/>
        <v>21869.841808601694</v>
      </c>
      <c r="M503" s="213">
        <f t="shared" si="114"/>
        <v>0</v>
      </c>
      <c r="N503" s="213">
        <f t="shared" si="114"/>
        <v>1622.0803482151771</v>
      </c>
      <c r="O503" s="213">
        <f t="shared" si="114"/>
        <v>224.54066000579996</v>
      </c>
      <c r="P503" s="213">
        <f t="shared" si="114"/>
        <v>215.32446665496562</v>
      </c>
      <c r="Q503" s="213">
        <f t="shared" si="114"/>
        <v>0</v>
      </c>
      <c r="R503" s="213">
        <f t="shared" si="114"/>
        <v>0</v>
      </c>
      <c r="S503" s="213">
        <f t="shared" si="114"/>
        <v>0</v>
      </c>
      <c r="T503" s="213">
        <f t="shared" si="114"/>
        <v>0</v>
      </c>
      <c r="U503" s="213">
        <f t="shared" si="114"/>
        <v>0</v>
      </c>
      <c r="V503" s="213">
        <f t="shared" si="114"/>
        <v>0</v>
      </c>
      <c r="W503" s="213">
        <f t="shared" si="114"/>
        <v>0</v>
      </c>
      <c r="X503" s="213">
        <f t="shared" si="114"/>
        <v>0</v>
      </c>
      <c r="Y503" s="213">
        <f t="shared" si="114"/>
        <v>0</v>
      </c>
      <c r="AQ503" s="19"/>
    </row>
    <row r="504" spans="5:43" x14ac:dyDescent="0.25">
      <c r="E504" s="92" t="s">
        <v>202</v>
      </c>
      <c r="F504" s="84"/>
      <c r="J504" s="128"/>
      <c r="K504" s="128"/>
      <c r="L504" s="128"/>
      <c r="M504" s="128"/>
      <c r="N504" s="128"/>
      <c r="O504" s="128"/>
      <c r="P504" s="128"/>
      <c r="Q504" s="128"/>
      <c r="R504" s="128"/>
      <c r="S504" s="128"/>
      <c r="T504" s="128"/>
      <c r="U504" s="128"/>
      <c r="V504" s="128"/>
      <c r="W504" s="128"/>
      <c r="X504" s="128"/>
      <c r="Y504" s="128"/>
      <c r="AQ504" s="19"/>
    </row>
    <row r="505" spans="5:43" x14ac:dyDescent="0.25">
      <c r="E505" s="37"/>
      <c r="F505" s="84" t="s">
        <v>1060</v>
      </c>
      <c r="G505" t="s">
        <v>169</v>
      </c>
      <c r="J505" s="217">
        <f t="shared" ref="J505:Y505" si="115">J357</f>
        <v>0</v>
      </c>
      <c r="K505" s="217">
        <f t="shared" si="115"/>
        <v>0</v>
      </c>
      <c r="L505" s="217">
        <f t="shared" si="115"/>
        <v>0</v>
      </c>
      <c r="M505" s="217">
        <f t="shared" si="115"/>
        <v>0</v>
      </c>
      <c r="N505" s="217">
        <f t="shared" si="115"/>
        <v>952</v>
      </c>
      <c r="O505" s="217">
        <f t="shared" si="115"/>
        <v>8</v>
      </c>
      <c r="P505" s="217">
        <f t="shared" si="115"/>
        <v>7676</v>
      </c>
      <c r="Q505" s="217">
        <f t="shared" si="115"/>
        <v>0</v>
      </c>
      <c r="R505" s="217">
        <f t="shared" si="115"/>
        <v>0</v>
      </c>
      <c r="S505" s="217">
        <f t="shared" si="115"/>
        <v>0</v>
      </c>
      <c r="T505" s="217">
        <f t="shared" si="115"/>
        <v>0</v>
      </c>
      <c r="U505" s="217">
        <f t="shared" si="115"/>
        <v>0</v>
      </c>
      <c r="V505" s="217">
        <f t="shared" si="115"/>
        <v>0</v>
      </c>
      <c r="W505" s="217">
        <f t="shared" si="115"/>
        <v>0</v>
      </c>
      <c r="X505" s="217">
        <f t="shared" si="115"/>
        <v>0</v>
      </c>
      <c r="Y505" s="217">
        <f t="shared" si="115"/>
        <v>0</v>
      </c>
      <c r="AQ505" s="19"/>
    </row>
    <row r="506" spans="5:43" x14ac:dyDescent="0.25">
      <c r="E506" s="37"/>
      <c r="F506" s="84" t="s">
        <v>1093</v>
      </c>
      <c r="G506" t="s">
        <v>169</v>
      </c>
      <c r="J506" s="421">
        <f t="shared" ref="J506:Y506" si="116">J386</f>
        <v>0</v>
      </c>
      <c r="K506" s="421">
        <f t="shared" si="116"/>
        <v>0</v>
      </c>
      <c r="L506" s="421">
        <f t="shared" si="116"/>
        <v>0</v>
      </c>
      <c r="M506" s="421">
        <f t="shared" si="116"/>
        <v>0</v>
      </c>
      <c r="N506" s="421">
        <f t="shared" si="116"/>
        <v>256462.99429193456</v>
      </c>
      <c r="O506" s="421">
        <f t="shared" si="116"/>
        <v>456</v>
      </c>
      <c r="P506" s="421">
        <f t="shared" si="116"/>
        <v>73715.430290652963</v>
      </c>
      <c r="Q506" s="421">
        <f t="shared" si="116"/>
        <v>0</v>
      </c>
      <c r="R506" s="421">
        <f t="shared" si="116"/>
        <v>0</v>
      </c>
      <c r="S506" s="421">
        <f t="shared" si="116"/>
        <v>0</v>
      </c>
      <c r="T506" s="421">
        <f t="shared" si="116"/>
        <v>0</v>
      </c>
      <c r="U506" s="421">
        <f t="shared" si="116"/>
        <v>0</v>
      </c>
      <c r="V506" s="421">
        <f t="shared" si="116"/>
        <v>0</v>
      </c>
      <c r="W506" s="421">
        <f t="shared" si="116"/>
        <v>0</v>
      </c>
      <c r="X506" s="421">
        <f t="shared" si="116"/>
        <v>0</v>
      </c>
      <c r="Y506" s="421">
        <f t="shared" si="116"/>
        <v>0</v>
      </c>
      <c r="AQ506" s="19"/>
    </row>
    <row r="507" spans="5:43" x14ac:dyDescent="0.25">
      <c r="E507" s="37"/>
      <c r="F507" s="84" t="s">
        <v>1094</v>
      </c>
      <c r="G507" t="s">
        <v>169</v>
      </c>
      <c r="J507" s="421">
        <f t="shared" ref="J507:Y507" si="117">J415</f>
        <v>0</v>
      </c>
      <c r="K507" s="421">
        <f t="shared" si="117"/>
        <v>0</v>
      </c>
      <c r="L507" s="421">
        <f t="shared" si="117"/>
        <v>0</v>
      </c>
      <c r="M507" s="421">
        <f t="shared" si="117"/>
        <v>0</v>
      </c>
      <c r="N507" s="421">
        <f t="shared" si="117"/>
        <v>428540.01799453655</v>
      </c>
      <c r="O507" s="421">
        <f t="shared" si="117"/>
        <v>3267.7881124087235</v>
      </c>
      <c r="P507" s="421">
        <f t="shared" si="117"/>
        <v>280516.55775572825</v>
      </c>
      <c r="Q507" s="421">
        <f t="shared" si="117"/>
        <v>0</v>
      </c>
      <c r="R507" s="421">
        <f t="shared" si="117"/>
        <v>0</v>
      </c>
      <c r="S507" s="421">
        <f t="shared" si="117"/>
        <v>0</v>
      </c>
      <c r="T507" s="421">
        <f t="shared" si="117"/>
        <v>0</v>
      </c>
      <c r="U507" s="421">
        <f t="shared" si="117"/>
        <v>0</v>
      </c>
      <c r="V507" s="421">
        <f t="shared" si="117"/>
        <v>0</v>
      </c>
      <c r="W507" s="421">
        <f t="shared" si="117"/>
        <v>0</v>
      </c>
      <c r="X507" s="421">
        <f t="shared" si="117"/>
        <v>0</v>
      </c>
      <c r="Y507" s="421">
        <f t="shared" si="117"/>
        <v>0</v>
      </c>
      <c r="AQ507" s="19"/>
    </row>
    <row r="508" spans="5:43" x14ac:dyDescent="0.25">
      <c r="E508" s="37"/>
      <c r="F508" s="84" t="s">
        <v>1095</v>
      </c>
      <c r="G508" t="s">
        <v>169</v>
      </c>
      <c r="J508" s="213">
        <f t="shared" ref="J508:Y508" si="118">J444</f>
        <v>0</v>
      </c>
      <c r="K508" s="213">
        <f t="shared" si="118"/>
        <v>0</v>
      </c>
      <c r="L508" s="213">
        <f t="shared" si="118"/>
        <v>0</v>
      </c>
      <c r="M508" s="213">
        <f t="shared" si="118"/>
        <v>0</v>
      </c>
      <c r="N508" s="213">
        <f t="shared" si="118"/>
        <v>248632.75791036771</v>
      </c>
      <c r="O508" s="213">
        <f t="shared" si="118"/>
        <v>7890.1661323913231</v>
      </c>
      <c r="P508" s="213">
        <f t="shared" si="118"/>
        <v>248207.27426665829</v>
      </c>
      <c r="Q508" s="213">
        <f t="shared" si="118"/>
        <v>0</v>
      </c>
      <c r="R508" s="213">
        <f t="shared" si="118"/>
        <v>0</v>
      </c>
      <c r="S508" s="213">
        <f t="shared" si="118"/>
        <v>0</v>
      </c>
      <c r="T508" s="213">
        <f t="shared" si="118"/>
        <v>0</v>
      </c>
      <c r="U508" s="213">
        <f t="shared" si="118"/>
        <v>0</v>
      </c>
      <c r="V508" s="213">
        <f t="shared" si="118"/>
        <v>0</v>
      </c>
      <c r="W508" s="213">
        <f t="shared" si="118"/>
        <v>0</v>
      </c>
      <c r="X508" s="213">
        <f t="shared" si="118"/>
        <v>0</v>
      </c>
      <c r="Y508" s="213">
        <f t="shared" si="118"/>
        <v>0</v>
      </c>
      <c r="AQ508" s="19"/>
    </row>
    <row r="509" spans="5:43" x14ac:dyDescent="0.25">
      <c r="E509" s="37"/>
      <c r="F509" s="84" t="s">
        <v>1096</v>
      </c>
      <c r="G509" t="s">
        <v>169</v>
      </c>
      <c r="J509" s="213">
        <f>J473</f>
        <v>0</v>
      </c>
      <c r="K509" s="213">
        <f t="shared" ref="K509:Y509" si="119">K473</f>
        <v>0</v>
      </c>
      <c r="L509" s="213">
        <f t="shared" si="119"/>
        <v>0</v>
      </c>
      <c r="M509" s="213">
        <f t="shared" si="119"/>
        <v>0</v>
      </c>
      <c r="N509" s="213">
        <f t="shared" si="119"/>
        <v>638324.75957094086</v>
      </c>
      <c r="O509" s="213">
        <f t="shared" si="119"/>
        <v>111392.45444589161</v>
      </c>
      <c r="P509" s="213">
        <f t="shared" si="119"/>
        <v>736991.1237777638</v>
      </c>
      <c r="Q509" s="213">
        <f t="shared" si="119"/>
        <v>0</v>
      </c>
      <c r="R509" s="213">
        <f t="shared" si="119"/>
        <v>0</v>
      </c>
      <c r="S509" s="213">
        <f t="shared" si="119"/>
        <v>0</v>
      </c>
      <c r="T509" s="213">
        <f t="shared" si="119"/>
        <v>0</v>
      </c>
      <c r="U509" s="213">
        <f t="shared" si="119"/>
        <v>0</v>
      </c>
      <c r="V509" s="213">
        <f t="shared" si="119"/>
        <v>0</v>
      </c>
      <c r="W509" s="213">
        <f t="shared" si="119"/>
        <v>0</v>
      </c>
      <c r="X509" s="213">
        <f t="shared" si="119"/>
        <v>0</v>
      </c>
      <c r="Y509" s="213">
        <f t="shared" si="119"/>
        <v>0</v>
      </c>
      <c r="AQ509" s="19"/>
    </row>
    <row r="510" spans="5:43" x14ac:dyDescent="0.25">
      <c r="E510" s="92" t="s">
        <v>203</v>
      </c>
      <c r="F510" s="84"/>
      <c r="J510" s="128"/>
      <c r="K510" s="128"/>
      <c r="L510" s="128"/>
      <c r="M510" s="128"/>
      <c r="N510" s="128"/>
      <c r="O510" s="128"/>
      <c r="P510" s="128"/>
      <c r="Q510" s="128"/>
      <c r="R510" s="128"/>
      <c r="S510" s="128"/>
      <c r="T510" s="128"/>
      <c r="U510" s="128"/>
      <c r="V510" s="128"/>
      <c r="W510" s="128"/>
      <c r="X510" s="128"/>
      <c r="Y510" s="128"/>
      <c r="AQ510" s="19"/>
    </row>
    <row r="511" spans="5:43" x14ac:dyDescent="0.25">
      <c r="E511" s="37"/>
      <c r="F511" s="84" t="s">
        <v>1060</v>
      </c>
      <c r="G511" t="s">
        <v>169</v>
      </c>
      <c r="J511" s="217">
        <f t="shared" ref="J511:Y511" si="120">J358</f>
        <v>0</v>
      </c>
      <c r="K511" s="217">
        <f t="shared" si="120"/>
        <v>0</v>
      </c>
      <c r="L511" s="217">
        <f t="shared" si="120"/>
        <v>0</v>
      </c>
      <c r="M511" s="217">
        <f t="shared" si="120"/>
        <v>0</v>
      </c>
      <c r="N511" s="217">
        <f t="shared" si="120"/>
        <v>42</v>
      </c>
      <c r="O511" s="217">
        <f t="shared" si="120"/>
        <v>5</v>
      </c>
      <c r="P511" s="217">
        <f t="shared" si="120"/>
        <v>744</v>
      </c>
      <c r="Q511" s="217">
        <f t="shared" si="120"/>
        <v>0</v>
      </c>
      <c r="R511" s="217">
        <f t="shared" si="120"/>
        <v>0</v>
      </c>
      <c r="S511" s="217">
        <f t="shared" si="120"/>
        <v>0</v>
      </c>
      <c r="T511" s="217">
        <f t="shared" si="120"/>
        <v>0</v>
      </c>
      <c r="U511" s="217">
        <f t="shared" si="120"/>
        <v>0</v>
      </c>
      <c r="V511" s="217">
        <f t="shared" si="120"/>
        <v>0</v>
      </c>
      <c r="W511" s="217">
        <f t="shared" si="120"/>
        <v>0</v>
      </c>
      <c r="X511" s="217">
        <f t="shared" si="120"/>
        <v>0</v>
      </c>
      <c r="Y511" s="217">
        <f t="shared" si="120"/>
        <v>0</v>
      </c>
      <c r="AQ511" s="19"/>
    </row>
    <row r="512" spans="5:43" x14ac:dyDescent="0.25">
      <c r="E512" s="37"/>
      <c r="F512" s="84" t="s">
        <v>1093</v>
      </c>
      <c r="G512" t="s">
        <v>169</v>
      </c>
      <c r="J512" s="421">
        <f t="shared" ref="J512:Y512" si="121">J387</f>
        <v>0</v>
      </c>
      <c r="K512" s="421">
        <f t="shared" si="121"/>
        <v>0</v>
      </c>
      <c r="L512" s="421">
        <f t="shared" si="121"/>
        <v>0</v>
      </c>
      <c r="M512" s="421">
        <f t="shared" si="121"/>
        <v>0</v>
      </c>
      <c r="N512" s="421">
        <f t="shared" si="121"/>
        <v>12248.684823299011</v>
      </c>
      <c r="O512" s="421">
        <f t="shared" si="121"/>
        <v>302</v>
      </c>
      <c r="P512" s="421">
        <f t="shared" si="121"/>
        <v>5855.1276571227982</v>
      </c>
      <c r="Q512" s="421">
        <f t="shared" si="121"/>
        <v>0</v>
      </c>
      <c r="R512" s="421">
        <f t="shared" si="121"/>
        <v>0</v>
      </c>
      <c r="S512" s="421">
        <f t="shared" si="121"/>
        <v>0</v>
      </c>
      <c r="T512" s="421">
        <f t="shared" si="121"/>
        <v>0</v>
      </c>
      <c r="U512" s="421">
        <f t="shared" si="121"/>
        <v>0</v>
      </c>
      <c r="V512" s="421">
        <f t="shared" si="121"/>
        <v>0</v>
      </c>
      <c r="W512" s="421">
        <f t="shared" si="121"/>
        <v>0</v>
      </c>
      <c r="X512" s="421">
        <f t="shared" si="121"/>
        <v>0</v>
      </c>
      <c r="Y512" s="421">
        <f t="shared" si="121"/>
        <v>0</v>
      </c>
      <c r="AQ512" s="19"/>
    </row>
    <row r="513" spans="3:43" x14ac:dyDescent="0.25">
      <c r="E513" s="37"/>
      <c r="F513" s="84" t="s">
        <v>1094</v>
      </c>
      <c r="G513" t="s">
        <v>169</v>
      </c>
      <c r="J513" s="421">
        <f t="shared" ref="J513:Y513" si="122">J416</f>
        <v>0</v>
      </c>
      <c r="K513" s="421">
        <f t="shared" si="122"/>
        <v>0</v>
      </c>
      <c r="L513" s="421">
        <f t="shared" si="122"/>
        <v>0</v>
      </c>
      <c r="M513" s="421">
        <f t="shared" si="122"/>
        <v>0</v>
      </c>
      <c r="N513" s="421">
        <f t="shared" si="122"/>
        <v>6992.4522123902125</v>
      </c>
      <c r="O513" s="421">
        <f t="shared" si="122"/>
        <v>189</v>
      </c>
      <c r="P513" s="421">
        <f t="shared" si="122"/>
        <v>2085.9308475906309</v>
      </c>
      <c r="Q513" s="421">
        <f t="shared" si="122"/>
        <v>0</v>
      </c>
      <c r="R513" s="421">
        <f t="shared" si="122"/>
        <v>0</v>
      </c>
      <c r="S513" s="421">
        <f t="shared" si="122"/>
        <v>0</v>
      </c>
      <c r="T513" s="421">
        <f t="shared" si="122"/>
        <v>0</v>
      </c>
      <c r="U513" s="421">
        <f t="shared" si="122"/>
        <v>0</v>
      </c>
      <c r="V513" s="421">
        <f t="shared" si="122"/>
        <v>0</v>
      </c>
      <c r="W513" s="421">
        <f t="shared" si="122"/>
        <v>0</v>
      </c>
      <c r="X513" s="421">
        <f t="shared" si="122"/>
        <v>0</v>
      </c>
      <c r="Y513" s="421">
        <f t="shared" si="122"/>
        <v>0</v>
      </c>
      <c r="AQ513" s="19"/>
    </row>
    <row r="514" spans="3:43" x14ac:dyDescent="0.25">
      <c r="E514" s="37"/>
      <c r="F514" s="84" t="s">
        <v>1095</v>
      </c>
      <c r="G514" t="s">
        <v>169</v>
      </c>
      <c r="J514" s="213">
        <f t="shared" ref="J514:Y514" si="123">J445</f>
        <v>0</v>
      </c>
      <c r="K514" s="213">
        <f t="shared" si="123"/>
        <v>0</v>
      </c>
      <c r="L514" s="213">
        <f t="shared" si="123"/>
        <v>0</v>
      </c>
      <c r="M514" s="213">
        <f t="shared" si="123"/>
        <v>0</v>
      </c>
      <c r="N514" s="213">
        <f t="shared" si="123"/>
        <v>1366.7477946248528</v>
      </c>
      <c r="O514" s="213">
        <f t="shared" si="123"/>
        <v>144</v>
      </c>
      <c r="P514" s="213">
        <f t="shared" si="123"/>
        <v>1726.7925427718924</v>
      </c>
      <c r="Q514" s="213">
        <f t="shared" si="123"/>
        <v>0</v>
      </c>
      <c r="R514" s="213">
        <f t="shared" si="123"/>
        <v>0</v>
      </c>
      <c r="S514" s="213">
        <f t="shared" si="123"/>
        <v>0</v>
      </c>
      <c r="T514" s="213">
        <f t="shared" si="123"/>
        <v>0</v>
      </c>
      <c r="U514" s="213">
        <f t="shared" si="123"/>
        <v>0</v>
      </c>
      <c r="V514" s="213">
        <f t="shared" si="123"/>
        <v>0</v>
      </c>
      <c r="W514" s="213">
        <f t="shared" si="123"/>
        <v>0</v>
      </c>
      <c r="X514" s="213">
        <f t="shared" si="123"/>
        <v>0</v>
      </c>
      <c r="Y514" s="213">
        <f t="shared" si="123"/>
        <v>0</v>
      </c>
      <c r="AQ514" s="19"/>
    </row>
    <row r="515" spans="3:43" x14ac:dyDescent="0.25">
      <c r="E515" s="37"/>
      <c r="F515" s="84" t="s">
        <v>1096</v>
      </c>
      <c r="G515" t="s">
        <v>169</v>
      </c>
      <c r="J515" s="213">
        <f t="shared" ref="J515:Y515" si="124">J474</f>
        <v>0</v>
      </c>
      <c r="K515" s="213">
        <f t="shared" si="124"/>
        <v>0</v>
      </c>
      <c r="L515" s="213">
        <f t="shared" si="124"/>
        <v>0</v>
      </c>
      <c r="M515" s="213">
        <f t="shared" si="124"/>
        <v>0</v>
      </c>
      <c r="N515" s="213">
        <f t="shared" si="124"/>
        <v>1667.3456872459681</v>
      </c>
      <c r="O515" s="213">
        <f t="shared" si="124"/>
        <v>322.97776353043531</v>
      </c>
      <c r="P515" s="213">
        <f t="shared" si="124"/>
        <v>3978.6542379531538</v>
      </c>
      <c r="Q515" s="213">
        <f t="shared" si="124"/>
        <v>0</v>
      </c>
      <c r="R515" s="213">
        <f t="shared" si="124"/>
        <v>0</v>
      </c>
      <c r="S515" s="213">
        <f t="shared" si="124"/>
        <v>0</v>
      </c>
      <c r="T515" s="213">
        <f t="shared" si="124"/>
        <v>0</v>
      </c>
      <c r="U515" s="213">
        <f t="shared" si="124"/>
        <v>0</v>
      </c>
      <c r="V515" s="213">
        <f t="shared" si="124"/>
        <v>0</v>
      </c>
      <c r="W515" s="213">
        <f t="shared" si="124"/>
        <v>0</v>
      </c>
      <c r="X515" s="213">
        <f t="shared" si="124"/>
        <v>0</v>
      </c>
      <c r="Y515" s="213">
        <f t="shared" si="124"/>
        <v>0</v>
      </c>
      <c r="AQ515" s="19"/>
    </row>
    <row r="516" spans="3:43" x14ac:dyDescent="0.25">
      <c r="E516" s="37" t="s">
        <v>204</v>
      </c>
      <c r="F516" s="84"/>
      <c r="J516" s="128"/>
      <c r="K516" s="128"/>
      <c r="L516" s="128"/>
      <c r="M516" s="128"/>
      <c r="N516" s="128"/>
      <c r="O516" s="128"/>
      <c r="P516" s="128"/>
      <c r="Q516" s="128"/>
      <c r="R516" s="128"/>
      <c r="S516" s="128"/>
      <c r="T516" s="128"/>
      <c r="U516" s="128"/>
      <c r="V516" s="128"/>
      <c r="W516" s="128"/>
      <c r="X516" s="128"/>
      <c r="Y516" s="128"/>
      <c r="AQ516" s="19"/>
    </row>
    <row r="517" spans="3:43" x14ac:dyDescent="0.25">
      <c r="E517" s="37"/>
      <c r="F517" s="84" t="s">
        <v>1060</v>
      </c>
      <c r="G517" t="s">
        <v>170</v>
      </c>
      <c r="J517" s="217">
        <f t="shared" ref="J517:Y517" si="125">J359</f>
        <v>0</v>
      </c>
      <c r="K517" s="217">
        <f t="shared" si="125"/>
        <v>0</v>
      </c>
      <c r="L517" s="217">
        <f t="shared" si="125"/>
        <v>0</v>
      </c>
      <c r="M517" s="217">
        <f t="shared" si="125"/>
        <v>0</v>
      </c>
      <c r="N517" s="217">
        <f t="shared" si="125"/>
        <v>64.055000000000007</v>
      </c>
      <c r="O517" s="217">
        <f t="shared" si="125"/>
        <v>2.2480000000000002</v>
      </c>
      <c r="P517" s="217">
        <f t="shared" si="125"/>
        <v>1213.202</v>
      </c>
      <c r="Q517" s="217">
        <f t="shared" si="125"/>
        <v>0</v>
      </c>
      <c r="R517" s="217">
        <f t="shared" si="125"/>
        <v>0</v>
      </c>
      <c r="S517" s="217">
        <f t="shared" si="125"/>
        <v>0</v>
      </c>
      <c r="T517" s="217">
        <f t="shared" si="125"/>
        <v>5379.1220000000003</v>
      </c>
      <c r="U517" s="217">
        <f t="shared" si="125"/>
        <v>0</v>
      </c>
      <c r="V517" s="217">
        <f t="shared" si="125"/>
        <v>157.29499999999999</v>
      </c>
      <c r="W517" s="217">
        <f t="shared" si="125"/>
        <v>0</v>
      </c>
      <c r="X517" s="217">
        <f t="shared" si="125"/>
        <v>20692.973000000002</v>
      </c>
      <c r="Y517" s="217">
        <f t="shared" si="125"/>
        <v>0</v>
      </c>
      <c r="AQ517" s="19"/>
    </row>
    <row r="518" spans="3:43" x14ac:dyDescent="0.25">
      <c r="E518" s="37"/>
      <c r="F518" s="84" t="s">
        <v>1093</v>
      </c>
      <c r="G518" t="s">
        <v>170</v>
      </c>
      <c r="J518" s="421">
        <f t="shared" ref="J518:Y518" si="126">J388</f>
        <v>0</v>
      </c>
      <c r="K518" s="421">
        <f t="shared" si="126"/>
        <v>0</v>
      </c>
      <c r="L518" s="421">
        <f t="shared" si="126"/>
        <v>0</v>
      </c>
      <c r="M518" s="421">
        <f t="shared" si="126"/>
        <v>0</v>
      </c>
      <c r="N518" s="421">
        <f t="shared" si="126"/>
        <v>48337.155374757764</v>
      </c>
      <c r="O518" s="421">
        <f t="shared" si="126"/>
        <v>502.32499999999999</v>
      </c>
      <c r="P518" s="421">
        <f t="shared" si="126"/>
        <v>24418.754796062833</v>
      </c>
      <c r="Q518" s="421">
        <f t="shared" si="126"/>
        <v>0</v>
      </c>
      <c r="R518" s="421">
        <f t="shared" si="126"/>
        <v>0</v>
      </c>
      <c r="S518" s="421">
        <f t="shared" si="126"/>
        <v>0</v>
      </c>
      <c r="T518" s="421">
        <f t="shared" si="126"/>
        <v>0</v>
      </c>
      <c r="U518" s="421">
        <f t="shared" si="126"/>
        <v>0</v>
      </c>
      <c r="V518" s="421">
        <f t="shared" si="126"/>
        <v>0</v>
      </c>
      <c r="W518" s="421">
        <f t="shared" si="126"/>
        <v>0</v>
      </c>
      <c r="X518" s="421">
        <f t="shared" si="126"/>
        <v>0</v>
      </c>
      <c r="Y518" s="421">
        <f t="shared" si="126"/>
        <v>0</v>
      </c>
      <c r="AQ518" s="19"/>
    </row>
    <row r="519" spans="3:43" x14ac:dyDescent="0.25">
      <c r="E519" s="37"/>
      <c r="F519" s="84" t="s">
        <v>1094</v>
      </c>
      <c r="G519" t="s">
        <v>170</v>
      </c>
      <c r="J519" s="421">
        <f t="shared" ref="J519:Y519" si="127">J417</f>
        <v>0</v>
      </c>
      <c r="K519" s="421">
        <f t="shared" si="127"/>
        <v>0</v>
      </c>
      <c r="L519" s="421">
        <f t="shared" si="127"/>
        <v>0</v>
      </c>
      <c r="M519" s="421">
        <f t="shared" si="127"/>
        <v>0</v>
      </c>
      <c r="N519" s="421">
        <f t="shared" si="127"/>
        <v>61052.924930950525</v>
      </c>
      <c r="O519" s="421">
        <f t="shared" si="127"/>
        <v>629.42722496106308</v>
      </c>
      <c r="P519" s="421">
        <f t="shared" si="127"/>
        <v>38919.564626629799</v>
      </c>
      <c r="Q519" s="421">
        <f t="shared" si="127"/>
        <v>0</v>
      </c>
      <c r="R519" s="421">
        <f t="shared" si="127"/>
        <v>0</v>
      </c>
      <c r="S519" s="421">
        <f t="shared" si="127"/>
        <v>0</v>
      </c>
      <c r="T519" s="421">
        <f t="shared" si="127"/>
        <v>0</v>
      </c>
      <c r="U519" s="421">
        <f t="shared" si="127"/>
        <v>0</v>
      </c>
      <c r="V519" s="421">
        <f t="shared" si="127"/>
        <v>0</v>
      </c>
      <c r="W519" s="421">
        <f t="shared" si="127"/>
        <v>0</v>
      </c>
      <c r="X519" s="421">
        <f t="shared" si="127"/>
        <v>0</v>
      </c>
      <c r="Y519" s="421">
        <f t="shared" si="127"/>
        <v>0</v>
      </c>
      <c r="AQ519" s="19"/>
    </row>
    <row r="520" spans="3:43" x14ac:dyDescent="0.25">
      <c r="E520" s="37"/>
      <c r="F520" s="84" t="s">
        <v>1095</v>
      </c>
      <c r="G520" t="s">
        <v>170</v>
      </c>
      <c r="J520" s="213">
        <f t="shared" ref="J520:Y520" si="128">J446</f>
        <v>0</v>
      </c>
      <c r="K520" s="213">
        <f t="shared" si="128"/>
        <v>0</v>
      </c>
      <c r="L520" s="213">
        <f t="shared" si="128"/>
        <v>0</v>
      </c>
      <c r="M520" s="213">
        <f t="shared" si="128"/>
        <v>0</v>
      </c>
      <c r="N520" s="213">
        <f t="shared" si="128"/>
        <v>32956.518470660201</v>
      </c>
      <c r="O520" s="213">
        <f t="shared" si="128"/>
        <v>1805.2166819396305</v>
      </c>
      <c r="P520" s="213">
        <f t="shared" si="128"/>
        <v>34469.917988329355</v>
      </c>
      <c r="Q520" s="213">
        <f t="shared" si="128"/>
        <v>0</v>
      </c>
      <c r="R520" s="213">
        <f t="shared" si="128"/>
        <v>0</v>
      </c>
      <c r="S520" s="213">
        <f t="shared" si="128"/>
        <v>0</v>
      </c>
      <c r="T520" s="213">
        <f t="shared" si="128"/>
        <v>0</v>
      </c>
      <c r="U520" s="213">
        <f t="shared" si="128"/>
        <v>0</v>
      </c>
      <c r="V520" s="213">
        <f t="shared" si="128"/>
        <v>0</v>
      </c>
      <c r="W520" s="213">
        <f t="shared" si="128"/>
        <v>0</v>
      </c>
      <c r="X520" s="213">
        <f t="shared" si="128"/>
        <v>0</v>
      </c>
      <c r="Y520" s="213">
        <f t="shared" si="128"/>
        <v>0</v>
      </c>
      <c r="AQ520" s="19"/>
    </row>
    <row r="521" spans="3:43" x14ac:dyDescent="0.25">
      <c r="E521" s="34"/>
      <c r="F521" s="422" t="s">
        <v>1096</v>
      </c>
      <c r="G521" s="17" t="s">
        <v>170</v>
      </c>
      <c r="H521" s="17"/>
      <c r="I521" s="17"/>
      <c r="J521" s="421">
        <f t="shared" ref="J521:Y521" si="129">J475</f>
        <v>0</v>
      </c>
      <c r="K521" s="421">
        <f t="shared" si="129"/>
        <v>0</v>
      </c>
      <c r="L521" s="421">
        <f t="shared" si="129"/>
        <v>0</v>
      </c>
      <c r="M521" s="421">
        <f t="shared" si="129"/>
        <v>0</v>
      </c>
      <c r="N521" s="421">
        <f t="shared" si="129"/>
        <v>87547.226759021229</v>
      </c>
      <c r="O521" s="421">
        <f t="shared" si="129"/>
        <v>18296.472196436043</v>
      </c>
      <c r="P521" s="421">
        <f t="shared" si="129"/>
        <v>140247.08347345688</v>
      </c>
      <c r="Q521" s="421">
        <f t="shared" si="129"/>
        <v>0</v>
      </c>
      <c r="R521" s="421">
        <f t="shared" si="129"/>
        <v>0</v>
      </c>
      <c r="S521" s="421">
        <f t="shared" si="129"/>
        <v>0</v>
      </c>
      <c r="T521" s="421">
        <f t="shared" si="129"/>
        <v>0</v>
      </c>
      <c r="U521" s="421">
        <f t="shared" si="129"/>
        <v>0</v>
      </c>
      <c r="V521" s="421">
        <f t="shared" si="129"/>
        <v>0</v>
      </c>
      <c r="W521" s="421">
        <f t="shared" si="129"/>
        <v>0</v>
      </c>
      <c r="X521" s="421">
        <f t="shared" si="129"/>
        <v>0</v>
      </c>
      <c r="Y521" s="421">
        <f t="shared" si="129"/>
        <v>0</v>
      </c>
      <c r="AQ521" s="19"/>
    </row>
    <row r="522" spans="3:43" x14ac:dyDescent="0.25">
      <c r="AQ522" s="19"/>
    </row>
    <row r="523" spans="3:43" x14ac:dyDescent="0.25">
      <c r="C523" s="5" t="str">
        <f ca="1">INDEX('Version control'!$H$36:$H$62,MATCH($A$1,'Version control'!$F$36:$F$62,0),1)&amp;"-J: Volumes by residual band"</f>
        <v>Section 507-J: Volumes by residual band</v>
      </c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Q523" s="19"/>
    </row>
    <row r="524" spans="3:43" x14ac:dyDescent="0.25">
      <c r="C524" s="52"/>
      <c r="AQ524" s="19"/>
    </row>
    <row r="525" spans="3:43" x14ac:dyDescent="0.25">
      <c r="D525" s="52" t="s">
        <v>1225</v>
      </c>
      <c r="AQ525" s="19"/>
    </row>
    <row r="526" spans="3:43" x14ac:dyDescent="0.25">
      <c r="E526" s="38" t="s">
        <v>199</v>
      </c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AQ526" s="19"/>
    </row>
    <row r="527" spans="3:43" x14ac:dyDescent="0.25">
      <c r="E527" s="37"/>
      <c r="F527" s="84" t="s">
        <v>1060</v>
      </c>
      <c r="G527" t="s">
        <v>120</v>
      </c>
      <c r="J527" s="217">
        <f>J58</f>
        <v>0</v>
      </c>
      <c r="K527" s="217">
        <f t="shared" ref="K527:Y527" si="130">K58</f>
        <v>652.15353635409315</v>
      </c>
      <c r="L527" s="217">
        <f t="shared" si="130"/>
        <v>17.458206837827863</v>
      </c>
      <c r="M527" s="217">
        <f t="shared" si="130"/>
        <v>596.52194686342921</v>
      </c>
      <c r="N527" s="217">
        <f t="shared" si="130"/>
        <v>12.367051703011343</v>
      </c>
      <c r="O527" s="217">
        <f t="shared" si="130"/>
        <v>0.10809059005544162</v>
      </c>
      <c r="P527" s="217">
        <f t="shared" si="130"/>
        <v>303.00288221653483</v>
      </c>
      <c r="Q527" s="217">
        <f t="shared" si="130"/>
        <v>0</v>
      </c>
      <c r="R527" s="217">
        <f t="shared" si="130"/>
        <v>931.43637713580506</v>
      </c>
      <c r="S527" s="217">
        <f t="shared" si="130"/>
        <v>11.571999999999999</v>
      </c>
      <c r="T527" s="217">
        <f t="shared" si="130"/>
        <v>5840.0349999999999</v>
      </c>
      <c r="U527" s="217">
        <f t="shared" si="130"/>
        <v>0</v>
      </c>
      <c r="V527" s="217">
        <f t="shared" si="130"/>
        <v>62.863</v>
      </c>
      <c r="W527" s="217">
        <f t="shared" si="130"/>
        <v>0</v>
      </c>
      <c r="X527" s="217">
        <f t="shared" si="130"/>
        <v>118436.88399999999</v>
      </c>
      <c r="Y527" s="217">
        <f t="shared" si="130"/>
        <v>0</v>
      </c>
      <c r="AQ527" s="19"/>
    </row>
    <row r="528" spans="3:43" x14ac:dyDescent="0.25">
      <c r="E528" s="37"/>
      <c r="F528" s="84" t="s">
        <v>1093</v>
      </c>
      <c r="G528" t="s">
        <v>120</v>
      </c>
      <c r="J528" s="421">
        <f>J67</f>
        <v>690665.52756605227</v>
      </c>
      <c r="K528" s="421">
        <f t="shared" ref="K528:Y528" si="131">K67</f>
        <v>0</v>
      </c>
      <c r="L528" s="421">
        <f t="shared" si="131"/>
        <v>16636.262053683062</v>
      </c>
      <c r="M528" s="421">
        <f t="shared" si="131"/>
        <v>0</v>
      </c>
      <c r="N528" s="421">
        <f t="shared" si="131"/>
        <v>45771.541992618622</v>
      </c>
      <c r="O528" s="421">
        <f t="shared" si="131"/>
        <v>138.40406993184831</v>
      </c>
      <c r="P528" s="421">
        <f t="shared" si="131"/>
        <v>16825.160368042096</v>
      </c>
      <c r="Q528" s="421">
        <f t="shared" si="131"/>
        <v>11180.532790656171</v>
      </c>
      <c r="R528" s="421">
        <f t="shared" si="131"/>
        <v>0</v>
      </c>
      <c r="S528" s="421">
        <f t="shared" si="131"/>
        <v>0</v>
      </c>
      <c r="T528" s="421">
        <f t="shared" si="131"/>
        <v>0</v>
      </c>
      <c r="U528" s="421">
        <f t="shared" si="131"/>
        <v>0</v>
      </c>
      <c r="V528" s="421">
        <f t="shared" si="131"/>
        <v>0</v>
      </c>
      <c r="W528" s="421">
        <f t="shared" si="131"/>
        <v>0</v>
      </c>
      <c r="X528" s="421">
        <f t="shared" si="131"/>
        <v>0</v>
      </c>
      <c r="Y528" s="421">
        <f t="shared" si="131"/>
        <v>0</v>
      </c>
      <c r="AQ528" s="19"/>
    </row>
    <row r="529" spans="5:43" x14ac:dyDescent="0.25">
      <c r="E529" s="37"/>
      <c r="F529" s="84" t="s">
        <v>1094</v>
      </c>
      <c r="G529" t="s">
        <v>120</v>
      </c>
      <c r="J529" s="421">
        <f>J76</f>
        <v>0</v>
      </c>
      <c r="K529" s="421">
        <f t="shared" ref="K529:Y529" si="132">K76</f>
        <v>0</v>
      </c>
      <c r="L529" s="421">
        <f t="shared" si="132"/>
        <v>30057.319359680965</v>
      </c>
      <c r="M529" s="421">
        <f t="shared" si="132"/>
        <v>0</v>
      </c>
      <c r="N529" s="421">
        <f t="shared" si="132"/>
        <v>65625.904093153804</v>
      </c>
      <c r="O529" s="421">
        <f t="shared" si="132"/>
        <v>622.15327059830827</v>
      </c>
      <c r="P529" s="421">
        <f t="shared" si="132"/>
        <v>57933.42611206969</v>
      </c>
      <c r="Q529" s="421">
        <f t="shared" si="132"/>
        <v>0</v>
      </c>
      <c r="R529" s="421">
        <f t="shared" si="132"/>
        <v>0</v>
      </c>
      <c r="S529" s="421">
        <f t="shared" si="132"/>
        <v>0</v>
      </c>
      <c r="T529" s="421">
        <f t="shared" si="132"/>
        <v>0</v>
      </c>
      <c r="U529" s="421">
        <f t="shared" si="132"/>
        <v>0</v>
      </c>
      <c r="V529" s="421">
        <f t="shared" si="132"/>
        <v>0</v>
      </c>
      <c r="W529" s="421">
        <f t="shared" si="132"/>
        <v>0</v>
      </c>
      <c r="X529" s="421">
        <f t="shared" si="132"/>
        <v>0</v>
      </c>
      <c r="Y529" s="421">
        <f t="shared" si="132"/>
        <v>0</v>
      </c>
      <c r="AQ529" s="19"/>
    </row>
    <row r="530" spans="5:43" x14ac:dyDescent="0.25">
      <c r="E530" s="37"/>
      <c r="F530" s="84" t="s">
        <v>1095</v>
      </c>
      <c r="G530" t="s">
        <v>120</v>
      </c>
      <c r="J530" s="213">
        <f>J85</f>
        <v>0</v>
      </c>
      <c r="K530" s="213">
        <f t="shared" ref="K530:Y530" si="133">K85</f>
        <v>0</v>
      </c>
      <c r="L530" s="213">
        <f t="shared" si="133"/>
        <v>37425.923933004749</v>
      </c>
      <c r="M530" s="213">
        <f t="shared" si="133"/>
        <v>0</v>
      </c>
      <c r="N530" s="213">
        <f t="shared" si="133"/>
        <v>36868.568333115407</v>
      </c>
      <c r="O530" s="213">
        <f t="shared" si="133"/>
        <v>2087.8978294873009</v>
      </c>
      <c r="P530" s="213">
        <f t="shared" si="133"/>
        <v>52159.250767746467</v>
      </c>
      <c r="Q530" s="213">
        <f t="shared" si="133"/>
        <v>0</v>
      </c>
      <c r="R530" s="213">
        <f t="shared" si="133"/>
        <v>0</v>
      </c>
      <c r="S530" s="213">
        <f t="shared" si="133"/>
        <v>0</v>
      </c>
      <c r="T530" s="213">
        <f t="shared" si="133"/>
        <v>0</v>
      </c>
      <c r="U530" s="213">
        <f t="shared" si="133"/>
        <v>0</v>
      </c>
      <c r="V530" s="213">
        <f t="shared" si="133"/>
        <v>0</v>
      </c>
      <c r="W530" s="213">
        <f t="shared" si="133"/>
        <v>0</v>
      </c>
      <c r="X530" s="213">
        <f t="shared" si="133"/>
        <v>0</v>
      </c>
      <c r="Y530" s="213">
        <f t="shared" si="133"/>
        <v>0</v>
      </c>
      <c r="AQ530" s="19"/>
    </row>
    <row r="531" spans="5:43" x14ac:dyDescent="0.25">
      <c r="E531" s="37"/>
      <c r="F531" s="84" t="s">
        <v>1096</v>
      </c>
      <c r="G531" t="s">
        <v>120</v>
      </c>
      <c r="J531" s="213">
        <f>J94</f>
        <v>0</v>
      </c>
      <c r="K531" s="213">
        <f t="shared" ref="K531:Y531" si="134">K94</f>
        <v>0</v>
      </c>
      <c r="L531" s="213">
        <f t="shared" si="134"/>
        <v>113078.7546939583</v>
      </c>
      <c r="M531" s="213">
        <f t="shared" si="134"/>
        <v>0</v>
      </c>
      <c r="N531" s="213">
        <f t="shared" si="134"/>
        <v>90934.026821706211</v>
      </c>
      <c r="O531" s="213">
        <f t="shared" si="134"/>
        <v>21698.50373939249</v>
      </c>
      <c r="P531" s="213">
        <f t="shared" si="134"/>
        <v>164544.48604752985</v>
      </c>
      <c r="Q531" s="213">
        <f t="shared" si="134"/>
        <v>0</v>
      </c>
      <c r="R531" s="213">
        <f t="shared" si="134"/>
        <v>0</v>
      </c>
      <c r="S531" s="213">
        <f t="shared" si="134"/>
        <v>0</v>
      </c>
      <c r="T531" s="213">
        <f t="shared" si="134"/>
        <v>0</v>
      </c>
      <c r="U531" s="213">
        <f t="shared" si="134"/>
        <v>0</v>
      </c>
      <c r="V531" s="213">
        <f t="shared" si="134"/>
        <v>0</v>
      </c>
      <c r="W531" s="213">
        <f t="shared" si="134"/>
        <v>0</v>
      </c>
      <c r="X531" s="213">
        <f t="shared" si="134"/>
        <v>0</v>
      </c>
      <c r="Y531" s="213">
        <f t="shared" si="134"/>
        <v>0</v>
      </c>
      <c r="AQ531" s="19"/>
    </row>
    <row r="532" spans="5:43" x14ac:dyDescent="0.25">
      <c r="E532" s="92" t="s">
        <v>200</v>
      </c>
      <c r="F532" s="84"/>
      <c r="J532" s="128"/>
      <c r="K532" s="128"/>
      <c r="L532" s="128"/>
      <c r="M532" s="128"/>
      <c r="N532" s="128"/>
      <c r="O532" s="128"/>
      <c r="P532" s="128"/>
      <c r="Q532" s="128"/>
      <c r="R532" s="128"/>
      <c r="S532" s="128"/>
      <c r="T532" s="128"/>
      <c r="U532" s="128"/>
      <c r="V532" s="128"/>
      <c r="W532" s="128"/>
      <c r="X532" s="128"/>
      <c r="Y532" s="128"/>
      <c r="AQ532" s="19"/>
    </row>
    <row r="533" spans="5:43" x14ac:dyDescent="0.25">
      <c r="E533" s="37"/>
      <c r="F533" s="84" t="s">
        <v>1060</v>
      </c>
      <c r="G533" t="s">
        <v>120</v>
      </c>
      <c r="J533" s="217">
        <f>J59</f>
        <v>0</v>
      </c>
      <c r="K533" s="217">
        <f t="shared" ref="K533:Y533" si="135">K59</f>
        <v>17758.957834530302</v>
      </c>
      <c r="L533" s="217">
        <f t="shared" si="135"/>
        <v>89.773682852368651</v>
      </c>
      <c r="M533" s="217">
        <f t="shared" si="135"/>
        <v>8872.4799352594691</v>
      </c>
      <c r="N533" s="217">
        <f t="shared" si="135"/>
        <v>59.332965344726659</v>
      </c>
      <c r="O533" s="217">
        <f t="shared" si="135"/>
        <v>0.50378073179162042</v>
      </c>
      <c r="P533" s="217">
        <f t="shared" si="135"/>
        <v>1405.3229265301227</v>
      </c>
      <c r="Q533" s="217">
        <f t="shared" si="135"/>
        <v>0</v>
      </c>
      <c r="R533" s="217">
        <f t="shared" si="135"/>
        <v>5999.8136998466971</v>
      </c>
      <c r="S533" s="217">
        <f t="shared" si="135"/>
        <v>49.278999999999996</v>
      </c>
      <c r="T533" s="217">
        <f t="shared" si="135"/>
        <v>26458.666000000001</v>
      </c>
      <c r="U533" s="217">
        <f t="shared" si="135"/>
        <v>0</v>
      </c>
      <c r="V533" s="217">
        <f t="shared" si="135"/>
        <v>312.48</v>
      </c>
      <c r="W533" s="217">
        <f t="shared" si="135"/>
        <v>0</v>
      </c>
      <c r="X533" s="217">
        <f t="shared" si="135"/>
        <v>429284.261</v>
      </c>
      <c r="Y533" s="217">
        <f t="shared" si="135"/>
        <v>0</v>
      </c>
      <c r="AQ533" s="19"/>
    </row>
    <row r="534" spans="5:43" x14ac:dyDescent="0.25">
      <c r="E534" s="37"/>
      <c r="F534" s="84" t="s">
        <v>1093</v>
      </c>
      <c r="G534" t="s">
        <v>120</v>
      </c>
      <c r="J534" s="421">
        <f>J68</f>
        <v>2376763.4827184244</v>
      </c>
      <c r="K534" s="421">
        <f t="shared" ref="K534:Y534" si="136">K68</f>
        <v>0</v>
      </c>
      <c r="L534" s="421">
        <f t="shared" si="136"/>
        <v>85547.074068350208</v>
      </c>
      <c r="M534" s="421">
        <f t="shared" si="136"/>
        <v>0</v>
      </c>
      <c r="N534" s="421">
        <f t="shared" si="136"/>
        <v>219596.50368094287</v>
      </c>
      <c r="O534" s="421">
        <f t="shared" si="136"/>
        <v>645.06358599246971</v>
      </c>
      <c r="P534" s="421">
        <f t="shared" si="136"/>
        <v>78034.847176332449</v>
      </c>
      <c r="Q534" s="421">
        <f t="shared" si="136"/>
        <v>64407.420619468379</v>
      </c>
      <c r="R534" s="421">
        <f t="shared" si="136"/>
        <v>0</v>
      </c>
      <c r="S534" s="421">
        <f t="shared" si="136"/>
        <v>0</v>
      </c>
      <c r="T534" s="421">
        <f t="shared" si="136"/>
        <v>0</v>
      </c>
      <c r="U534" s="421">
        <f t="shared" si="136"/>
        <v>0</v>
      </c>
      <c r="V534" s="421">
        <f t="shared" si="136"/>
        <v>0</v>
      </c>
      <c r="W534" s="421">
        <f t="shared" si="136"/>
        <v>0</v>
      </c>
      <c r="X534" s="421">
        <f t="shared" si="136"/>
        <v>0</v>
      </c>
      <c r="Y534" s="421">
        <f t="shared" si="136"/>
        <v>0</v>
      </c>
      <c r="AQ534" s="19"/>
    </row>
    <row r="535" spans="5:43" x14ac:dyDescent="0.25">
      <c r="E535" s="37"/>
      <c r="F535" s="84" t="s">
        <v>1094</v>
      </c>
      <c r="G535" t="s">
        <v>120</v>
      </c>
      <c r="J535" s="421">
        <f>J77</f>
        <v>0</v>
      </c>
      <c r="K535" s="421">
        <f t="shared" ref="K535:Y535" si="137">K77</f>
        <v>0</v>
      </c>
      <c r="L535" s="421">
        <f t="shared" si="137"/>
        <v>154560.90540419368</v>
      </c>
      <c r="M535" s="421">
        <f t="shared" si="137"/>
        <v>0</v>
      </c>
      <c r="N535" s="421">
        <f t="shared" si="137"/>
        <v>314851.0725743408</v>
      </c>
      <c r="O535" s="421">
        <f t="shared" si="137"/>
        <v>2899.6865479946259</v>
      </c>
      <c r="P535" s="421">
        <f t="shared" si="137"/>
        <v>268694.38116284559</v>
      </c>
      <c r="Q535" s="421">
        <f t="shared" si="137"/>
        <v>0</v>
      </c>
      <c r="R535" s="421">
        <f t="shared" si="137"/>
        <v>0</v>
      </c>
      <c r="S535" s="421">
        <f t="shared" si="137"/>
        <v>0</v>
      </c>
      <c r="T535" s="421">
        <f t="shared" si="137"/>
        <v>0</v>
      </c>
      <c r="U535" s="421">
        <f t="shared" si="137"/>
        <v>0</v>
      </c>
      <c r="V535" s="421">
        <f t="shared" si="137"/>
        <v>0</v>
      </c>
      <c r="W535" s="421">
        <f t="shared" si="137"/>
        <v>0</v>
      </c>
      <c r="X535" s="421">
        <f t="shared" si="137"/>
        <v>0</v>
      </c>
      <c r="Y535" s="421">
        <f t="shared" si="137"/>
        <v>0</v>
      </c>
      <c r="AQ535" s="19"/>
    </row>
    <row r="536" spans="5:43" x14ac:dyDescent="0.25">
      <c r="E536" s="37"/>
      <c r="F536" s="84" t="s">
        <v>1095</v>
      </c>
      <c r="G536" t="s">
        <v>120</v>
      </c>
      <c r="J536" s="213">
        <f>J86</f>
        <v>0</v>
      </c>
      <c r="K536" s="213">
        <f t="shared" ref="K536:Y536" si="138">K86</f>
        <v>0</v>
      </c>
      <c r="L536" s="213">
        <f t="shared" si="138"/>
        <v>192451.78252433133</v>
      </c>
      <c r="M536" s="213">
        <f t="shared" si="138"/>
        <v>0</v>
      </c>
      <c r="N536" s="213">
        <f t="shared" si="138"/>
        <v>176883.02270829573</v>
      </c>
      <c r="O536" s="213">
        <f t="shared" si="138"/>
        <v>9731.1217924311368</v>
      </c>
      <c r="P536" s="213">
        <f t="shared" si="138"/>
        <v>241913.84054942831</v>
      </c>
      <c r="Q536" s="213">
        <f t="shared" si="138"/>
        <v>0</v>
      </c>
      <c r="R536" s="213">
        <f t="shared" si="138"/>
        <v>0</v>
      </c>
      <c r="S536" s="213">
        <f t="shared" si="138"/>
        <v>0</v>
      </c>
      <c r="T536" s="213">
        <f t="shared" si="138"/>
        <v>0</v>
      </c>
      <c r="U536" s="213">
        <f t="shared" si="138"/>
        <v>0</v>
      </c>
      <c r="V536" s="213">
        <f t="shared" si="138"/>
        <v>0</v>
      </c>
      <c r="W536" s="213">
        <f t="shared" si="138"/>
        <v>0</v>
      </c>
      <c r="X536" s="213">
        <f t="shared" si="138"/>
        <v>0</v>
      </c>
      <c r="Y536" s="213">
        <f t="shared" si="138"/>
        <v>0</v>
      </c>
      <c r="AQ536" s="19"/>
    </row>
    <row r="537" spans="5:43" x14ac:dyDescent="0.25">
      <c r="E537" s="37"/>
      <c r="F537" s="84" t="s">
        <v>1096</v>
      </c>
      <c r="G537" t="s">
        <v>120</v>
      </c>
      <c r="J537" s="213">
        <f>J95</f>
        <v>0</v>
      </c>
      <c r="K537" s="213">
        <f t="shared" ref="K537:Y537" si="139">K95</f>
        <v>0</v>
      </c>
      <c r="L537" s="213">
        <f t="shared" si="139"/>
        <v>581474.16602032015</v>
      </c>
      <c r="M537" s="213">
        <f t="shared" si="139"/>
        <v>0</v>
      </c>
      <c r="N537" s="213">
        <f t="shared" si="139"/>
        <v>436270.95540928131</v>
      </c>
      <c r="O537" s="213">
        <f t="shared" si="139"/>
        <v>101130.80229284996</v>
      </c>
      <c r="P537" s="213">
        <f t="shared" si="139"/>
        <v>763154.91451813979</v>
      </c>
      <c r="Q537" s="213">
        <f t="shared" si="139"/>
        <v>0</v>
      </c>
      <c r="R537" s="213">
        <f t="shared" si="139"/>
        <v>0</v>
      </c>
      <c r="S537" s="213">
        <f t="shared" si="139"/>
        <v>0</v>
      </c>
      <c r="T537" s="213">
        <f t="shared" si="139"/>
        <v>0</v>
      </c>
      <c r="U537" s="213">
        <f t="shared" si="139"/>
        <v>0</v>
      </c>
      <c r="V537" s="213">
        <f t="shared" si="139"/>
        <v>0</v>
      </c>
      <c r="W537" s="213">
        <f t="shared" si="139"/>
        <v>0</v>
      </c>
      <c r="X537" s="213">
        <f t="shared" si="139"/>
        <v>0</v>
      </c>
      <c r="Y537" s="213">
        <f t="shared" si="139"/>
        <v>0</v>
      </c>
      <c r="AQ537" s="19"/>
    </row>
    <row r="538" spans="5:43" x14ac:dyDescent="0.25">
      <c r="E538" s="92" t="s">
        <v>201</v>
      </c>
      <c r="F538" s="84"/>
      <c r="J538" s="128"/>
      <c r="K538" s="128"/>
      <c r="L538" s="128"/>
      <c r="M538" s="128"/>
      <c r="N538" s="128"/>
      <c r="O538" s="128"/>
      <c r="P538" s="128"/>
      <c r="Q538" s="128"/>
      <c r="R538" s="128"/>
      <c r="S538" s="128"/>
      <c r="T538" s="128"/>
      <c r="U538" s="128"/>
      <c r="V538" s="128"/>
      <c r="W538" s="128"/>
      <c r="X538" s="128"/>
      <c r="Y538" s="128"/>
      <c r="AQ538" s="19"/>
    </row>
    <row r="539" spans="5:43" x14ac:dyDescent="0.25">
      <c r="E539" s="37"/>
      <c r="F539" s="84" t="s">
        <v>1060</v>
      </c>
      <c r="G539" t="s">
        <v>120</v>
      </c>
      <c r="J539" s="217">
        <f>J60</f>
        <v>0</v>
      </c>
      <c r="K539" s="217">
        <f t="shared" ref="K539:Y539" si="140">K60</f>
        <v>171594.78624832345</v>
      </c>
      <c r="L539" s="217">
        <f t="shared" si="140"/>
        <v>72.20746328181572</v>
      </c>
      <c r="M539" s="217">
        <f t="shared" si="140"/>
        <v>35850.647959933427</v>
      </c>
      <c r="N539" s="217">
        <f t="shared" si="140"/>
        <v>52.629377636737694</v>
      </c>
      <c r="O539" s="217">
        <f t="shared" si="140"/>
        <v>0.51812867815293817</v>
      </c>
      <c r="P539" s="217">
        <f t="shared" si="140"/>
        <v>1546.3846427787762</v>
      </c>
      <c r="Q539" s="217">
        <f t="shared" si="140"/>
        <v>0</v>
      </c>
      <c r="R539" s="217">
        <f t="shared" si="140"/>
        <v>2681.8786975178805</v>
      </c>
      <c r="S539" s="217">
        <f t="shared" si="140"/>
        <v>45.105000000000004</v>
      </c>
      <c r="T539" s="217">
        <f t="shared" si="140"/>
        <v>29713.727000000003</v>
      </c>
      <c r="U539" s="217">
        <f t="shared" si="140"/>
        <v>0</v>
      </c>
      <c r="V539" s="217">
        <f t="shared" si="140"/>
        <v>275.35399999999998</v>
      </c>
      <c r="W539" s="217">
        <f t="shared" si="140"/>
        <v>0</v>
      </c>
      <c r="X539" s="217">
        <f t="shared" si="140"/>
        <v>489264.26399999997</v>
      </c>
      <c r="Y539" s="217">
        <f t="shared" si="140"/>
        <v>0</v>
      </c>
      <c r="AQ539" s="19"/>
    </row>
    <row r="540" spans="5:43" x14ac:dyDescent="0.25">
      <c r="E540" s="37"/>
      <c r="F540" s="84" t="s">
        <v>1093</v>
      </c>
      <c r="G540" t="s">
        <v>120</v>
      </c>
      <c r="J540" s="421">
        <f>J69</f>
        <v>2257194.3085960886</v>
      </c>
      <c r="K540" s="421">
        <f t="shared" ref="K540:Y540" si="141">K69</f>
        <v>0</v>
      </c>
      <c r="L540" s="421">
        <f t="shared" si="141"/>
        <v>68807.884598155215</v>
      </c>
      <c r="M540" s="421">
        <f t="shared" si="141"/>
        <v>0</v>
      </c>
      <c r="N540" s="421">
        <f t="shared" si="141"/>
        <v>194785.9381843415</v>
      </c>
      <c r="O540" s="421">
        <f t="shared" si="141"/>
        <v>663.435344075682</v>
      </c>
      <c r="P540" s="421">
        <f t="shared" si="141"/>
        <v>85867.729755907218</v>
      </c>
      <c r="Q540" s="421">
        <f t="shared" si="141"/>
        <v>148584.05886729746</v>
      </c>
      <c r="R540" s="421">
        <f t="shared" si="141"/>
        <v>0</v>
      </c>
      <c r="S540" s="421">
        <f t="shared" si="141"/>
        <v>0</v>
      </c>
      <c r="T540" s="421">
        <f t="shared" si="141"/>
        <v>0</v>
      </c>
      <c r="U540" s="421">
        <f t="shared" si="141"/>
        <v>0</v>
      </c>
      <c r="V540" s="421">
        <f t="shared" si="141"/>
        <v>0</v>
      </c>
      <c r="W540" s="421">
        <f t="shared" si="141"/>
        <v>0</v>
      </c>
      <c r="X540" s="421">
        <f t="shared" si="141"/>
        <v>0</v>
      </c>
      <c r="Y540" s="421">
        <f t="shared" si="141"/>
        <v>0</v>
      </c>
      <c r="AQ540" s="19"/>
    </row>
    <row r="541" spans="5:43" x14ac:dyDescent="0.25">
      <c r="E541" s="37"/>
      <c r="F541" s="84" t="s">
        <v>1094</v>
      </c>
      <c r="G541" t="s">
        <v>120</v>
      </c>
      <c r="J541" s="421">
        <f>J78</f>
        <v>0</v>
      </c>
      <c r="K541" s="421">
        <f t="shared" ref="K541:Y541" si="142">K78</f>
        <v>0</v>
      </c>
      <c r="L541" s="421">
        <f t="shared" si="142"/>
        <v>124317.62346355653</v>
      </c>
      <c r="M541" s="421">
        <f t="shared" si="142"/>
        <v>0</v>
      </c>
      <c r="N541" s="421">
        <f t="shared" si="142"/>
        <v>279278.4062210978</v>
      </c>
      <c r="O541" s="421">
        <f t="shared" si="142"/>
        <v>2982.2711814070658</v>
      </c>
      <c r="P541" s="421">
        <f t="shared" si="142"/>
        <v>295665.04380391253</v>
      </c>
      <c r="Q541" s="421">
        <f t="shared" si="142"/>
        <v>0</v>
      </c>
      <c r="R541" s="421">
        <f t="shared" si="142"/>
        <v>0</v>
      </c>
      <c r="S541" s="421">
        <f t="shared" si="142"/>
        <v>0</v>
      </c>
      <c r="T541" s="421">
        <f t="shared" si="142"/>
        <v>0</v>
      </c>
      <c r="U541" s="421">
        <f t="shared" si="142"/>
        <v>0</v>
      </c>
      <c r="V541" s="421">
        <f t="shared" si="142"/>
        <v>0</v>
      </c>
      <c r="W541" s="421">
        <f t="shared" si="142"/>
        <v>0</v>
      </c>
      <c r="X541" s="421">
        <f t="shared" si="142"/>
        <v>0</v>
      </c>
      <c r="Y541" s="421">
        <f t="shared" si="142"/>
        <v>0</v>
      </c>
      <c r="AQ541" s="19"/>
    </row>
    <row r="542" spans="5:43" x14ac:dyDescent="0.25">
      <c r="E542" s="37"/>
      <c r="F542" s="84" t="s">
        <v>1095</v>
      </c>
      <c r="G542" t="s">
        <v>120</v>
      </c>
      <c r="J542" s="213">
        <f>J87</f>
        <v>0</v>
      </c>
      <c r="K542" s="213">
        <f t="shared" ref="K542:Y542" si="143">K87</f>
        <v>0</v>
      </c>
      <c r="L542" s="213">
        <f t="shared" si="143"/>
        <v>154794.30695739787</v>
      </c>
      <c r="M542" s="213">
        <f t="shared" si="143"/>
        <v>0</v>
      </c>
      <c r="N542" s="213">
        <f t="shared" si="143"/>
        <v>156898.33376025464</v>
      </c>
      <c r="O542" s="213">
        <f t="shared" si="143"/>
        <v>10008.269378081564</v>
      </c>
      <c r="P542" s="213">
        <f t="shared" si="143"/>
        <v>266196.36016679689</v>
      </c>
      <c r="Q542" s="213">
        <f t="shared" si="143"/>
        <v>0</v>
      </c>
      <c r="R542" s="213">
        <f t="shared" si="143"/>
        <v>0</v>
      </c>
      <c r="S542" s="213">
        <f t="shared" si="143"/>
        <v>0</v>
      </c>
      <c r="T542" s="213">
        <f t="shared" si="143"/>
        <v>0</v>
      </c>
      <c r="U542" s="213">
        <f t="shared" si="143"/>
        <v>0</v>
      </c>
      <c r="V542" s="213">
        <f t="shared" si="143"/>
        <v>0</v>
      </c>
      <c r="W542" s="213">
        <f t="shared" si="143"/>
        <v>0</v>
      </c>
      <c r="X542" s="213">
        <f t="shared" si="143"/>
        <v>0</v>
      </c>
      <c r="Y542" s="213">
        <f t="shared" si="143"/>
        <v>0</v>
      </c>
      <c r="AQ542" s="19"/>
    </row>
    <row r="543" spans="5:43" x14ac:dyDescent="0.25">
      <c r="E543" s="37"/>
      <c r="F543" s="84" t="s">
        <v>1096</v>
      </c>
      <c r="G543" t="s">
        <v>120</v>
      </c>
      <c r="J543" s="213">
        <f>J96</f>
        <v>0</v>
      </c>
      <c r="K543" s="213">
        <f t="shared" ref="K543:Y543" si="144">K96</f>
        <v>0</v>
      </c>
      <c r="L543" s="213">
        <f t="shared" si="144"/>
        <v>467695.8007981386</v>
      </c>
      <c r="M543" s="213">
        <f t="shared" si="144"/>
        <v>0</v>
      </c>
      <c r="N543" s="213">
        <f t="shared" si="144"/>
        <v>386979.96519764536</v>
      </c>
      <c r="O543" s="213">
        <f t="shared" si="144"/>
        <v>104011.06196775756</v>
      </c>
      <c r="P543" s="213">
        <f t="shared" si="144"/>
        <v>839757.90730594413</v>
      </c>
      <c r="Q543" s="213">
        <f t="shared" si="144"/>
        <v>0</v>
      </c>
      <c r="R543" s="213">
        <f t="shared" si="144"/>
        <v>0</v>
      </c>
      <c r="S543" s="213">
        <f t="shared" si="144"/>
        <v>0</v>
      </c>
      <c r="T543" s="213">
        <f t="shared" si="144"/>
        <v>0</v>
      </c>
      <c r="U543" s="213">
        <f t="shared" si="144"/>
        <v>0</v>
      </c>
      <c r="V543" s="213">
        <f t="shared" si="144"/>
        <v>0</v>
      </c>
      <c r="W543" s="213">
        <f t="shared" si="144"/>
        <v>0</v>
      </c>
      <c r="X543" s="213">
        <f t="shared" si="144"/>
        <v>0</v>
      </c>
      <c r="Y543" s="213">
        <f t="shared" si="144"/>
        <v>0</v>
      </c>
      <c r="AQ543" s="19"/>
    </row>
    <row r="544" spans="5:43" x14ac:dyDescent="0.25">
      <c r="E544" s="92" t="s">
        <v>74</v>
      </c>
      <c r="F544" s="84"/>
      <c r="J544" s="128"/>
      <c r="K544" s="128"/>
      <c r="L544" s="128"/>
      <c r="M544" s="128"/>
      <c r="N544" s="128"/>
      <c r="O544" s="128"/>
      <c r="P544" s="128"/>
      <c r="Q544" s="128"/>
      <c r="R544" s="128"/>
      <c r="S544" s="128"/>
      <c r="T544" s="128"/>
      <c r="U544" s="128"/>
      <c r="V544" s="128"/>
      <c r="W544" s="128"/>
      <c r="X544" s="128"/>
      <c r="Y544" s="128"/>
      <c r="AQ544" s="19"/>
    </row>
    <row r="545" spans="5:43" x14ac:dyDescent="0.25">
      <c r="E545" s="37"/>
      <c r="F545" s="84" t="s">
        <v>1060</v>
      </c>
      <c r="G545" t="s">
        <v>74</v>
      </c>
      <c r="J545" s="217">
        <f>J61</f>
        <v>0</v>
      </c>
      <c r="K545" s="217">
        <f t="shared" ref="K545:Y545" si="145">K61</f>
        <v>92980</v>
      </c>
      <c r="L545" s="217">
        <f t="shared" si="145"/>
        <v>60</v>
      </c>
      <c r="M545" s="217">
        <f t="shared" si="145"/>
        <v>5473</v>
      </c>
      <c r="N545" s="217">
        <f t="shared" si="145"/>
        <v>21</v>
      </c>
      <c r="O545" s="217">
        <f t="shared" si="145"/>
        <v>1</v>
      </c>
      <c r="P545" s="217">
        <f t="shared" si="145"/>
        <v>133</v>
      </c>
      <c r="Q545" s="217">
        <f t="shared" si="145"/>
        <v>0</v>
      </c>
      <c r="R545" s="217">
        <f t="shared" si="145"/>
        <v>1153</v>
      </c>
      <c r="S545" s="217">
        <f t="shared" si="145"/>
        <v>4</v>
      </c>
      <c r="T545" s="217">
        <f t="shared" si="145"/>
        <v>496</v>
      </c>
      <c r="U545" s="217">
        <f t="shared" si="145"/>
        <v>0</v>
      </c>
      <c r="V545" s="217">
        <f t="shared" si="145"/>
        <v>9</v>
      </c>
      <c r="W545" s="217">
        <f t="shared" si="145"/>
        <v>0</v>
      </c>
      <c r="X545" s="217">
        <f t="shared" si="145"/>
        <v>261</v>
      </c>
      <c r="Y545" s="217">
        <f t="shared" si="145"/>
        <v>0</v>
      </c>
      <c r="AQ545" s="19"/>
    </row>
    <row r="546" spans="5:43" x14ac:dyDescent="0.25">
      <c r="E546" s="37"/>
      <c r="F546" s="84" t="s">
        <v>1093</v>
      </c>
      <c r="G546" t="s">
        <v>74</v>
      </c>
      <c r="J546" s="421">
        <f>J70</f>
        <v>1858128</v>
      </c>
      <c r="K546" s="421">
        <f t="shared" ref="K546:Y546" si="146">K70</f>
        <v>0</v>
      </c>
      <c r="L546" s="421">
        <f t="shared" si="146"/>
        <v>46603</v>
      </c>
      <c r="M546" s="421">
        <f t="shared" si="146"/>
        <v>0</v>
      </c>
      <c r="N546" s="421">
        <f t="shared" si="146"/>
        <v>4524</v>
      </c>
      <c r="O546" s="421">
        <f t="shared" si="146"/>
        <v>10</v>
      </c>
      <c r="P546" s="421">
        <f t="shared" si="146"/>
        <v>356</v>
      </c>
      <c r="Q546" s="421">
        <f t="shared" si="146"/>
        <v>4804</v>
      </c>
      <c r="R546" s="421">
        <f t="shared" si="146"/>
        <v>0</v>
      </c>
      <c r="S546" s="421">
        <f t="shared" si="146"/>
        <v>0</v>
      </c>
      <c r="T546" s="421">
        <f t="shared" si="146"/>
        <v>0</v>
      </c>
      <c r="U546" s="421">
        <f t="shared" si="146"/>
        <v>0</v>
      </c>
      <c r="V546" s="421">
        <f t="shared" si="146"/>
        <v>0</v>
      </c>
      <c r="W546" s="421">
        <f t="shared" si="146"/>
        <v>0</v>
      </c>
      <c r="X546" s="421">
        <f t="shared" si="146"/>
        <v>0</v>
      </c>
      <c r="Y546" s="421">
        <f t="shared" si="146"/>
        <v>0</v>
      </c>
      <c r="AQ546" s="19"/>
    </row>
    <row r="547" spans="5:43" x14ac:dyDescent="0.25">
      <c r="E547" s="37"/>
      <c r="F547" s="84" t="s">
        <v>1094</v>
      </c>
      <c r="G547" t="s">
        <v>74</v>
      </c>
      <c r="J547" s="421">
        <f>J79</f>
        <v>0</v>
      </c>
      <c r="K547" s="421">
        <f t="shared" ref="K547:Y547" si="147">K79</f>
        <v>0</v>
      </c>
      <c r="L547" s="421">
        <f t="shared" si="147"/>
        <v>36661</v>
      </c>
      <c r="M547" s="421">
        <f t="shared" si="147"/>
        <v>0</v>
      </c>
      <c r="N547" s="421">
        <f t="shared" si="147"/>
        <v>3723</v>
      </c>
      <c r="O547" s="421">
        <f t="shared" si="147"/>
        <v>24</v>
      </c>
      <c r="P547" s="421">
        <f t="shared" si="147"/>
        <v>403</v>
      </c>
      <c r="Q547" s="421">
        <f t="shared" si="147"/>
        <v>0</v>
      </c>
      <c r="R547" s="421">
        <f t="shared" si="147"/>
        <v>0</v>
      </c>
      <c r="S547" s="421">
        <f t="shared" si="147"/>
        <v>0</v>
      </c>
      <c r="T547" s="421">
        <f t="shared" si="147"/>
        <v>0</v>
      </c>
      <c r="U547" s="421">
        <f t="shared" si="147"/>
        <v>0</v>
      </c>
      <c r="V547" s="421">
        <f t="shared" si="147"/>
        <v>0</v>
      </c>
      <c r="W547" s="421">
        <f t="shared" si="147"/>
        <v>0</v>
      </c>
      <c r="X547" s="421">
        <f t="shared" si="147"/>
        <v>0</v>
      </c>
      <c r="Y547" s="421">
        <f t="shared" si="147"/>
        <v>0</v>
      </c>
      <c r="AQ547" s="19"/>
    </row>
    <row r="548" spans="5:43" x14ac:dyDescent="0.25">
      <c r="E548" s="37"/>
      <c r="F548" s="84" t="s">
        <v>1095</v>
      </c>
      <c r="G548" t="s">
        <v>74</v>
      </c>
      <c r="J548" s="213">
        <f>J88</f>
        <v>0</v>
      </c>
      <c r="K548" s="213">
        <f t="shared" ref="K548:Y548" si="148">K88</f>
        <v>0</v>
      </c>
      <c r="L548" s="213">
        <f t="shared" si="148"/>
        <v>21107</v>
      </c>
      <c r="M548" s="213">
        <f t="shared" si="148"/>
        <v>0</v>
      </c>
      <c r="N548" s="213">
        <f t="shared" si="148"/>
        <v>1261</v>
      </c>
      <c r="O548" s="213">
        <f t="shared" si="148"/>
        <v>41</v>
      </c>
      <c r="P548" s="213">
        <f t="shared" si="148"/>
        <v>177</v>
      </c>
      <c r="Q548" s="213">
        <f t="shared" si="148"/>
        <v>0</v>
      </c>
      <c r="R548" s="213">
        <f t="shared" si="148"/>
        <v>0</v>
      </c>
      <c r="S548" s="213">
        <f t="shared" si="148"/>
        <v>0</v>
      </c>
      <c r="T548" s="213">
        <f t="shared" si="148"/>
        <v>0</v>
      </c>
      <c r="U548" s="213">
        <f t="shared" si="148"/>
        <v>0</v>
      </c>
      <c r="V548" s="213">
        <f t="shared" si="148"/>
        <v>0</v>
      </c>
      <c r="W548" s="213">
        <f t="shared" si="148"/>
        <v>0</v>
      </c>
      <c r="X548" s="213">
        <f t="shared" si="148"/>
        <v>0</v>
      </c>
      <c r="Y548" s="213">
        <f t="shared" si="148"/>
        <v>0</v>
      </c>
      <c r="AQ548" s="19"/>
    </row>
    <row r="549" spans="5:43" x14ac:dyDescent="0.25">
      <c r="E549" s="37"/>
      <c r="F549" s="84" t="s">
        <v>1096</v>
      </c>
      <c r="G549" t="s">
        <v>74</v>
      </c>
      <c r="J549" s="213">
        <f>J97</f>
        <v>0</v>
      </c>
      <c r="K549" s="213">
        <f t="shared" ref="K549:Y549" si="149">K97</f>
        <v>0</v>
      </c>
      <c r="L549" s="213">
        <f t="shared" si="149"/>
        <v>21705</v>
      </c>
      <c r="M549" s="213">
        <f t="shared" si="149"/>
        <v>0</v>
      </c>
      <c r="N549" s="213">
        <f t="shared" si="149"/>
        <v>1557</v>
      </c>
      <c r="O549" s="213">
        <f t="shared" si="149"/>
        <v>202</v>
      </c>
      <c r="P549" s="213">
        <f t="shared" si="149"/>
        <v>210</v>
      </c>
      <c r="Q549" s="213">
        <f t="shared" si="149"/>
        <v>0</v>
      </c>
      <c r="R549" s="213">
        <f t="shared" si="149"/>
        <v>0</v>
      </c>
      <c r="S549" s="213">
        <f t="shared" si="149"/>
        <v>0</v>
      </c>
      <c r="T549" s="213">
        <f t="shared" si="149"/>
        <v>0</v>
      </c>
      <c r="U549" s="213">
        <f t="shared" si="149"/>
        <v>0</v>
      </c>
      <c r="V549" s="213">
        <f t="shared" si="149"/>
        <v>0</v>
      </c>
      <c r="W549" s="213">
        <f t="shared" si="149"/>
        <v>0</v>
      </c>
      <c r="X549" s="213">
        <f t="shared" si="149"/>
        <v>0</v>
      </c>
      <c r="Y549" s="213">
        <f t="shared" si="149"/>
        <v>0</v>
      </c>
      <c r="AQ549" s="19"/>
    </row>
    <row r="550" spans="5:43" x14ac:dyDescent="0.25">
      <c r="E550" s="92" t="s">
        <v>202</v>
      </c>
      <c r="F550" s="84"/>
      <c r="J550" s="128"/>
      <c r="K550" s="128"/>
      <c r="L550" s="128"/>
      <c r="M550" s="128"/>
      <c r="N550" s="128"/>
      <c r="O550" s="128"/>
      <c r="P550" s="128"/>
      <c r="Q550" s="128"/>
      <c r="R550" s="128"/>
      <c r="S550" s="128"/>
      <c r="T550" s="128"/>
      <c r="U550" s="128"/>
      <c r="V550" s="128"/>
      <c r="W550" s="128"/>
      <c r="X550" s="128"/>
      <c r="Y550" s="128"/>
      <c r="AQ550" s="19"/>
    </row>
    <row r="551" spans="5:43" x14ac:dyDescent="0.25">
      <c r="E551" s="37"/>
      <c r="F551" s="84" t="s">
        <v>1060</v>
      </c>
      <c r="G551" t="s">
        <v>169</v>
      </c>
      <c r="J551" s="217">
        <f>J62</f>
        <v>0</v>
      </c>
      <c r="K551" s="217">
        <f t="shared" ref="K551:Y551" si="150">K62</f>
        <v>0</v>
      </c>
      <c r="L551" s="217">
        <f t="shared" si="150"/>
        <v>0</v>
      </c>
      <c r="M551" s="217">
        <f t="shared" si="150"/>
        <v>0</v>
      </c>
      <c r="N551" s="217">
        <f t="shared" si="150"/>
        <v>952</v>
      </c>
      <c r="O551" s="217">
        <f t="shared" si="150"/>
        <v>8</v>
      </c>
      <c r="P551" s="217">
        <f t="shared" si="150"/>
        <v>7676</v>
      </c>
      <c r="Q551" s="217">
        <f t="shared" si="150"/>
        <v>0</v>
      </c>
      <c r="R551" s="217">
        <f t="shared" si="150"/>
        <v>0</v>
      </c>
      <c r="S551" s="217">
        <f t="shared" si="150"/>
        <v>0</v>
      </c>
      <c r="T551" s="217">
        <f t="shared" si="150"/>
        <v>0</v>
      </c>
      <c r="U551" s="217">
        <f t="shared" si="150"/>
        <v>0</v>
      </c>
      <c r="V551" s="217">
        <f t="shared" si="150"/>
        <v>0</v>
      </c>
      <c r="W551" s="217">
        <f t="shared" si="150"/>
        <v>0</v>
      </c>
      <c r="X551" s="217">
        <f t="shared" si="150"/>
        <v>0</v>
      </c>
      <c r="Y551" s="217">
        <f t="shared" si="150"/>
        <v>0</v>
      </c>
      <c r="AQ551" s="19"/>
    </row>
    <row r="552" spans="5:43" x14ac:dyDescent="0.25">
      <c r="E552" s="37"/>
      <c r="F552" s="84" t="s">
        <v>1093</v>
      </c>
      <c r="G552" t="s">
        <v>169</v>
      </c>
      <c r="J552" s="421">
        <f>J71</f>
        <v>0</v>
      </c>
      <c r="K552" s="421">
        <f t="shared" ref="K552:Y552" si="151">K71</f>
        <v>0</v>
      </c>
      <c r="L552" s="421">
        <f t="shared" si="151"/>
        <v>0</v>
      </c>
      <c r="M552" s="421">
        <f t="shared" si="151"/>
        <v>0</v>
      </c>
      <c r="N552" s="421">
        <f t="shared" si="151"/>
        <v>253629</v>
      </c>
      <c r="O552" s="421">
        <f t="shared" si="151"/>
        <v>456</v>
      </c>
      <c r="P552" s="421">
        <f t="shared" si="151"/>
        <v>71629</v>
      </c>
      <c r="Q552" s="421">
        <f t="shared" si="151"/>
        <v>0</v>
      </c>
      <c r="R552" s="421">
        <f t="shared" si="151"/>
        <v>0</v>
      </c>
      <c r="S552" s="421">
        <f t="shared" si="151"/>
        <v>0</v>
      </c>
      <c r="T552" s="421">
        <f t="shared" si="151"/>
        <v>0</v>
      </c>
      <c r="U552" s="421">
        <f t="shared" si="151"/>
        <v>0</v>
      </c>
      <c r="V552" s="421">
        <f t="shared" si="151"/>
        <v>0</v>
      </c>
      <c r="W552" s="421">
        <f t="shared" si="151"/>
        <v>0</v>
      </c>
      <c r="X552" s="421">
        <f t="shared" si="151"/>
        <v>0</v>
      </c>
      <c r="Y552" s="421">
        <f t="shared" si="151"/>
        <v>0</v>
      </c>
      <c r="AQ552" s="19"/>
    </row>
    <row r="553" spans="5:43" x14ac:dyDescent="0.25">
      <c r="E553" s="37"/>
      <c r="F553" s="84" t="s">
        <v>1094</v>
      </c>
      <c r="G553" t="s">
        <v>169</v>
      </c>
      <c r="J553" s="421">
        <f>J80</f>
        <v>0</v>
      </c>
      <c r="K553" s="421">
        <f t="shared" ref="K553:Y553" si="152">K80</f>
        <v>0</v>
      </c>
      <c r="L553" s="421">
        <f t="shared" si="152"/>
        <v>0</v>
      </c>
      <c r="M553" s="421">
        <f t="shared" si="152"/>
        <v>0</v>
      </c>
      <c r="N553" s="421">
        <f t="shared" si="152"/>
        <v>420018</v>
      </c>
      <c r="O553" s="421">
        <f t="shared" si="152"/>
        <v>3051</v>
      </c>
      <c r="P553" s="421">
        <f t="shared" si="152"/>
        <v>277706</v>
      </c>
      <c r="Q553" s="421">
        <f t="shared" si="152"/>
        <v>0</v>
      </c>
      <c r="R553" s="421">
        <f t="shared" si="152"/>
        <v>0</v>
      </c>
      <c r="S553" s="421">
        <f t="shared" si="152"/>
        <v>0</v>
      </c>
      <c r="T553" s="421">
        <f t="shared" si="152"/>
        <v>0</v>
      </c>
      <c r="U553" s="421">
        <f t="shared" si="152"/>
        <v>0</v>
      </c>
      <c r="V553" s="421">
        <f t="shared" si="152"/>
        <v>0</v>
      </c>
      <c r="W553" s="421">
        <f t="shared" si="152"/>
        <v>0</v>
      </c>
      <c r="X553" s="421">
        <f t="shared" si="152"/>
        <v>0</v>
      </c>
      <c r="Y553" s="421">
        <f t="shared" si="152"/>
        <v>0</v>
      </c>
      <c r="AQ553" s="19"/>
    </row>
    <row r="554" spans="5:43" x14ac:dyDescent="0.25">
      <c r="E554" s="37"/>
      <c r="F554" s="84" t="s">
        <v>1095</v>
      </c>
      <c r="G554" t="s">
        <v>169</v>
      </c>
      <c r="J554" s="213">
        <f>J89</f>
        <v>0</v>
      </c>
      <c r="K554" s="213">
        <f t="shared" ref="K554:Y554" si="153">K89</f>
        <v>0</v>
      </c>
      <c r="L554" s="213">
        <f t="shared" si="153"/>
        <v>0</v>
      </c>
      <c r="M554" s="213">
        <f t="shared" si="153"/>
        <v>0</v>
      </c>
      <c r="N554" s="213">
        <f t="shared" si="153"/>
        <v>237355</v>
      </c>
      <c r="O554" s="213">
        <f t="shared" si="153"/>
        <v>7741</v>
      </c>
      <c r="P554" s="213">
        <f t="shared" si="153"/>
        <v>239536</v>
      </c>
      <c r="Q554" s="213">
        <f t="shared" si="153"/>
        <v>0</v>
      </c>
      <c r="R554" s="213">
        <f t="shared" si="153"/>
        <v>0</v>
      </c>
      <c r="S554" s="213">
        <f t="shared" si="153"/>
        <v>0</v>
      </c>
      <c r="T554" s="213">
        <f t="shared" si="153"/>
        <v>0</v>
      </c>
      <c r="U554" s="213">
        <f t="shared" si="153"/>
        <v>0</v>
      </c>
      <c r="V554" s="213">
        <f t="shared" si="153"/>
        <v>0</v>
      </c>
      <c r="W554" s="213">
        <f t="shared" si="153"/>
        <v>0</v>
      </c>
      <c r="X554" s="213">
        <f t="shared" si="153"/>
        <v>0</v>
      </c>
      <c r="Y554" s="213">
        <f t="shared" si="153"/>
        <v>0</v>
      </c>
      <c r="AQ554" s="19"/>
    </row>
    <row r="555" spans="5:43" x14ac:dyDescent="0.25">
      <c r="E555" s="37"/>
      <c r="F555" s="84" t="s">
        <v>1096</v>
      </c>
      <c r="G555" t="s">
        <v>169</v>
      </c>
      <c r="J555" s="213">
        <f>J98</f>
        <v>0</v>
      </c>
      <c r="K555" s="213">
        <f t="shared" ref="K555:Y555" si="154">K98</f>
        <v>0</v>
      </c>
      <c r="L555" s="213">
        <f t="shared" si="154"/>
        <v>0</v>
      </c>
      <c r="M555" s="213">
        <f t="shared" si="154"/>
        <v>0</v>
      </c>
      <c r="N555" s="213">
        <f t="shared" si="154"/>
        <v>608702</v>
      </c>
      <c r="O555" s="213">
        <f t="shared" si="154"/>
        <v>97640</v>
      </c>
      <c r="P555" s="213">
        <f t="shared" si="154"/>
        <v>722539</v>
      </c>
      <c r="Q555" s="213">
        <f t="shared" si="154"/>
        <v>0</v>
      </c>
      <c r="R555" s="213">
        <f t="shared" si="154"/>
        <v>0</v>
      </c>
      <c r="S555" s="213">
        <f t="shared" si="154"/>
        <v>0</v>
      </c>
      <c r="T555" s="213">
        <f t="shared" si="154"/>
        <v>0</v>
      </c>
      <c r="U555" s="213">
        <f t="shared" si="154"/>
        <v>0</v>
      </c>
      <c r="V555" s="213">
        <f t="shared" si="154"/>
        <v>0</v>
      </c>
      <c r="W555" s="213">
        <f t="shared" si="154"/>
        <v>0</v>
      </c>
      <c r="X555" s="213">
        <f t="shared" si="154"/>
        <v>0</v>
      </c>
      <c r="Y555" s="213">
        <f t="shared" si="154"/>
        <v>0</v>
      </c>
      <c r="AQ555" s="19"/>
    </row>
    <row r="556" spans="5:43" x14ac:dyDescent="0.25">
      <c r="E556" s="92" t="s">
        <v>203</v>
      </c>
      <c r="F556" s="84"/>
      <c r="J556" s="128"/>
      <c r="K556" s="128"/>
      <c r="L556" s="128"/>
      <c r="M556" s="128"/>
      <c r="N556" s="128"/>
      <c r="O556" s="128"/>
      <c r="P556" s="128"/>
      <c r="Q556" s="128"/>
      <c r="R556" s="128"/>
      <c r="S556" s="128"/>
      <c r="T556" s="128"/>
      <c r="U556" s="128"/>
      <c r="V556" s="128"/>
      <c r="W556" s="128"/>
      <c r="X556" s="128"/>
      <c r="Y556" s="128"/>
      <c r="AQ556" s="19"/>
    </row>
    <row r="557" spans="5:43" x14ac:dyDescent="0.25">
      <c r="E557" s="37"/>
      <c r="F557" s="84" t="s">
        <v>1060</v>
      </c>
      <c r="G557" t="s">
        <v>169</v>
      </c>
      <c r="J557" s="217">
        <f>J63</f>
        <v>0</v>
      </c>
      <c r="K557" s="217">
        <f t="shared" ref="K557:Y557" si="155">K63</f>
        <v>0</v>
      </c>
      <c r="L557" s="217">
        <f t="shared" si="155"/>
        <v>0</v>
      </c>
      <c r="M557" s="217">
        <f t="shared" si="155"/>
        <v>0</v>
      </c>
      <c r="N557" s="217">
        <f t="shared" si="155"/>
        <v>42</v>
      </c>
      <c r="O557" s="217">
        <f t="shared" si="155"/>
        <v>5</v>
      </c>
      <c r="P557" s="217">
        <f t="shared" si="155"/>
        <v>744</v>
      </c>
      <c r="Q557" s="217">
        <f t="shared" si="155"/>
        <v>0</v>
      </c>
      <c r="R557" s="217">
        <f t="shared" si="155"/>
        <v>0</v>
      </c>
      <c r="S557" s="217">
        <f t="shared" si="155"/>
        <v>0</v>
      </c>
      <c r="T557" s="217">
        <f t="shared" si="155"/>
        <v>0</v>
      </c>
      <c r="U557" s="217">
        <f t="shared" si="155"/>
        <v>0</v>
      </c>
      <c r="V557" s="217">
        <f t="shared" si="155"/>
        <v>0</v>
      </c>
      <c r="W557" s="217">
        <f t="shared" si="155"/>
        <v>0</v>
      </c>
      <c r="X557" s="217">
        <f t="shared" si="155"/>
        <v>0</v>
      </c>
      <c r="Y557" s="217">
        <f t="shared" si="155"/>
        <v>0</v>
      </c>
      <c r="AQ557" s="19"/>
    </row>
    <row r="558" spans="5:43" x14ac:dyDescent="0.25">
      <c r="E558" s="37"/>
      <c r="F558" s="84" t="s">
        <v>1093</v>
      </c>
      <c r="G558" t="s">
        <v>169</v>
      </c>
      <c r="J558" s="421">
        <f>J72</f>
        <v>0</v>
      </c>
      <c r="K558" s="421">
        <f t="shared" ref="K558:Y558" si="156">K72</f>
        <v>0</v>
      </c>
      <c r="L558" s="421">
        <f t="shared" si="156"/>
        <v>0</v>
      </c>
      <c r="M558" s="421">
        <f t="shared" si="156"/>
        <v>0</v>
      </c>
      <c r="N558" s="421">
        <f t="shared" si="156"/>
        <v>12241</v>
      </c>
      <c r="O558" s="421">
        <f t="shared" si="156"/>
        <v>302</v>
      </c>
      <c r="P558" s="421">
        <f t="shared" si="156"/>
        <v>5846</v>
      </c>
      <c r="Q558" s="421">
        <f t="shared" si="156"/>
        <v>0</v>
      </c>
      <c r="R558" s="421">
        <f t="shared" si="156"/>
        <v>0</v>
      </c>
      <c r="S558" s="421">
        <f t="shared" si="156"/>
        <v>0</v>
      </c>
      <c r="T558" s="421">
        <f t="shared" si="156"/>
        <v>0</v>
      </c>
      <c r="U558" s="421">
        <f t="shared" si="156"/>
        <v>0</v>
      </c>
      <c r="V558" s="421">
        <f t="shared" si="156"/>
        <v>0</v>
      </c>
      <c r="W558" s="421">
        <f t="shared" si="156"/>
        <v>0</v>
      </c>
      <c r="X558" s="421">
        <f t="shared" si="156"/>
        <v>0</v>
      </c>
      <c r="Y558" s="421">
        <f t="shared" si="156"/>
        <v>0</v>
      </c>
      <c r="AQ558" s="19"/>
    </row>
    <row r="559" spans="5:43" x14ac:dyDescent="0.25">
      <c r="E559" s="37"/>
      <c r="F559" s="84" t="s">
        <v>1094</v>
      </c>
      <c r="G559" t="s">
        <v>169</v>
      </c>
      <c r="J559" s="421">
        <f>J81</f>
        <v>0</v>
      </c>
      <c r="K559" s="421">
        <f t="shared" ref="K559:Y559" si="157">K81</f>
        <v>0</v>
      </c>
      <c r="L559" s="421">
        <f t="shared" si="157"/>
        <v>0</v>
      </c>
      <c r="M559" s="421">
        <f t="shared" si="157"/>
        <v>0</v>
      </c>
      <c r="N559" s="421">
        <f t="shared" si="157"/>
        <v>6970</v>
      </c>
      <c r="O559" s="421">
        <f t="shared" si="157"/>
        <v>189</v>
      </c>
      <c r="P559" s="421">
        <f t="shared" si="157"/>
        <v>2073</v>
      </c>
      <c r="Q559" s="421">
        <f t="shared" si="157"/>
        <v>0</v>
      </c>
      <c r="R559" s="421">
        <f t="shared" si="157"/>
        <v>0</v>
      </c>
      <c r="S559" s="421">
        <f t="shared" si="157"/>
        <v>0</v>
      </c>
      <c r="T559" s="421">
        <f t="shared" si="157"/>
        <v>0</v>
      </c>
      <c r="U559" s="421">
        <f t="shared" si="157"/>
        <v>0</v>
      </c>
      <c r="V559" s="421">
        <f t="shared" si="157"/>
        <v>0</v>
      </c>
      <c r="W559" s="421">
        <f t="shared" si="157"/>
        <v>0</v>
      </c>
      <c r="X559" s="421">
        <f t="shared" si="157"/>
        <v>0</v>
      </c>
      <c r="Y559" s="421">
        <f t="shared" si="157"/>
        <v>0</v>
      </c>
      <c r="AQ559" s="19"/>
    </row>
    <row r="560" spans="5:43" x14ac:dyDescent="0.25">
      <c r="E560" s="37"/>
      <c r="F560" s="84" t="s">
        <v>1095</v>
      </c>
      <c r="G560" t="s">
        <v>169</v>
      </c>
      <c r="J560" s="213">
        <f>J90</f>
        <v>0</v>
      </c>
      <c r="K560" s="213">
        <f t="shared" ref="K560:Y560" si="158">K90</f>
        <v>0</v>
      </c>
      <c r="L560" s="213">
        <f t="shared" si="158"/>
        <v>0</v>
      </c>
      <c r="M560" s="213">
        <f t="shared" si="158"/>
        <v>0</v>
      </c>
      <c r="N560" s="213">
        <f t="shared" si="158"/>
        <v>1336</v>
      </c>
      <c r="O560" s="213">
        <f t="shared" si="158"/>
        <v>144</v>
      </c>
      <c r="P560" s="213">
        <f t="shared" si="158"/>
        <v>1688</v>
      </c>
      <c r="Q560" s="213">
        <f t="shared" si="158"/>
        <v>0</v>
      </c>
      <c r="R560" s="213">
        <f t="shared" si="158"/>
        <v>0</v>
      </c>
      <c r="S560" s="213">
        <f t="shared" si="158"/>
        <v>0</v>
      </c>
      <c r="T560" s="213">
        <f t="shared" si="158"/>
        <v>0</v>
      </c>
      <c r="U560" s="213">
        <f t="shared" si="158"/>
        <v>0</v>
      </c>
      <c r="V560" s="213">
        <f t="shared" si="158"/>
        <v>0</v>
      </c>
      <c r="W560" s="213">
        <f t="shared" si="158"/>
        <v>0</v>
      </c>
      <c r="X560" s="213">
        <f t="shared" si="158"/>
        <v>0</v>
      </c>
      <c r="Y560" s="213">
        <f t="shared" si="158"/>
        <v>0</v>
      </c>
      <c r="AQ560" s="19"/>
    </row>
    <row r="561" spans="4:43" x14ac:dyDescent="0.25">
      <c r="E561" s="37"/>
      <c r="F561" s="84" t="s">
        <v>1096</v>
      </c>
      <c r="G561" t="s">
        <v>169</v>
      </c>
      <c r="J561" s="213">
        <f>J99</f>
        <v>0</v>
      </c>
      <c r="K561" s="213">
        <f t="shared" ref="K561:Y561" si="159">K99</f>
        <v>0</v>
      </c>
      <c r="L561" s="213">
        <f t="shared" si="159"/>
        <v>0</v>
      </c>
      <c r="M561" s="213">
        <f t="shared" si="159"/>
        <v>0</v>
      </c>
      <c r="N561" s="213">
        <f t="shared" si="159"/>
        <v>1593</v>
      </c>
      <c r="O561" s="213">
        <f t="shared" si="159"/>
        <v>319</v>
      </c>
      <c r="P561" s="213">
        <f t="shared" si="159"/>
        <v>3914</v>
      </c>
      <c r="Q561" s="213">
        <f t="shared" si="159"/>
        <v>0</v>
      </c>
      <c r="R561" s="213">
        <f t="shared" si="159"/>
        <v>0</v>
      </c>
      <c r="S561" s="213">
        <f t="shared" si="159"/>
        <v>0</v>
      </c>
      <c r="T561" s="213">
        <f t="shared" si="159"/>
        <v>0</v>
      </c>
      <c r="U561" s="213">
        <f t="shared" si="159"/>
        <v>0</v>
      </c>
      <c r="V561" s="213">
        <f t="shared" si="159"/>
        <v>0</v>
      </c>
      <c r="W561" s="213">
        <f t="shared" si="159"/>
        <v>0</v>
      </c>
      <c r="X561" s="213">
        <f t="shared" si="159"/>
        <v>0</v>
      </c>
      <c r="Y561" s="213">
        <f t="shared" si="159"/>
        <v>0</v>
      </c>
      <c r="AQ561" s="19"/>
    </row>
    <row r="562" spans="4:43" x14ac:dyDescent="0.25">
      <c r="E562" s="37" t="s">
        <v>204</v>
      </c>
      <c r="F562" s="84"/>
      <c r="J562" s="128"/>
      <c r="K562" s="128"/>
      <c r="L562" s="128"/>
      <c r="M562" s="128"/>
      <c r="N562" s="128"/>
      <c r="O562" s="128"/>
      <c r="P562" s="128"/>
      <c r="Q562" s="128"/>
      <c r="R562" s="128"/>
      <c r="S562" s="128"/>
      <c r="T562" s="128"/>
      <c r="U562" s="128"/>
      <c r="V562" s="128"/>
      <c r="W562" s="128"/>
      <c r="X562" s="128"/>
      <c r="Y562" s="128"/>
      <c r="AQ562" s="19"/>
    </row>
    <row r="563" spans="4:43" x14ac:dyDescent="0.25">
      <c r="E563" s="37"/>
      <c r="F563" s="84" t="s">
        <v>1060</v>
      </c>
      <c r="G563" t="s">
        <v>170</v>
      </c>
      <c r="J563" s="217">
        <f>J64</f>
        <v>0</v>
      </c>
      <c r="K563" s="217">
        <f t="shared" ref="K563:Y563" si="160">K64</f>
        <v>0</v>
      </c>
      <c r="L563" s="217">
        <f t="shared" si="160"/>
        <v>0</v>
      </c>
      <c r="M563" s="217">
        <f t="shared" si="160"/>
        <v>0</v>
      </c>
      <c r="N563" s="217">
        <f t="shared" si="160"/>
        <v>64.055000000000007</v>
      </c>
      <c r="O563" s="217">
        <f t="shared" si="160"/>
        <v>2.2480000000000002</v>
      </c>
      <c r="P563" s="217">
        <f t="shared" si="160"/>
        <v>1213.202</v>
      </c>
      <c r="Q563" s="217">
        <f t="shared" si="160"/>
        <v>0</v>
      </c>
      <c r="R563" s="217">
        <f t="shared" si="160"/>
        <v>0</v>
      </c>
      <c r="S563" s="217">
        <f t="shared" si="160"/>
        <v>0</v>
      </c>
      <c r="T563" s="217">
        <f t="shared" si="160"/>
        <v>5379.1220000000003</v>
      </c>
      <c r="U563" s="217">
        <f t="shared" si="160"/>
        <v>0</v>
      </c>
      <c r="V563" s="217">
        <f t="shared" si="160"/>
        <v>157.29499999999999</v>
      </c>
      <c r="W563" s="217">
        <f t="shared" si="160"/>
        <v>0</v>
      </c>
      <c r="X563" s="217">
        <f t="shared" si="160"/>
        <v>20692.973000000002</v>
      </c>
      <c r="Y563" s="217">
        <f t="shared" si="160"/>
        <v>0</v>
      </c>
      <c r="AQ563" s="19"/>
    </row>
    <row r="564" spans="4:43" x14ac:dyDescent="0.25">
      <c r="E564" s="37"/>
      <c r="F564" s="84" t="s">
        <v>1093</v>
      </c>
      <c r="G564" t="s">
        <v>170</v>
      </c>
      <c r="J564" s="421">
        <f>J73</f>
        <v>0</v>
      </c>
      <c r="K564" s="421">
        <f t="shared" ref="K564:Y564" si="161">K73</f>
        <v>0</v>
      </c>
      <c r="L564" s="421">
        <f t="shared" si="161"/>
        <v>0</v>
      </c>
      <c r="M564" s="421">
        <f t="shared" si="161"/>
        <v>0</v>
      </c>
      <c r="N564" s="421">
        <f t="shared" si="161"/>
        <v>48146.402999999998</v>
      </c>
      <c r="O564" s="421">
        <f t="shared" si="161"/>
        <v>502.32499999999999</v>
      </c>
      <c r="P564" s="421">
        <f t="shared" si="161"/>
        <v>24313.001</v>
      </c>
      <c r="Q564" s="421">
        <f t="shared" si="161"/>
        <v>0</v>
      </c>
      <c r="R564" s="421">
        <f t="shared" si="161"/>
        <v>0</v>
      </c>
      <c r="S564" s="421">
        <f t="shared" si="161"/>
        <v>0</v>
      </c>
      <c r="T564" s="421">
        <f t="shared" si="161"/>
        <v>0</v>
      </c>
      <c r="U564" s="421">
        <f t="shared" si="161"/>
        <v>0</v>
      </c>
      <c r="V564" s="421">
        <f t="shared" si="161"/>
        <v>0</v>
      </c>
      <c r="W564" s="421">
        <f t="shared" si="161"/>
        <v>0</v>
      </c>
      <c r="X564" s="421">
        <f t="shared" si="161"/>
        <v>0</v>
      </c>
      <c r="Y564" s="421">
        <f t="shared" si="161"/>
        <v>0</v>
      </c>
      <c r="AQ564" s="19"/>
    </row>
    <row r="565" spans="4:43" x14ac:dyDescent="0.25">
      <c r="E565" s="37"/>
      <c r="F565" s="84" t="s">
        <v>1094</v>
      </c>
      <c r="G565" t="s">
        <v>170</v>
      </c>
      <c r="J565" s="421">
        <f>J82</f>
        <v>0</v>
      </c>
      <c r="K565" s="421">
        <f t="shared" ref="K565:Y565" si="162">K82</f>
        <v>0</v>
      </c>
      <c r="L565" s="421">
        <f t="shared" si="162"/>
        <v>0</v>
      </c>
      <c r="M565" s="421">
        <f t="shared" si="162"/>
        <v>0</v>
      </c>
      <c r="N565" s="421">
        <f t="shared" si="162"/>
        <v>60478.904999999999</v>
      </c>
      <c r="O565" s="421">
        <f t="shared" si="162"/>
        <v>611.57899999999995</v>
      </c>
      <c r="P565" s="421">
        <f t="shared" si="162"/>
        <v>38777.107000000004</v>
      </c>
      <c r="Q565" s="421">
        <f t="shared" si="162"/>
        <v>0</v>
      </c>
      <c r="R565" s="421">
        <f t="shared" si="162"/>
        <v>0</v>
      </c>
      <c r="S565" s="421">
        <f t="shared" si="162"/>
        <v>0</v>
      </c>
      <c r="T565" s="421">
        <f t="shared" si="162"/>
        <v>0</v>
      </c>
      <c r="U565" s="421">
        <f t="shared" si="162"/>
        <v>0</v>
      </c>
      <c r="V565" s="421">
        <f t="shared" si="162"/>
        <v>0</v>
      </c>
      <c r="W565" s="421">
        <f t="shared" si="162"/>
        <v>0</v>
      </c>
      <c r="X565" s="421">
        <f t="shared" si="162"/>
        <v>0</v>
      </c>
      <c r="Y565" s="421">
        <f t="shared" si="162"/>
        <v>0</v>
      </c>
      <c r="AQ565" s="19"/>
    </row>
    <row r="566" spans="4:43" x14ac:dyDescent="0.25">
      <c r="E566" s="37"/>
      <c r="F566" s="84" t="s">
        <v>1095</v>
      </c>
      <c r="G566" t="s">
        <v>170</v>
      </c>
      <c r="J566" s="213">
        <f>J91</f>
        <v>0</v>
      </c>
      <c r="K566" s="213">
        <f t="shared" ref="K566:Y566" si="163">K91</f>
        <v>0</v>
      </c>
      <c r="L566" s="213">
        <f t="shared" si="163"/>
        <v>0</v>
      </c>
      <c r="M566" s="213">
        <f t="shared" si="163"/>
        <v>0</v>
      </c>
      <c r="N566" s="213">
        <f t="shared" si="163"/>
        <v>32197.821</v>
      </c>
      <c r="O566" s="213">
        <f t="shared" si="163"/>
        <v>1792.9359999999999</v>
      </c>
      <c r="P566" s="213">
        <f t="shared" si="163"/>
        <v>34030.400000000001</v>
      </c>
      <c r="Q566" s="213">
        <f t="shared" si="163"/>
        <v>0</v>
      </c>
      <c r="R566" s="213">
        <f t="shared" si="163"/>
        <v>0</v>
      </c>
      <c r="S566" s="213">
        <f t="shared" si="163"/>
        <v>0</v>
      </c>
      <c r="T566" s="213">
        <f t="shared" si="163"/>
        <v>0</v>
      </c>
      <c r="U566" s="213">
        <f t="shared" si="163"/>
        <v>0</v>
      </c>
      <c r="V566" s="213">
        <f t="shared" si="163"/>
        <v>0</v>
      </c>
      <c r="W566" s="213">
        <f t="shared" si="163"/>
        <v>0</v>
      </c>
      <c r="X566" s="213">
        <f t="shared" si="163"/>
        <v>0</v>
      </c>
      <c r="Y566" s="213">
        <f t="shared" si="163"/>
        <v>0</v>
      </c>
      <c r="AQ566" s="19"/>
    </row>
    <row r="567" spans="4:43" x14ac:dyDescent="0.25">
      <c r="E567" s="34"/>
      <c r="F567" s="422" t="s">
        <v>1096</v>
      </c>
      <c r="G567" s="17" t="s">
        <v>170</v>
      </c>
      <c r="H567" s="17"/>
      <c r="I567" s="17"/>
      <c r="J567" s="421">
        <f>J100</f>
        <v>0</v>
      </c>
      <c r="K567" s="421">
        <f t="shared" ref="K567:Y567" si="164">K100</f>
        <v>0</v>
      </c>
      <c r="L567" s="421">
        <f t="shared" si="164"/>
        <v>0</v>
      </c>
      <c r="M567" s="421">
        <f t="shared" si="164"/>
        <v>0</v>
      </c>
      <c r="N567" s="421">
        <f t="shared" si="164"/>
        <v>85548.118000000002</v>
      </c>
      <c r="O567" s="421">
        <f t="shared" si="164"/>
        <v>17164.226999999999</v>
      </c>
      <c r="P567" s="421">
        <f t="shared" si="164"/>
        <v>139514.554</v>
      </c>
      <c r="Q567" s="421">
        <f t="shared" si="164"/>
        <v>0</v>
      </c>
      <c r="R567" s="421">
        <f t="shared" si="164"/>
        <v>0</v>
      </c>
      <c r="S567" s="421">
        <f t="shared" si="164"/>
        <v>0</v>
      </c>
      <c r="T567" s="421">
        <f t="shared" si="164"/>
        <v>0</v>
      </c>
      <c r="U567" s="421">
        <f t="shared" si="164"/>
        <v>0</v>
      </c>
      <c r="V567" s="421">
        <f t="shared" si="164"/>
        <v>0</v>
      </c>
      <c r="W567" s="421">
        <f t="shared" si="164"/>
        <v>0</v>
      </c>
      <c r="X567" s="421">
        <f t="shared" si="164"/>
        <v>0</v>
      </c>
      <c r="Y567" s="421">
        <f t="shared" si="164"/>
        <v>0</v>
      </c>
      <c r="AQ567" s="19"/>
    </row>
    <row r="568" spans="4:43" x14ac:dyDescent="0.25">
      <c r="AQ568" s="19"/>
    </row>
    <row r="569" spans="4:43" x14ac:dyDescent="0.25">
      <c r="D569" s="52" t="s">
        <v>1226</v>
      </c>
      <c r="AQ569" s="19"/>
    </row>
    <row r="570" spans="4:43" x14ac:dyDescent="0.25">
      <c r="E570" s="38" t="s">
        <v>199</v>
      </c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AQ570" s="19"/>
    </row>
    <row r="571" spans="4:43" x14ac:dyDescent="0.25">
      <c r="E571" s="37"/>
      <c r="F571" s="84" t="s">
        <v>1060</v>
      </c>
      <c r="G571" t="s">
        <v>120</v>
      </c>
      <c r="J571" s="217">
        <f>J105</f>
        <v>0</v>
      </c>
      <c r="K571" s="217">
        <f t="shared" ref="K571:Y571" si="165">K105</f>
        <v>1.76</v>
      </c>
      <c r="L571" s="217">
        <f t="shared" si="165"/>
        <v>0</v>
      </c>
      <c r="M571" s="217">
        <f t="shared" si="165"/>
        <v>0</v>
      </c>
      <c r="N571" s="217">
        <f t="shared" si="165"/>
        <v>0</v>
      </c>
      <c r="O571" s="217">
        <f t="shared" si="165"/>
        <v>0</v>
      </c>
      <c r="P571" s="217">
        <f t="shared" si="165"/>
        <v>0</v>
      </c>
      <c r="Q571" s="217">
        <f t="shared" si="165"/>
        <v>0</v>
      </c>
      <c r="R571" s="217">
        <f t="shared" si="165"/>
        <v>148.179</v>
      </c>
      <c r="S571" s="217">
        <f t="shared" si="165"/>
        <v>0</v>
      </c>
      <c r="T571" s="217">
        <f t="shared" si="165"/>
        <v>0</v>
      </c>
      <c r="U571" s="217">
        <f t="shared" si="165"/>
        <v>0</v>
      </c>
      <c r="V571" s="217">
        <f t="shared" si="165"/>
        <v>0</v>
      </c>
      <c r="W571" s="217">
        <f t="shared" si="165"/>
        <v>0</v>
      </c>
      <c r="X571" s="217">
        <f t="shared" si="165"/>
        <v>0</v>
      </c>
      <c r="Y571" s="217">
        <f t="shared" si="165"/>
        <v>0</v>
      </c>
      <c r="AQ571" s="19"/>
    </row>
    <row r="572" spans="4:43" x14ac:dyDescent="0.25">
      <c r="E572" s="37"/>
      <c r="F572" s="84" t="s">
        <v>1093</v>
      </c>
      <c r="G572" t="s">
        <v>120</v>
      </c>
      <c r="J572" s="421">
        <f>J114</f>
        <v>20086.258114403387</v>
      </c>
      <c r="K572" s="421">
        <f t="shared" ref="K572:Y572" si="166">K114</f>
        <v>0</v>
      </c>
      <c r="L572" s="421">
        <f t="shared" si="166"/>
        <v>176.73692201913369</v>
      </c>
      <c r="M572" s="421">
        <f t="shared" si="166"/>
        <v>0</v>
      </c>
      <c r="N572" s="421">
        <f t="shared" si="166"/>
        <v>186.44116259697142</v>
      </c>
      <c r="O572" s="421">
        <f t="shared" si="166"/>
        <v>0</v>
      </c>
      <c r="P572" s="421">
        <f t="shared" si="166"/>
        <v>0</v>
      </c>
      <c r="Q572" s="421">
        <f t="shared" si="166"/>
        <v>27.518494778325124</v>
      </c>
      <c r="R572" s="421">
        <f t="shared" si="166"/>
        <v>0</v>
      </c>
      <c r="S572" s="421">
        <f t="shared" si="166"/>
        <v>0</v>
      </c>
      <c r="T572" s="421">
        <f t="shared" si="166"/>
        <v>0</v>
      </c>
      <c r="U572" s="421">
        <f t="shared" si="166"/>
        <v>0</v>
      </c>
      <c r="V572" s="421">
        <f t="shared" si="166"/>
        <v>0</v>
      </c>
      <c r="W572" s="421">
        <f t="shared" si="166"/>
        <v>0</v>
      </c>
      <c r="X572" s="421">
        <f t="shared" si="166"/>
        <v>0</v>
      </c>
      <c r="Y572" s="421">
        <f t="shared" si="166"/>
        <v>0</v>
      </c>
      <c r="AQ572" s="19"/>
    </row>
    <row r="573" spans="4:43" x14ac:dyDescent="0.25">
      <c r="E573" s="37"/>
      <c r="F573" s="84" t="s">
        <v>1094</v>
      </c>
      <c r="G573" t="s">
        <v>120</v>
      </c>
      <c r="J573" s="421">
        <f>J123</f>
        <v>0</v>
      </c>
      <c r="K573" s="421">
        <f t="shared" ref="K573:Y573" si="167">K123</f>
        <v>0</v>
      </c>
      <c r="L573" s="421">
        <f t="shared" si="167"/>
        <v>234.45560805277455</v>
      </c>
      <c r="M573" s="421">
        <f t="shared" si="167"/>
        <v>0</v>
      </c>
      <c r="N573" s="421">
        <f t="shared" si="167"/>
        <v>454.96648805542816</v>
      </c>
      <c r="O573" s="421">
        <f t="shared" si="167"/>
        <v>0</v>
      </c>
      <c r="P573" s="421">
        <f t="shared" si="167"/>
        <v>0</v>
      </c>
      <c r="Q573" s="421">
        <f t="shared" si="167"/>
        <v>0</v>
      </c>
      <c r="R573" s="421">
        <f t="shared" si="167"/>
        <v>0</v>
      </c>
      <c r="S573" s="421">
        <f t="shared" si="167"/>
        <v>0</v>
      </c>
      <c r="T573" s="421">
        <f t="shared" si="167"/>
        <v>0</v>
      </c>
      <c r="U573" s="421">
        <f t="shared" si="167"/>
        <v>0</v>
      </c>
      <c r="V573" s="421">
        <f t="shared" si="167"/>
        <v>0</v>
      </c>
      <c r="W573" s="421">
        <f t="shared" si="167"/>
        <v>0</v>
      </c>
      <c r="X573" s="421">
        <f t="shared" si="167"/>
        <v>0</v>
      </c>
      <c r="Y573" s="421">
        <f t="shared" si="167"/>
        <v>0</v>
      </c>
      <c r="AQ573" s="19"/>
    </row>
    <row r="574" spans="4:43" x14ac:dyDescent="0.25">
      <c r="E574" s="37"/>
      <c r="F574" s="84" t="s">
        <v>1095</v>
      </c>
      <c r="G574" t="s">
        <v>120</v>
      </c>
      <c r="J574" s="213">
        <f>J132</f>
        <v>0</v>
      </c>
      <c r="K574" s="213">
        <f t="shared" ref="K574:Y574" si="168">K132</f>
        <v>0</v>
      </c>
      <c r="L574" s="213">
        <f t="shared" si="168"/>
        <v>163.62443809251536</v>
      </c>
      <c r="M574" s="213">
        <f t="shared" si="168"/>
        <v>0</v>
      </c>
      <c r="N574" s="213">
        <f t="shared" si="168"/>
        <v>842.48882400362993</v>
      </c>
      <c r="O574" s="213">
        <f t="shared" si="168"/>
        <v>0</v>
      </c>
      <c r="P574" s="213">
        <f t="shared" si="168"/>
        <v>0</v>
      </c>
      <c r="Q574" s="213">
        <f t="shared" si="168"/>
        <v>0</v>
      </c>
      <c r="R574" s="213">
        <f t="shared" si="168"/>
        <v>0</v>
      </c>
      <c r="S574" s="213">
        <f t="shared" si="168"/>
        <v>0</v>
      </c>
      <c r="T574" s="213">
        <f t="shared" si="168"/>
        <v>0</v>
      </c>
      <c r="U574" s="213">
        <f t="shared" si="168"/>
        <v>0</v>
      </c>
      <c r="V574" s="213">
        <f t="shared" si="168"/>
        <v>0</v>
      </c>
      <c r="W574" s="213">
        <f t="shared" si="168"/>
        <v>0</v>
      </c>
      <c r="X574" s="213">
        <f t="shared" si="168"/>
        <v>0</v>
      </c>
      <c r="Y574" s="213">
        <f t="shared" si="168"/>
        <v>0</v>
      </c>
      <c r="AQ574" s="19"/>
    </row>
    <row r="575" spans="4:43" x14ac:dyDescent="0.25">
      <c r="E575" s="37"/>
      <c r="F575" s="84" t="s">
        <v>1096</v>
      </c>
      <c r="G575" t="s">
        <v>120</v>
      </c>
      <c r="J575" s="213">
        <f>J141</f>
        <v>0</v>
      </c>
      <c r="K575" s="213">
        <f t="shared" ref="K575:Y575" si="169">K141</f>
        <v>0</v>
      </c>
      <c r="L575" s="213">
        <f t="shared" si="169"/>
        <v>274.2552933536906</v>
      </c>
      <c r="M575" s="213">
        <f t="shared" si="169"/>
        <v>0</v>
      </c>
      <c r="N575" s="213">
        <f t="shared" si="169"/>
        <v>610.7512178763875</v>
      </c>
      <c r="O575" s="213">
        <f t="shared" si="169"/>
        <v>0</v>
      </c>
      <c r="P575" s="213">
        <f t="shared" si="169"/>
        <v>0</v>
      </c>
      <c r="Q575" s="213">
        <f t="shared" si="169"/>
        <v>0</v>
      </c>
      <c r="R575" s="213">
        <f t="shared" si="169"/>
        <v>0</v>
      </c>
      <c r="S575" s="213">
        <f t="shared" si="169"/>
        <v>0</v>
      </c>
      <c r="T575" s="213">
        <f t="shared" si="169"/>
        <v>0</v>
      </c>
      <c r="U575" s="213">
        <f t="shared" si="169"/>
        <v>0</v>
      </c>
      <c r="V575" s="213">
        <f t="shared" si="169"/>
        <v>0</v>
      </c>
      <c r="W575" s="213">
        <f t="shared" si="169"/>
        <v>0</v>
      </c>
      <c r="X575" s="213">
        <f t="shared" si="169"/>
        <v>0</v>
      </c>
      <c r="Y575" s="213">
        <f t="shared" si="169"/>
        <v>0</v>
      </c>
      <c r="AQ575" s="19"/>
    </row>
    <row r="576" spans="4:43" x14ac:dyDescent="0.25">
      <c r="E576" s="92" t="s">
        <v>200</v>
      </c>
      <c r="F576" s="84"/>
      <c r="J576" s="128"/>
      <c r="K576" s="128"/>
      <c r="L576" s="128"/>
      <c r="M576" s="128"/>
      <c r="N576" s="128"/>
      <c r="O576" s="128"/>
      <c r="P576" s="128"/>
      <c r="Q576" s="128"/>
      <c r="R576" s="128"/>
      <c r="S576" s="128"/>
      <c r="T576" s="128"/>
      <c r="U576" s="128"/>
      <c r="V576" s="128"/>
      <c r="W576" s="128"/>
      <c r="X576" s="128"/>
      <c r="Y576" s="128"/>
      <c r="AQ576" s="19"/>
    </row>
    <row r="577" spans="5:43" x14ac:dyDescent="0.25">
      <c r="E577" s="37"/>
      <c r="F577" s="84" t="s">
        <v>1060</v>
      </c>
      <c r="G577" t="s">
        <v>120</v>
      </c>
      <c r="J577" s="217">
        <f>J106</f>
        <v>0</v>
      </c>
      <c r="K577" s="217">
        <f t="shared" ref="K577:Y577" si="170">K106</f>
        <v>29.321000000000005</v>
      </c>
      <c r="L577" s="217">
        <f t="shared" si="170"/>
        <v>0</v>
      </c>
      <c r="M577" s="217">
        <f t="shared" si="170"/>
        <v>0</v>
      </c>
      <c r="N577" s="217">
        <f t="shared" si="170"/>
        <v>0</v>
      </c>
      <c r="O577" s="217">
        <f t="shared" si="170"/>
        <v>0</v>
      </c>
      <c r="P577" s="217">
        <f t="shared" si="170"/>
        <v>0</v>
      </c>
      <c r="Q577" s="217">
        <f t="shared" si="170"/>
        <v>0</v>
      </c>
      <c r="R577" s="217">
        <f t="shared" si="170"/>
        <v>594.94400000000007</v>
      </c>
      <c r="S577" s="217">
        <f t="shared" si="170"/>
        <v>0</v>
      </c>
      <c r="T577" s="217">
        <f t="shared" si="170"/>
        <v>0</v>
      </c>
      <c r="U577" s="217">
        <f t="shared" si="170"/>
        <v>0</v>
      </c>
      <c r="V577" s="217">
        <f t="shared" si="170"/>
        <v>0</v>
      </c>
      <c r="W577" s="217">
        <f t="shared" si="170"/>
        <v>0</v>
      </c>
      <c r="X577" s="217">
        <f t="shared" si="170"/>
        <v>0</v>
      </c>
      <c r="Y577" s="217">
        <f t="shared" si="170"/>
        <v>0</v>
      </c>
      <c r="AQ577" s="19"/>
    </row>
    <row r="578" spans="5:43" x14ac:dyDescent="0.25">
      <c r="E578" s="37"/>
      <c r="F578" s="84" t="s">
        <v>1093</v>
      </c>
      <c r="G578" t="s">
        <v>120</v>
      </c>
      <c r="J578" s="421">
        <f>J115</f>
        <v>69532.309980270977</v>
      </c>
      <c r="K578" s="421">
        <f t="shared" ref="K578:Y578" si="171">K115</f>
        <v>0</v>
      </c>
      <c r="L578" s="421">
        <f t="shared" si="171"/>
        <v>915.56999609230968</v>
      </c>
      <c r="M578" s="421">
        <f t="shared" si="171"/>
        <v>0</v>
      </c>
      <c r="N578" s="421">
        <f t="shared" si="171"/>
        <v>839.82213731571881</v>
      </c>
      <c r="O578" s="421">
        <f t="shared" si="171"/>
        <v>0</v>
      </c>
      <c r="P578" s="421">
        <f t="shared" si="171"/>
        <v>0</v>
      </c>
      <c r="Q578" s="421">
        <f t="shared" si="171"/>
        <v>308.80785736453203</v>
      </c>
      <c r="R578" s="421">
        <f t="shared" si="171"/>
        <v>0</v>
      </c>
      <c r="S578" s="421">
        <f t="shared" si="171"/>
        <v>0</v>
      </c>
      <c r="T578" s="421">
        <f t="shared" si="171"/>
        <v>0</v>
      </c>
      <c r="U578" s="421">
        <f t="shared" si="171"/>
        <v>0</v>
      </c>
      <c r="V578" s="421">
        <f t="shared" si="171"/>
        <v>0</v>
      </c>
      <c r="W578" s="421">
        <f t="shared" si="171"/>
        <v>0</v>
      </c>
      <c r="X578" s="421">
        <f t="shared" si="171"/>
        <v>0</v>
      </c>
      <c r="Y578" s="421">
        <f t="shared" si="171"/>
        <v>0</v>
      </c>
      <c r="AQ578" s="19"/>
    </row>
    <row r="579" spans="5:43" x14ac:dyDescent="0.25">
      <c r="E579" s="37"/>
      <c r="F579" s="84" t="s">
        <v>1094</v>
      </c>
      <c r="G579" t="s">
        <v>120</v>
      </c>
      <c r="J579" s="421">
        <f>J124</f>
        <v>0</v>
      </c>
      <c r="K579" s="421">
        <f t="shared" ref="K579:Y579" si="172">K124</f>
        <v>0</v>
      </c>
      <c r="L579" s="421">
        <f t="shared" si="172"/>
        <v>1214.5765451627567</v>
      </c>
      <c r="M579" s="421">
        <f t="shared" si="172"/>
        <v>0</v>
      </c>
      <c r="N579" s="421">
        <f t="shared" si="172"/>
        <v>2049.3914706576866</v>
      </c>
      <c r="O579" s="421">
        <f t="shared" si="172"/>
        <v>0</v>
      </c>
      <c r="P579" s="421">
        <f t="shared" si="172"/>
        <v>0</v>
      </c>
      <c r="Q579" s="421">
        <f t="shared" si="172"/>
        <v>0</v>
      </c>
      <c r="R579" s="421">
        <f t="shared" si="172"/>
        <v>0</v>
      </c>
      <c r="S579" s="421">
        <f t="shared" si="172"/>
        <v>0</v>
      </c>
      <c r="T579" s="421">
        <f t="shared" si="172"/>
        <v>0</v>
      </c>
      <c r="U579" s="421">
        <f t="shared" si="172"/>
        <v>0</v>
      </c>
      <c r="V579" s="421">
        <f t="shared" si="172"/>
        <v>0</v>
      </c>
      <c r="W579" s="421">
        <f t="shared" si="172"/>
        <v>0</v>
      </c>
      <c r="X579" s="421">
        <f t="shared" si="172"/>
        <v>0</v>
      </c>
      <c r="Y579" s="421">
        <f t="shared" si="172"/>
        <v>0</v>
      </c>
      <c r="AQ579" s="19"/>
    </row>
    <row r="580" spans="5:43" x14ac:dyDescent="0.25">
      <c r="E580" s="37"/>
      <c r="F580" s="84" t="s">
        <v>1095</v>
      </c>
      <c r="G580" t="s">
        <v>120</v>
      </c>
      <c r="J580" s="213">
        <f>J133</f>
        <v>0</v>
      </c>
      <c r="K580" s="213">
        <f t="shared" ref="K580:Y580" si="173">K133</f>
        <v>0</v>
      </c>
      <c r="L580" s="213">
        <f t="shared" si="173"/>
        <v>847.64193261639002</v>
      </c>
      <c r="M580" s="213">
        <f t="shared" si="173"/>
        <v>0</v>
      </c>
      <c r="N580" s="213">
        <f t="shared" si="173"/>
        <v>3794.9815104340501</v>
      </c>
      <c r="O580" s="213">
        <f t="shared" si="173"/>
        <v>0</v>
      </c>
      <c r="P580" s="213">
        <f t="shared" si="173"/>
        <v>0</v>
      </c>
      <c r="Q580" s="213">
        <f t="shared" si="173"/>
        <v>0</v>
      </c>
      <c r="R580" s="213">
        <f t="shared" si="173"/>
        <v>0</v>
      </c>
      <c r="S580" s="213">
        <f t="shared" si="173"/>
        <v>0</v>
      </c>
      <c r="T580" s="213">
        <f t="shared" si="173"/>
        <v>0</v>
      </c>
      <c r="U580" s="213">
        <f t="shared" si="173"/>
        <v>0</v>
      </c>
      <c r="V580" s="213">
        <f t="shared" si="173"/>
        <v>0</v>
      </c>
      <c r="W580" s="213">
        <f t="shared" si="173"/>
        <v>0</v>
      </c>
      <c r="X580" s="213">
        <f t="shared" si="173"/>
        <v>0</v>
      </c>
      <c r="Y580" s="213">
        <f t="shared" si="173"/>
        <v>0</v>
      </c>
      <c r="AQ580" s="19"/>
    </row>
    <row r="581" spans="5:43" x14ac:dyDescent="0.25">
      <c r="E581" s="37"/>
      <c r="F581" s="84" t="s">
        <v>1096</v>
      </c>
      <c r="G581" t="s">
        <v>120</v>
      </c>
      <c r="J581" s="213">
        <f>J142</f>
        <v>0</v>
      </c>
      <c r="K581" s="213">
        <f t="shared" ref="K581:Y581" si="174">K142</f>
        <v>0</v>
      </c>
      <c r="L581" s="213">
        <f t="shared" si="174"/>
        <v>1420.7552954721566</v>
      </c>
      <c r="M581" s="213">
        <f t="shared" si="174"/>
        <v>0</v>
      </c>
      <c r="N581" s="213">
        <f t="shared" si="174"/>
        <v>2751.122048481895</v>
      </c>
      <c r="O581" s="213">
        <f t="shared" si="174"/>
        <v>0</v>
      </c>
      <c r="P581" s="213">
        <f t="shared" si="174"/>
        <v>0</v>
      </c>
      <c r="Q581" s="213">
        <f t="shared" si="174"/>
        <v>0</v>
      </c>
      <c r="R581" s="213">
        <f t="shared" si="174"/>
        <v>0</v>
      </c>
      <c r="S581" s="213">
        <f t="shared" si="174"/>
        <v>0</v>
      </c>
      <c r="T581" s="213">
        <f t="shared" si="174"/>
        <v>0</v>
      </c>
      <c r="U581" s="213">
        <f t="shared" si="174"/>
        <v>0</v>
      </c>
      <c r="V581" s="213">
        <f t="shared" si="174"/>
        <v>0</v>
      </c>
      <c r="W581" s="213">
        <f t="shared" si="174"/>
        <v>0</v>
      </c>
      <c r="X581" s="213">
        <f t="shared" si="174"/>
        <v>0</v>
      </c>
      <c r="Y581" s="213">
        <f t="shared" si="174"/>
        <v>0</v>
      </c>
      <c r="AQ581" s="19"/>
    </row>
    <row r="582" spans="5:43" x14ac:dyDescent="0.25">
      <c r="E582" s="92" t="s">
        <v>201</v>
      </c>
      <c r="F582" s="84"/>
      <c r="J582" s="128"/>
      <c r="K582" s="128"/>
      <c r="L582" s="128"/>
      <c r="M582" s="128"/>
      <c r="N582" s="128"/>
      <c r="O582" s="128"/>
      <c r="P582" s="128"/>
      <c r="Q582" s="128"/>
      <c r="R582" s="128"/>
      <c r="S582" s="128"/>
      <c r="T582" s="128"/>
      <c r="U582" s="128"/>
      <c r="V582" s="128"/>
      <c r="W582" s="128"/>
      <c r="X582" s="128"/>
      <c r="Y582" s="128"/>
      <c r="AQ582" s="19"/>
    </row>
    <row r="583" spans="5:43" x14ac:dyDescent="0.25">
      <c r="E583" s="37"/>
      <c r="F583" s="84" t="s">
        <v>1060</v>
      </c>
      <c r="G583" t="s">
        <v>120</v>
      </c>
      <c r="J583" s="217">
        <f>J107</f>
        <v>0</v>
      </c>
      <c r="K583" s="217">
        <f t="shared" ref="K583:Y583" si="175">K107</f>
        <v>158.858</v>
      </c>
      <c r="L583" s="217">
        <f t="shared" si="175"/>
        <v>0</v>
      </c>
      <c r="M583" s="217">
        <f t="shared" si="175"/>
        <v>0</v>
      </c>
      <c r="N583" s="217">
        <f t="shared" si="175"/>
        <v>0</v>
      </c>
      <c r="O583" s="217">
        <f t="shared" si="175"/>
        <v>0</v>
      </c>
      <c r="P583" s="217">
        <f t="shared" si="175"/>
        <v>0</v>
      </c>
      <c r="Q583" s="217">
        <f t="shared" si="175"/>
        <v>0</v>
      </c>
      <c r="R583" s="217">
        <f t="shared" si="175"/>
        <v>276.19200000000001</v>
      </c>
      <c r="S583" s="217">
        <f t="shared" si="175"/>
        <v>0</v>
      </c>
      <c r="T583" s="217">
        <f t="shared" si="175"/>
        <v>0</v>
      </c>
      <c r="U583" s="217">
        <f t="shared" si="175"/>
        <v>0</v>
      </c>
      <c r="V583" s="217">
        <f t="shared" si="175"/>
        <v>0</v>
      </c>
      <c r="W583" s="217">
        <f t="shared" si="175"/>
        <v>0</v>
      </c>
      <c r="X583" s="217">
        <f t="shared" si="175"/>
        <v>0</v>
      </c>
      <c r="Y583" s="217">
        <f t="shared" si="175"/>
        <v>0</v>
      </c>
      <c r="AQ583" s="19"/>
    </row>
    <row r="584" spans="5:43" x14ac:dyDescent="0.25">
      <c r="E584" s="37"/>
      <c r="F584" s="84" t="s">
        <v>1093</v>
      </c>
      <c r="G584" t="s">
        <v>120</v>
      </c>
      <c r="J584" s="421">
        <f>J116</f>
        <v>61812.930833280705</v>
      </c>
      <c r="K584" s="421">
        <f t="shared" ref="K584:Y584" si="176">K116</f>
        <v>0</v>
      </c>
      <c r="L584" s="421">
        <f t="shared" si="176"/>
        <v>695.14352925185995</v>
      </c>
      <c r="M584" s="421">
        <f t="shared" si="176"/>
        <v>0</v>
      </c>
      <c r="N584" s="421">
        <f t="shared" si="176"/>
        <v>749.20020265161486</v>
      </c>
      <c r="O584" s="421">
        <f t="shared" si="176"/>
        <v>0</v>
      </c>
      <c r="P584" s="421">
        <f t="shared" si="176"/>
        <v>0</v>
      </c>
      <c r="Q584" s="421">
        <f t="shared" si="176"/>
        <v>331.63771002463056</v>
      </c>
      <c r="R584" s="421">
        <f t="shared" si="176"/>
        <v>0</v>
      </c>
      <c r="S584" s="421">
        <f t="shared" si="176"/>
        <v>0</v>
      </c>
      <c r="T584" s="421">
        <f t="shared" si="176"/>
        <v>0</v>
      </c>
      <c r="U584" s="421">
        <f t="shared" si="176"/>
        <v>0</v>
      </c>
      <c r="V584" s="421">
        <f t="shared" si="176"/>
        <v>0</v>
      </c>
      <c r="W584" s="421">
        <f t="shared" si="176"/>
        <v>0</v>
      </c>
      <c r="X584" s="421">
        <f t="shared" si="176"/>
        <v>0</v>
      </c>
      <c r="Y584" s="421">
        <f t="shared" si="176"/>
        <v>0</v>
      </c>
      <c r="AQ584" s="19"/>
    </row>
    <row r="585" spans="5:43" x14ac:dyDescent="0.25">
      <c r="E585" s="37"/>
      <c r="F585" s="84" t="s">
        <v>1094</v>
      </c>
      <c r="G585" t="s">
        <v>120</v>
      </c>
      <c r="J585" s="421">
        <f>J125</f>
        <v>0</v>
      </c>
      <c r="K585" s="421">
        <f t="shared" ref="K585:Y585" si="177">K125</f>
        <v>0</v>
      </c>
      <c r="L585" s="421">
        <f t="shared" si="177"/>
        <v>922.1632750685344</v>
      </c>
      <c r="M585" s="421">
        <f t="shared" si="177"/>
        <v>0</v>
      </c>
      <c r="N585" s="421">
        <f t="shared" si="177"/>
        <v>1828.2496220411217</v>
      </c>
      <c r="O585" s="421">
        <f t="shared" si="177"/>
        <v>0</v>
      </c>
      <c r="P585" s="421">
        <f t="shared" si="177"/>
        <v>0</v>
      </c>
      <c r="Q585" s="421">
        <f t="shared" si="177"/>
        <v>0</v>
      </c>
      <c r="R585" s="421">
        <f t="shared" si="177"/>
        <v>0</v>
      </c>
      <c r="S585" s="421">
        <f t="shared" si="177"/>
        <v>0</v>
      </c>
      <c r="T585" s="421">
        <f t="shared" si="177"/>
        <v>0</v>
      </c>
      <c r="U585" s="421">
        <f t="shared" si="177"/>
        <v>0</v>
      </c>
      <c r="V585" s="421">
        <f t="shared" si="177"/>
        <v>0</v>
      </c>
      <c r="W585" s="421">
        <f t="shared" si="177"/>
        <v>0</v>
      </c>
      <c r="X585" s="421">
        <f t="shared" si="177"/>
        <v>0</v>
      </c>
      <c r="Y585" s="421">
        <f t="shared" si="177"/>
        <v>0</v>
      </c>
      <c r="AQ585" s="19"/>
    </row>
    <row r="586" spans="5:43" x14ac:dyDescent="0.25">
      <c r="E586" s="37"/>
      <c r="F586" s="84" t="s">
        <v>1095</v>
      </c>
      <c r="G586" t="s">
        <v>120</v>
      </c>
      <c r="J586" s="213">
        <f>J134</f>
        <v>0</v>
      </c>
      <c r="K586" s="213">
        <f t="shared" ref="K586:Y586" si="178">K134</f>
        <v>0</v>
      </c>
      <c r="L586" s="213">
        <f t="shared" si="178"/>
        <v>643.56936891302064</v>
      </c>
      <c r="M586" s="213">
        <f t="shared" si="178"/>
        <v>0</v>
      </c>
      <c r="N586" s="213">
        <f t="shared" si="178"/>
        <v>3385.479841914982</v>
      </c>
      <c r="O586" s="213">
        <f t="shared" si="178"/>
        <v>0</v>
      </c>
      <c r="P586" s="213">
        <f t="shared" si="178"/>
        <v>0</v>
      </c>
      <c r="Q586" s="213">
        <f t="shared" si="178"/>
        <v>0</v>
      </c>
      <c r="R586" s="213">
        <f t="shared" si="178"/>
        <v>0</v>
      </c>
      <c r="S586" s="213">
        <f t="shared" si="178"/>
        <v>0</v>
      </c>
      <c r="T586" s="213">
        <f t="shared" si="178"/>
        <v>0</v>
      </c>
      <c r="U586" s="213">
        <f t="shared" si="178"/>
        <v>0</v>
      </c>
      <c r="V586" s="213">
        <f t="shared" si="178"/>
        <v>0</v>
      </c>
      <c r="W586" s="213">
        <f t="shared" si="178"/>
        <v>0</v>
      </c>
      <c r="X586" s="213">
        <f t="shared" si="178"/>
        <v>0</v>
      </c>
      <c r="Y586" s="213">
        <f t="shared" si="178"/>
        <v>0</v>
      </c>
      <c r="AQ586" s="19"/>
    </row>
    <row r="587" spans="5:43" x14ac:dyDescent="0.25">
      <c r="E587" s="37"/>
      <c r="F587" s="84" t="s">
        <v>1096</v>
      </c>
      <c r="G587" t="s">
        <v>120</v>
      </c>
      <c r="J587" s="213">
        <f>J143</f>
        <v>0</v>
      </c>
      <c r="K587" s="213">
        <f t="shared" ref="K587:Y587" si="179">K143</f>
        <v>0</v>
      </c>
      <c r="L587" s="213">
        <f t="shared" si="179"/>
        <v>1078.7038178544778</v>
      </c>
      <c r="M587" s="213">
        <f t="shared" si="179"/>
        <v>0</v>
      </c>
      <c r="N587" s="213">
        <f t="shared" si="179"/>
        <v>2454.2591873439815</v>
      </c>
      <c r="O587" s="213">
        <f t="shared" si="179"/>
        <v>0</v>
      </c>
      <c r="P587" s="213">
        <f t="shared" si="179"/>
        <v>0</v>
      </c>
      <c r="Q587" s="213">
        <f t="shared" si="179"/>
        <v>0</v>
      </c>
      <c r="R587" s="213">
        <f t="shared" si="179"/>
        <v>0</v>
      </c>
      <c r="S587" s="213">
        <f t="shared" si="179"/>
        <v>0</v>
      </c>
      <c r="T587" s="213">
        <f t="shared" si="179"/>
        <v>0</v>
      </c>
      <c r="U587" s="213">
        <f t="shared" si="179"/>
        <v>0</v>
      </c>
      <c r="V587" s="213">
        <f t="shared" si="179"/>
        <v>0</v>
      </c>
      <c r="W587" s="213">
        <f t="shared" si="179"/>
        <v>0</v>
      </c>
      <c r="X587" s="213">
        <f t="shared" si="179"/>
        <v>0</v>
      </c>
      <c r="Y587" s="213">
        <f t="shared" si="179"/>
        <v>0</v>
      </c>
      <c r="AQ587" s="19"/>
    </row>
    <row r="588" spans="5:43" x14ac:dyDescent="0.25">
      <c r="E588" s="92" t="s">
        <v>74</v>
      </c>
      <c r="F588" s="84"/>
      <c r="J588" s="128"/>
      <c r="K588" s="128"/>
      <c r="L588" s="128"/>
      <c r="M588" s="128"/>
      <c r="N588" s="128"/>
      <c r="O588" s="128"/>
      <c r="P588" s="128"/>
      <c r="Q588" s="128"/>
      <c r="R588" s="128"/>
      <c r="S588" s="128"/>
      <c r="T588" s="128"/>
      <c r="U588" s="128"/>
      <c r="V588" s="128"/>
      <c r="W588" s="128"/>
      <c r="X588" s="128"/>
      <c r="Y588" s="128"/>
      <c r="AQ588" s="19"/>
    </row>
    <row r="589" spans="5:43" x14ac:dyDescent="0.25">
      <c r="E589" s="37"/>
      <c r="F589" s="84" t="s">
        <v>1060</v>
      </c>
      <c r="G589" t="s">
        <v>74</v>
      </c>
      <c r="J589" s="217">
        <f>J108</f>
        <v>0</v>
      </c>
      <c r="K589" s="217">
        <f t="shared" ref="K589:Y589" si="180">K108</f>
        <v>61</v>
      </c>
      <c r="L589" s="217">
        <f t="shared" si="180"/>
        <v>0</v>
      </c>
      <c r="M589" s="217">
        <f t="shared" si="180"/>
        <v>0</v>
      </c>
      <c r="N589" s="217">
        <f t="shared" si="180"/>
        <v>0</v>
      </c>
      <c r="O589" s="217">
        <f t="shared" si="180"/>
        <v>0</v>
      </c>
      <c r="P589" s="217">
        <f t="shared" si="180"/>
        <v>0</v>
      </c>
      <c r="Q589" s="217">
        <f t="shared" si="180"/>
        <v>0</v>
      </c>
      <c r="R589" s="217">
        <f t="shared" si="180"/>
        <v>62</v>
      </c>
      <c r="S589" s="217">
        <f t="shared" si="180"/>
        <v>0</v>
      </c>
      <c r="T589" s="217">
        <f t="shared" si="180"/>
        <v>0</v>
      </c>
      <c r="U589" s="217">
        <f t="shared" si="180"/>
        <v>0</v>
      </c>
      <c r="V589" s="217">
        <f t="shared" si="180"/>
        <v>0</v>
      </c>
      <c r="W589" s="217">
        <f t="shared" si="180"/>
        <v>0</v>
      </c>
      <c r="X589" s="217">
        <f t="shared" si="180"/>
        <v>0</v>
      </c>
      <c r="Y589" s="217">
        <f t="shared" si="180"/>
        <v>0</v>
      </c>
      <c r="AQ589" s="19"/>
    </row>
    <row r="590" spans="5:43" x14ac:dyDescent="0.25">
      <c r="E590" s="37"/>
      <c r="F590" s="84" t="s">
        <v>1093</v>
      </c>
      <c r="G590" t="s">
        <v>74</v>
      </c>
      <c r="J590" s="421">
        <f>J117</f>
        <v>55364.654773703347</v>
      </c>
      <c r="K590" s="421">
        <f t="shared" ref="K590:Y590" si="181">K117</f>
        <v>0</v>
      </c>
      <c r="L590" s="421">
        <f t="shared" si="181"/>
        <v>639</v>
      </c>
      <c r="M590" s="421">
        <f t="shared" si="181"/>
        <v>0</v>
      </c>
      <c r="N590" s="421">
        <f t="shared" si="181"/>
        <v>30</v>
      </c>
      <c r="O590" s="421">
        <f t="shared" si="181"/>
        <v>0</v>
      </c>
      <c r="P590" s="421">
        <f t="shared" si="181"/>
        <v>0</v>
      </c>
      <c r="Q590" s="421">
        <f t="shared" si="181"/>
        <v>71</v>
      </c>
      <c r="R590" s="421">
        <f t="shared" si="181"/>
        <v>0</v>
      </c>
      <c r="S590" s="421">
        <f t="shared" si="181"/>
        <v>0</v>
      </c>
      <c r="T590" s="421">
        <f t="shared" si="181"/>
        <v>0</v>
      </c>
      <c r="U590" s="421">
        <f t="shared" si="181"/>
        <v>0</v>
      </c>
      <c r="V590" s="421">
        <f t="shared" si="181"/>
        <v>0</v>
      </c>
      <c r="W590" s="421">
        <f t="shared" si="181"/>
        <v>0</v>
      </c>
      <c r="X590" s="421">
        <f t="shared" si="181"/>
        <v>0</v>
      </c>
      <c r="Y590" s="421">
        <f t="shared" si="181"/>
        <v>0</v>
      </c>
      <c r="AQ590" s="19"/>
    </row>
    <row r="591" spans="5:43" x14ac:dyDescent="0.25">
      <c r="E591" s="37"/>
      <c r="F591" s="84" t="s">
        <v>1094</v>
      </c>
      <c r="G591" t="s">
        <v>74</v>
      </c>
      <c r="J591" s="421">
        <f>J126</f>
        <v>0</v>
      </c>
      <c r="K591" s="421">
        <f t="shared" ref="K591:Y591" si="182">K126</f>
        <v>0</v>
      </c>
      <c r="L591" s="421">
        <f t="shared" si="182"/>
        <v>307</v>
      </c>
      <c r="M591" s="421">
        <f t="shared" si="182"/>
        <v>0</v>
      </c>
      <c r="N591" s="421">
        <f t="shared" si="182"/>
        <v>34</v>
      </c>
      <c r="O591" s="421">
        <f t="shared" si="182"/>
        <v>0</v>
      </c>
      <c r="P591" s="421">
        <f t="shared" si="182"/>
        <v>0</v>
      </c>
      <c r="Q591" s="421">
        <f t="shared" si="182"/>
        <v>0</v>
      </c>
      <c r="R591" s="421">
        <f t="shared" si="182"/>
        <v>0</v>
      </c>
      <c r="S591" s="421">
        <f t="shared" si="182"/>
        <v>0</v>
      </c>
      <c r="T591" s="421">
        <f t="shared" si="182"/>
        <v>0</v>
      </c>
      <c r="U591" s="421">
        <f t="shared" si="182"/>
        <v>0</v>
      </c>
      <c r="V591" s="421">
        <f t="shared" si="182"/>
        <v>0</v>
      </c>
      <c r="W591" s="421">
        <f t="shared" si="182"/>
        <v>0</v>
      </c>
      <c r="X591" s="421">
        <f t="shared" si="182"/>
        <v>0</v>
      </c>
      <c r="Y591" s="421">
        <f t="shared" si="182"/>
        <v>0</v>
      </c>
      <c r="AQ591" s="19"/>
    </row>
    <row r="592" spans="5:43" x14ac:dyDescent="0.25">
      <c r="E592" s="37"/>
      <c r="F592" s="84" t="s">
        <v>1095</v>
      </c>
      <c r="G592" t="s">
        <v>74</v>
      </c>
      <c r="J592" s="213">
        <f>J135</f>
        <v>0</v>
      </c>
      <c r="K592" s="213">
        <f t="shared" ref="K592:Y592" si="183">K135</f>
        <v>0</v>
      </c>
      <c r="L592" s="213">
        <f t="shared" si="183"/>
        <v>160</v>
      </c>
      <c r="M592" s="213">
        <f t="shared" si="183"/>
        <v>0</v>
      </c>
      <c r="N592" s="213">
        <f t="shared" si="183"/>
        <v>36</v>
      </c>
      <c r="O592" s="213">
        <f t="shared" si="183"/>
        <v>0</v>
      </c>
      <c r="P592" s="213">
        <f t="shared" si="183"/>
        <v>0</v>
      </c>
      <c r="Q592" s="213">
        <f t="shared" si="183"/>
        <v>0</v>
      </c>
      <c r="R592" s="213">
        <f t="shared" si="183"/>
        <v>0</v>
      </c>
      <c r="S592" s="213">
        <f t="shared" si="183"/>
        <v>0</v>
      </c>
      <c r="T592" s="213">
        <f t="shared" si="183"/>
        <v>0</v>
      </c>
      <c r="U592" s="213">
        <f t="shared" si="183"/>
        <v>0</v>
      </c>
      <c r="V592" s="213">
        <f t="shared" si="183"/>
        <v>0</v>
      </c>
      <c r="W592" s="213">
        <f t="shared" si="183"/>
        <v>0</v>
      </c>
      <c r="X592" s="213">
        <f t="shared" si="183"/>
        <v>0</v>
      </c>
      <c r="Y592" s="213">
        <f t="shared" si="183"/>
        <v>0</v>
      </c>
      <c r="AQ592" s="19"/>
    </row>
    <row r="593" spans="5:43" x14ac:dyDescent="0.25">
      <c r="E593" s="37"/>
      <c r="F593" s="84" t="s">
        <v>1096</v>
      </c>
      <c r="G593" t="s">
        <v>74</v>
      </c>
      <c r="J593" s="213">
        <f>J144</f>
        <v>0</v>
      </c>
      <c r="K593" s="213">
        <f t="shared" ref="K593:Y593" si="184">K144</f>
        <v>0</v>
      </c>
      <c r="L593" s="213">
        <f t="shared" si="184"/>
        <v>87</v>
      </c>
      <c r="M593" s="213">
        <f t="shared" si="184"/>
        <v>0</v>
      </c>
      <c r="N593" s="213">
        <f t="shared" si="184"/>
        <v>9</v>
      </c>
      <c r="O593" s="213">
        <f t="shared" si="184"/>
        <v>0</v>
      </c>
      <c r="P593" s="213">
        <f t="shared" si="184"/>
        <v>0</v>
      </c>
      <c r="Q593" s="213">
        <f t="shared" si="184"/>
        <v>0</v>
      </c>
      <c r="R593" s="213">
        <f t="shared" si="184"/>
        <v>0</v>
      </c>
      <c r="S593" s="213">
        <f t="shared" si="184"/>
        <v>0</v>
      </c>
      <c r="T593" s="213">
        <f t="shared" si="184"/>
        <v>0</v>
      </c>
      <c r="U593" s="213">
        <f t="shared" si="184"/>
        <v>0</v>
      </c>
      <c r="V593" s="213">
        <f t="shared" si="184"/>
        <v>0</v>
      </c>
      <c r="W593" s="213">
        <f t="shared" si="184"/>
        <v>0</v>
      </c>
      <c r="X593" s="213">
        <f t="shared" si="184"/>
        <v>0</v>
      </c>
      <c r="Y593" s="213">
        <f t="shared" si="184"/>
        <v>0</v>
      </c>
      <c r="AQ593" s="19"/>
    </row>
    <row r="594" spans="5:43" x14ac:dyDescent="0.25">
      <c r="E594" s="92" t="s">
        <v>202</v>
      </c>
      <c r="F594" s="84"/>
      <c r="J594" s="128"/>
      <c r="K594" s="128"/>
      <c r="L594" s="128"/>
      <c r="M594" s="128"/>
      <c r="N594" s="128"/>
      <c r="O594" s="128"/>
      <c r="P594" s="128"/>
      <c r="Q594" s="128"/>
      <c r="R594" s="128"/>
      <c r="S594" s="128"/>
      <c r="T594" s="128"/>
      <c r="U594" s="128"/>
      <c r="V594" s="128"/>
      <c r="W594" s="128"/>
      <c r="X594" s="128"/>
      <c r="Y594" s="128"/>
      <c r="AQ594" s="19"/>
    </row>
    <row r="595" spans="5:43" x14ac:dyDescent="0.25">
      <c r="E595" s="37"/>
      <c r="F595" s="84" t="s">
        <v>1060</v>
      </c>
      <c r="G595" t="s">
        <v>169</v>
      </c>
      <c r="J595" s="217">
        <f>J109</f>
        <v>0</v>
      </c>
      <c r="K595" s="217">
        <f t="shared" ref="K595:Y595" si="185">K109</f>
        <v>0</v>
      </c>
      <c r="L595" s="217">
        <f t="shared" si="185"/>
        <v>0</v>
      </c>
      <c r="M595" s="217">
        <f t="shared" si="185"/>
        <v>0</v>
      </c>
      <c r="N595" s="217">
        <f t="shared" si="185"/>
        <v>0</v>
      </c>
      <c r="O595" s="217">
        <f t="shared" si="185"/>
        <v>0</v>
      </c>
      <c r="P595" s="217">
        <f t="shared" si="185"/>
        <v>0</v>
      </c>
      <c r="Q595" s="217">
        <f t="shared" si="185"/>
        <v>0</v>
      </c>
      <c r="R595" s="217">
        <f t="shared" si="185"/>
        <v>0</v>
      </c>
      <c r="S595" s="217">
        <f t="shared" si="185"/>
        <v>0</v>
      </c>
      <c r="T595" s="217">
        <f t="shared" si="185"/>
        <v>0</v>
      </c>
      <c r="U595" s="217">
        <f t="shared" si="185"/>
        <v>0</v>
      </c>
      <c r="V595" s="217">
        <f t="shared" si="185"/>
        <v>0</v>
      </c>
      <c r="W595" s="217">
        <f t="shared" si="185"/>
        <v>0</v>
      </c>
      <c r="X595" s="217">
        <f t="shared" si="185"/>
        <v>0</v>
      </c>
      <c r="Y595" s="217">
        <f t="shared" si="185"/>
        <v>0</v>
      </c>
      <c r="AQ595" s="19"/>
    </row>
    <row r="596" spans="5:43" x14ac:dyDescent="0.25">
      <c r="E596" s="37"/>
      <c r="F596" s="84" t="s">
        <v>1093</v>
      </c>
      <c r="G596" t="s">
        <v>169</v>
      </c>
      <c r="J596" s="421">
        <f>J118</f>
        <v>0</v>
      </c>
      <c r="K596" s="421">
        <f t="shared" ref="K596:Y596" si="186">K118</f>
        <v>0</v>
      </c>
      <c r="L596" s="421">
        <f t="shared" si="186"/>
        <v>0</v>
      </c>
      <c r="M596" s="421">
        <f t="shared" si="186"/>
        <v>0</v>
      </c>
      <c r="N596" s="421">
        <f t="shared" si="186"/>
        <v>1490</v>
      </c>
      <c r="O596" s="421">
        <f t="shared" si="186"/>
        <v>0</v>
      </c>
      <c r="P596" s="421">
        <f t="shared" si="186"/>
        <v>0</v>
      </c>
      <c r="Q596" s="421">
        <f t="shared" si="186"/>
        <v>0</v>
      </c>
      <c r="R596" s="421">
        <f t="shared" si="186"/>
        <v>0</v>
      </c>
      <c r="S596" s="421">
        <f t="shared" si="186"/>
        <v>0</v>
      </c>
      <c r="T596" s="421">
        <f t="shared" si="186"/>
        <v>0</v>
      </c>
      <c r="U596" s="421">
        <f t="shared" si="186"/>
        <v>0</v>
      </c>
      <c r="V596" s="421">
        <f t="shared" si="186"/>
        <v>0</v>
      </c>
      <c r="W596" s="421">
        <f t="shared" si="186"/>
        <v>0</v>
      </c>
      <c r="X596" s="421">
        <f t="shared" si="186"/>
        <v>0</v>
      </c>
      <c r="Y596" s="421">
        <f t="shared" si="186"/>
        <v>0</v>
      </c>
      <c r="AQ596" s="19"/>
    </row>
    <row r="597" spans="5:43" x14ac:dyDescent="0.25">
      <c r="E597" s="37"/>
      <c r="F597" s="84" t="s">
        <v>1094</v>
      </c>
      <c r="G597" t="s">
        <v>169</v>
      </c>
      <c r="J597" s="421">
        <f>J127</f>
        <v>0</v>
      </c>
      <c r="K597" s="421">
        <f t="shared" ref="K597:Y597" si="187">K127</f>
        <v>0</v>
      </c>
      <c r="L597" s="421">
        <f t="shared" si="187"/>
        <v>0</v>
      </c>
      <c r="M597" s="421">
        <f t="shared" si="187"/>
        <v>0</v>
      </c>
      <c r="N597" s="421">
        <f t="shared" si="187"/>
        <v>3636</v>
      </c>
      <c r="O597" s="421">
        <f t="shared" si="187"/>
        <v>0</v>
      </c>
      <c r="P597" s="421">
        <f t="shared" si="187"/>
        <v>0</v>
      </c>
      <c r="Q597" s="421">
        <f t="shared" si="187"/>
        <v>0</v>
      </c>
      <c r="R597" s="421">
        <f t="shared" si="187"/>
        <v>0</v>
      </c>
      <c r="S597" s="421">
        <f t="shared" si="187"/>
        <v>0</v>
      </c>
      <c r="T597" s="421">
        <f t="shared" si="187"/>
        <v>0</v>
      </c>
      <c r="U597" s="421">
        <f t="shared" si="187"/>
        <v>0</v>
      </c>
      <c r="V597" s="421">
        <f t="shared" si="187"/>
        <v>0</v>
      </c>
      <c r="W597" s="421">
        <f t="shared" si="187"/>
        <v>0</v>
      </c>
      <c r="X597" s="421">
        <f t="shared" si="187"/>
        <v>0</v>
      </c>
      <c r="Y597" s="421">
        <f t="shared" si="187"/>
        <v>0</v>
      </c>
      <c r="AQ597" s="19"/>
    </row>
    <row r="598" spans="5:43" x14ac:dyDescent="0.25">
      <c r="E598" s="37"/>
      <c r="F598" s="84" t="s">
        <v>1095</v>
      </c>
      <c r="G598" t="s">
        <v>169</v>
      </c>
      <c r="J598" s="213">
        <f>J136</f>
        <v>0</v>
      </c>
      <c r="K598" s="213">
        <f t="shared" ref="K598:Y598" si="188">K136</f>
        <v>0</v>
      </c>
      <c r="L598" s="213">
        <f t="shared" si="188"/>
        <v>0</v>
      </c>
      <c r="M598" s="213">
        <f t="shared" si="188"/>
        <v>0</v>
      </c>
      <c r="N598" s="213">
        <f t="shared" si="188"/>
        <v>6733</v>
      </c>
      <c r="O598" s="213">
        <f t="shared" si="188"/>
        <v>0</v>
      </c>
      <c r="P598" s="213">
        <f t="shared" si="188"/>
        <v>0</v>
      </c>
      <c r="Q598" s="213">
        <f t="shared" si="188"/>
        <v>0</v>
      </c>
      <c r="R598" s="213">
        <f t="shared" si="188"/>
        <v>0</v>
      </c>
      <c r="S598" s="213">
        <f t="shared" si="188"/>
        <v>0</v>
      </c>
      <c r="T598" s="213">
        <f t="shared" si="188"/>
        <v>0</v>
      </c>
      <c r="U598" s="213">
        <f t="shared" si="188"/>
        <v>0</v>
      </c>
      <c r="V598" s="213">
        <f t="shared" si="188"/>
        <v>0</v>
      </c>
      <c r="W598" s="213">
        <f t="shared" si="188"/>
        <v>0</v>
      </c>
      <c r="X598" s="213">
        <f t="shared" si="188"/>
        <v>0</v>
      </c>
      <c r="Y598" s="213">
        <f t="shared" si="188"/>
        <v>0</v>
      </c>
      <c r="AQ598" s="19"/>
    </row>
    <row r="599" spans="5:43" x14ac:dyDescent="0.25">
      <c r="E599" s="37"/>
      <c r="F599" s="84" t="s">
        <v>1096</v>
      </c>
      <c r="G599" t="s">
        <v>169</v>
      </c>
      <c r="J599" s="213">
        <f>J145</f>
        <v>0</v>
      </c>
      <c r="K599" s="213">
        <f t="shared" ref="K599:Y599" si="189">K145</f>
        <v>0</v>
      </c>
      <c r="L599" s="213">
        <f t="shared" si="189"/>
        <v>0</v>
      </c>
      <c r="M599" s="213">
        <f t="shared" si="189"/>
        <v>0</v>
      </c>
      <c r="N599" s="213">
        <f t="shared" si="189"/>
        <v>4881</v>
      </c>
      <c r="O599" s="213">
        <f t="shared" si="189"/>
        <v>0</v>
      </c>
      <c r="P599" s="213">
        <f t="shared" si="189"/>
        <v>0</v>
      </c>
      <c r="Q599" s="213">
        <f t="shared" si="189"/>
        <v>0</v>
      </c>
      <c r="R599" s="213">
        <f t="shared" si="189"/>
        <v>0</v>
      </c>
      <c r="S599" s="213">
        <f t="shared" si="189"/>
        <v>0</v>
      </c>
      <c r="T599" s="213">
        <f t="shared" si="189"/>
        <v>0</v>
      </c>
      <c r="U599" s="213">
        <f t="shared" si="189"/>
        <v>0</v>
      </c>
      <c r="V599" s="213">
        <f t="shared" si="189"/>
        <v>0</v>
      </c>
      <c r="W599" s="213">
        <f t="shared" si="189"/>
        <v>0</v>
      </c>
      <c r="X599" s="213">
        <f t="shared" si="189"/>
        <v>0</v>
      </c>
      <c r="Y599" s="213">
        <f t="shared" si="189"/>
        <v>0</v>
      </c>
      <c r="AQ599" s="19"/>
    </row>
    <row r="600" spans="5:43" x14ac:dyDescent="0.25">
      <c r="E600" s="92" t="s">
        <v>203</v>
      </c>
      <c r="F600" s="84"/>
      <c r="J600" s="128"/>
      <c r="K600" s="128"/>
      <c r="L600" s="128"/>
      <c r="M600" s="128"/>
      <c r="N600" s="128"/>
      <c r="O600" s="128"/>
      <c r="P600" s="128"/>
      <c r="Q600" s="128"/>
      <c r="R600" s="128"/>
      <c r="S600" s="128"/>
      <c r="T600" s="128"/>
      <c r="U600" s="128"/>
      <c r="V600" s="128"/>
      <c r="W600" s="128"/>
      <c r="X600" s="128"/>
      <c r="Y600" s="128"/>
      <c r="AQ600" s="19"/>
    </row>
    <row r="601" spans="5:43" x14ac:dyDescent="0.25">
      <c r="E601" s="37"/>
      <c r="F601" s="84" t="s">
        <v>1060</v>
      </c>
      <c r="G601" t="s">
        <v>169</v>
      </c>
      <c r="J601" s="217">
        <f>J110</f>
        <v>0</v>
      </c>
      <c r="K601" s="217">
        <f t="shared" ref="K601:Y601" si="190">K110</f>
        <v>0</v>
      </c>
      <c r="L601" s="217">
        <f t="shared" si="190"/>
        <v>0</v>
      </c>
      <c r="M601" s="217">
        <f t="shared" si="190"/>
        <v>0</v>
      </c>
      <c r="N601" s="217">
        <f t="shared" si="190"/>
        <v>0</v>
      </c>
      <c r="O601" s="217">
        <f t="shared" si="190"/>
        <v>0</v>
      </c>
      <c r="P601" s="217">
        <f t="shared" si="190"/>
        <v>0</v>
      </c>
      <c r="Q601" s="217">
        <f t="shared" si="190"/>
        <v>0</v>
      </c>
      <c r="R601" s="217">
        <f t="shared" si="190"/>
        <v>0</v>
      </c>
      <c r="S601" s="217">
        <f t="shared" si="190"/>
        <v>0</v>
      </c>
      <c r="T601" s="217">
        <f t="shared" si="190"/>
        <v>0</v>
      </c>
      <c r="U601" s="217">
        <f t="shared" si="190"/>
        <v>0</v>
      </c>
      <c r="V601" s="217">
        <f t="shared" si="190"/>
        <v>0</v>
      </c>
      <c r="W601" s="217">
        <f t="shared" si="190"/>
        <v>0</v>
      </c>
      <c r="X601" s="217">
        <f t="shared" si="190"/>
        <v>0</v>
      </c>
      <c r="Y601" s="217">
        <f t="shared" si="190"/>
        <v>0</v>
      </c>
      <c r="AQ601" s="19"/>
    </row>
    <row r="602" spans="5:43" x14ac:dyDescent="0.25">
      <c r="E602" s="37"/>
      <c r="F602" s="84" t="s">
        <v>1093</v>
      </c>
      <c r="G602" t="s">
        <v>169</v>
      </c>
      <c r="J602" s="421">
        <f>J119</f>
        <v>0</v>
      </c>
      <c r="K602" s="421">
        <f t="shared" ref="K602:Y602" si="191">K119</f>
        <v>0</v>
      </c>
      <c r="L602" s="421">
        <f t="shared" si="191"/>
        <v>0</v>
      </c>
      <c r="M602" s="421">
        <f t="shared" si="191"/>
        <v>0</v>
      </c>
      <c r="N602" s="421">
        <f t="shared" si="191"/>
        <v>5</v>
      </c>
      <c r="O602" s="421">
        <f t="shared" si="191"/>
        <v>0</v>
      </c>
      <c r="P602" s="421">
        <f t="shared" si="191"/>
        <v>0</v>
      </c>
      <c r="Q602" s="421">
        <f t="shared" si="191"/>
        <v>0</v>
      </c>
      <c r="R602" s="421">
        <f t="shared" si="191"/>
        <v>0</v>
      </c>
      <c r="S602" s="421">
        <f t="shared" si="191"/>
        <v>0</v>
      </c>
      <c r="T602" s="421">
        <f t="shared" si="191"/>
        <v>0</v>
      </c>
      <c r="U602" s="421">
        <f t="shared" si="191"/>
        <v>0</v>
      </c>
      <c r="V602" s="421">
        <f t="shared" si="191"/>
        <v>0</v>
      </c>
      <c r="W602" s="421">
        <f t="shared" si="191"/>
        <v>0</v>
      </c>
      <c r="X602" s="421">
        <f t="shared" si="191"/>
        <v>0</v>
      </c>
      <c r="Y602" s="421">
        <f t="shared" si="191"/>
        <v>0</v>
      </c>
      <c r="AQ602" s="19"/>
    </row>
    <row r="603" spans="5:43" x14ac:dyDescent="0.25">
      <c r="E603" s="37"/>
      <c r="F603" s="84" t="s">
        <v>1094</v>
      </c>
      <c r="G603" t="s">
        <v>169</v>
      </c>
      <c r="J603" s="421">
        <f>J128</f>
        <v>0</v>
      </c>
      <c r="K603" s="421">
        <f t="shared" ref="K603:Y603" si="192">K128</f>
        <v>0</v>
      </c>
      <c r="L603" s="421">
        <f t="shared" si="192"/>
        <v>0</v>
      </c>
      <c r="M603" s="421">
        <f t="shared" si="192"/>
        <v>0</v>
      </c>
      <c r="N603" s="421">
        <f t="shared" si="192"/>
        <v>12</v>
      </c>
      <c r="O603" s="421">
        <f t="shared" si="192"/>
        <v>0</v>
      </c>
      <c r="P603" s="421">
        <f t="shared" si="192"/>
        <v>0</v>
      </c>
      <c r="Q603" s="421">
        <f t="shared" si="192"/>
        <v>0</v>
      </c>
      <c r="R603" s="421">
        <f t="shared" si="192"/>
        <v>0</v>
      </c>
      <c r="S603" s="421">
        <f t="shared" si="192"/>
        <v>0</v>
      </c>
      <c r="T603" s="421">
        <f t="shared" si="192"/>
        <v>0</v>
      </c>
      <c r="U603" s="421">
        <f t="shared" si="192"/>
        <v>0</v>
      </c>
      <c r="V603" s="421">
        <f t="shared" si="192"/>
        <v>0</v>
      </c>
      <c r="W603" s="421">
        <f t="shared" si="192"/>
        <v>0</v>
      </c>
      <c r="X603" s="421">
        <f t="shared" si="192"/>
        <v>0</v>
      </c>
      <c r="Y603" s="421">
        <f t="shared" si="192"/>
        <v>0</v>
      </c>
      <c r="AQ603" s="19"/>
    </row>
    <row r="604" spans="5:43" x14ac:dyDescent="0.25">
      <c r="E604" s="37"/>
      <c r="F604" s="84" t="s">
        <v>1095</v>
      </c>
      <c r="G604" t="s">
        <v>169</v>
      </c>
      <c r="J604" s="213">
        <f>J137</f>
        <v>0</v>
      </c>
      <c r="K604" s="213">
        <f t="shared" ref="K604:Y604" si="193">K137</f>
        <v>0</v>
      </c>
      <c r="L604" s="213">
        <f t="shared" si="193"/>
        <v>0</v>
      </c>
      <c r="M604" s="213">
        <f t="shared" si="193"/>
        <v>0</v>
      </c>
      <c r="N604" s="213">
        <f t="shared" si="193"/>
        <v>22</v>
      </c>
      <c r="O604" s="213">
        <f t="shared" si="193"/>
        <v>0</v>
      </c>
      <c r="P604" s="213">
        <f t="shared" si="193"/>
        <v>0</v>
      </c>
      <c r="Q604" s="213">
        <f t="shared" si="193"/>
        <v>0</v>
      </c>
      <c r="R604" s="213">
        <f t="shared" si="193"/>
        <v>0</v>
      </c>
      <c r="S604" s="213">
        <f t="shared" si="193"/>
        <v>0</v>
      </c>
      <c r="T604" s="213">
        <f t="shared" si="193"/>
        <v>0</v>
      </c>
      <c r="U604" s="213">
        <f t="shared" si="193"/>
        <v>0</v>
      </c>
      <c r="V604" s="213">
        <f t="shared" si="193"/>
        <v>0</v>
      </c>
      <c r="W604" s="213">
        <f t="shared" si="193"/>
        <v>0</v>
      </c>
      <c r="X604" s="213">
        <f t="shared" si="193"/>
        <v>0</v>
      </c>
      <c r="Y604" s="213">
        <f t="shared" si="193"/>
        <v>0</v>
      </c>
      <c r="AQ604" s="19"/>
    </row>
    <row r="605" spans="5:43" x14ac:dyDescent="0.25">
      <c r="E605" s="37"/>
      <c r="F605" s="84" t="s">
        <v>1096</v>
      </c>
      <c r="G605" t="s">
        <v>169</v>
      </c>
      <c r="J605" s="213">
        <f>J146</f>
        <v>0</v>
      </c>
      <c r="K605" s="213">
        <f t="shared" ref="K605:Y605" si="194">K146</f>
        <v>0</v>
      </c>
      <c r="L605" s="213">
        <f t="shared" si="194"/>
        <v>0</v>
      </c>
      <c r="M605" s="213">
        <f t="shared" si="194"/>
        <v>0</v>
      </c>
      <c r="N605" s="213">
        <f t="shared" si="194"/>
        <v>16</v>
      </c>
      <c r="O605" s="213">
        <f t="shared" si="194"/>
        <v>0</v>
      </c>
      <c r="P605" s="213">
        <f t="shared" si="194"/>
        <v>0</v>
      </c>
      <c r="Q605" s="213">
        <f t="shared" si="194"/>
        <v>0</v>
      </c>
      <c r="R605" s="213">
        <f t="shared" si="194"/>
        <v>0</v>
      </c>
      <c r="S605" s="213">
        <f t="shared" si="194"/>
        <v>0</v>
      </c>
      <c r="T605" s="213">
        <f t="shared" si="194"/>
        <v>0</v>
      </c>
      <c r="U605" s="213">
        <f t="shared" si="194"/>
        <v>0</v>
      </c>
      <c r="V605" s="213">
        <f t="shared" si="194"/>
        <v>0</v>
      </c>
      <c r="W605" s="213">
        <f t="shared" si="194"/>
        <v>0</v>
      </c>
      <c r="X605" s="213">
        <f t="shared" si="194"/>
        <v>0</v>
      </c>
      <c r="Y605" s="213">
        <f t="shared" si="194"/>
        <v>0</v>
      </c>
      <c r="AQ605" s="19"/>
    </row>
    <row r="606" spans="5:43" x14ac:dyDescent="0.25">
      <c r="E606" s="37" t="s">
        <v>204</v>
      </c>
      <c r="F606" s="84"/>
      <c r="J606" s="128"/>
      <c r="K606" s="128"/>
      <c r="L606" s="128"/>
      <c r="M606" s="128"/>
      <c r="N606" s="128"/>
      <c r="O606" s="128"/>
      <c r="P606" s="128"/>
      <c r="Q606" s="128"/>
      <c r="R606" s="128"/>
      <c r="S606" s="128"/>
      <c r="T606" s="128"/>
      <c r="U606" s="128"/>
      <c r="V606" s="128"/>
      <c r="W606" s="128"/>
      <c r="X606" s="128"/>
      <c r="Y606" s="128"/>
      <c r="AQ606" s="19"/>
    </row>
    <row r="607" spans="5:43" x14ac:dyDescent="0.25">
      <c r="E607" s="37"/>
      <c r="F607" s="84" t="s">
        <v>1060</v>
      </c>
      <c r="G607" t="s">
        <v>170</v>
      </c>
      <c r="J607" s="217">
        <f>J111</f>
        <v>0</v>
      </c>
      <c r="K607" s="217">
        <f t="shared" ref="K607:Y607" si="195">K111</f>
        <v>0</v>
      </c>
      <c r="L607" s="217">
        <f t="shared" si="195"/>
        <v>0</v>
      </c>
      <c r="M607" s="217">
        <f t="shared" si="195"/>
        <v>0</v>
      </c>
      <c r="N607" s="217">
        <f t="shared" si="195"/>
        <v>0</v>
      </c>
      <c r="O607" s="217">
        <f t="shared" si="195"/>
        <v>0</v>
      </c>
      <c r="P607" s="217">
        <f t="shared" si="195"/>
        <v>0</v>
      </c>
      <c r="Q607" s="217">
        <f t="shared" si="195"/>
        <v>0</v>
      </c>
      <c r="R607" s="217">
        <f t="shared" si="195"/>
        <v>0</v>
      </c>
      <c r="S607" s="217">
        <f t="shared" si="195"/>
        <v>0</v>
      </c>
      <c r="T607" s="217">
        <f t="shared" si="195"/>
        <v>0</v>
      </c>
      <c r="U607" s="217">
        <f t="shared" si="195"/>
        <v>0</v>
      </c>
      <c r="V607" s="217">
        <f t="shared" si="195"/>
        <v>0</v>
      </c>
      <c r="W607" s="217">
        <f t="shared" si="195"/>
        <v>0</v>
      </c>
      <c r="X607" s="217">
        <f t="shared" si="195"/>
        <v>0</v>
      </c>
      <c r="Y607" s="217">
        <f t="shared" si="195"/>
        <v>0</v>
      </c>
      <c r="AQ607" s="19"/>
    </row>
    <row r="608" spans="5:43" x14ac:dyDescent="0.25">
      <c r="E608" s="37"/>
      <c r="F608" s="84" t="s">
        <v>1093</v>
      </c>
      <c r="G608" t="s">
        <v>170</v>
      </c>
      <c r="J608" s="421">
        <f>J120</f>
        <v>0</v>
      </c>
      <c r="K608" s="421">
        <f t="shared" ref="K608:Y608" si="196">K120</f>
        <v>0</v>
      </c>
      <c r="L608" s="421">
        <f t="shared" si="196"/>
        <v>0</v>
      </c>
      <c r="M608" s="421">
        <f t="shared" si="196"/>
        <v>0</v>
      </c>
      <c r="N608" s="421">
        <f t="shared" si="196"/>
        <v>99.444000000000003</v>
      </c>
      <c r="O608" s="421">
        <f t="shared" si="196"/>
        <v>0</v>
      </c>
      <c r="P608" s="421">
        <f t="shared" si="196"/>
        <v>0</v>
      </c>
      <c r="Q608" s="421">
        <f t="shared" si="196"/>
        <v>0</v>
      </c>
      <c r="R608" s="421">
        <f t="shared" si="196"/>
        <v>0</v>
      </c>
      <c r="S608" s="421">
        <f t="shared" si="196"/>
        <v>0</v>
      </c>
      <c r="T608" s="421">
        <f t="shared" si="196"/>
        <v>0</v>
      </c>
      <c r="U608" s="421">
        <f t="shared" si="196"/>
        <v>0</v>
      </c>
      <c r="V608" s="421">
        <f t="shared" si="196"/>
        <v>0</v>
      </c>
      <c r="W608" s="421">
        <f t="shared" si="196"/>
        <v>0</v>
      </c>
      <c r="X608" s="421">
        <f t="shared" si="196"/>
        <v>0</v>
      </c>
      <c r="Y608" s="421">
        <f t="shared" si="196"/>
        <v>0</v>
      </c>
      <c r="AQ608" s="19"/>
    </row>
    <row r="609" spans="4:43" x14ac:dyDescent="0.25">
      <c r="E609" s="37"/>
      <c r="F609" s="84" t="s">
        <v>1094</v>
      </c>
      <c r="G609" t="s">
        <v>170</v>
      </c>
      <c r="J609" s="421">
        <f>J129</f>
        <v>0</v>
      </c>
      <c r="K609" s="421">
        <f t="shared" ref="K609:Y609" si="197">K129</f>
        <v>0</v>
      </c>
      <c r="L609" s="421">
        <f t="shared" si="197"/>
        <v>0</v>
      </c>
      <c r="M609" s="421">
        <f t="shared" si="197"/>
        <v>0</v>
      </c>
      <c r="N609" s="421">
        <f t="shared" si="197"/>
        <v>242.67099999999999</v>
      </c>
      <c r="O609" s="421">
        <f t="shared" si="197"/>
        <v>0</v>
      </c>
      <c r="P609" s="421">
        <f t="shared" si="197"/>
        <v>0</v>
      </c>
      <c r="Q609" s="421">
        <f t="shared" si="197"/>
        <v>0</v>
      </c>
      <c r="R609" s="421">
        <f t="shared" si="197"/>
        <v>0</v>
      </c>
      <c r="S609" s="421">
        <f t="shared" si="197"/>
        <v>0</v>
      </c>
      <c r="T609" s="421">
        <f t="shared" si="197"/>
        <v>0</v>
      </c>
      <c r="U609" s="421">
        <f t="shared" si="197"/>
        <v>0</v>
      </c>
      <c r="V609" s="421">
        <f t="shared" si="197"/>
        <v>0</v>
      </c>
      <c r="W609" s="421">
        <f t="shared" si="197"/>
        <v>0</v>
      </c>
      <c r="X609" s="421">
        <f t="shared" si="197"/>
        <v>0</v>
      </c>
      <c r="Y609" s="421">
        <f t="shared" si="197"/>
        <v>0</v>
      </c>
      <c r="AQ609" s="19"/>
    </row>
    <row r="610" spans="4:43" x14ac:dyDescent="0.25">
      <c r="E610" s="37"/>
      <c r="F610" s="84" t="s">
        <v>1095</v>
      </c>
      <c r="G610" t="s">
        <v>170</v>
      </c>
      <c r="J610" s="213">
        <f>J138</f>
        <v>0</v>
      </c>
      <c r="K610" s="213">
        <f t="shared" ref="K610:Y610" si="198">K138</f>
        <v>0</v>
      </c>
      <c r="L610" s="213">
        <f t="shared" si="198"/>
        <v>0</v>
      </c>
      <c r="M610" s="213">
        <f t="shared" si="198"/>
        <v>0</v>
      </c>
      <c r="N610" s="213">
        <f t="shared" si="198"/>
        <v>449.36799999999999</v>
      </c>
      <c r="O610" s="213">
        <f t="shared" si="198"/>
        <v>0</v>
      </c>
      <c r="P610" s="213">
        <f t="shared" si="198"/>
        <v>0</v>
      </c>
      <c r="Q610" s="213">
        <f t="shared" si="198"/>
        <v>0</v>
      </c>
      <c r="R610" s="213">
        <f t="shared" si="198"/>
        <v>0</v>
      </c>
      <c r="S610" s="213">
        <f t="shared" si="198"/>
        <v>0</v>
      </c>
      <c r="T610" s="213">
        <f t="shared" si="198"/>
        <v>0</v>
      </c>
      <c r="U610" s="213">
        <f t="shared" si="198"/>
        <v>0</v>
      </c>
      <c r="V610" s="213">
        <f t="shared" si="198"/>
        <v>0</v>
      </c>
      <c r="W610" s="213">
        <f t="shared" si="198"/>
        <v>0</v>
      </c>
      <c r="X610" s="213">
        <f t="shared" si="198"/>
        <v>0</v>
      </c>
      <c r="Y610" s="213">
        <f t="shared" si="198"/>
        <v>0</v>
      </c>
      <c r="AQ610" s="19"/>
    </row>
    <row r="611" spans="4:43" x14ac:dyDescent="0.25">
      <c r="E611" s="34"/>
      <c r="F611" s="422" t="s">
        <v>1096</v>
      </c>
      <c r="G611" s="17" t="s">
        <v>170</v>
      </c>
      <c r="H611" s="17"/>
      <c r="I611" s="17"/>
      <c r="J611" s="421">
        <f>J147</f>
        <v>0</v>
      </c>
      <c r="K611" s="421">
        <f t="shared" ref="K611:Y611" si="199">K147</f>
        <v>0</v>
      </c>
      <c r="L611" s="421">
        <f t="shared" si="199"/>
        <v>0</v>
      </c>
      <c r="M611" s="421">
        <f t="shared" si="199"/>
        <v>0</v>
      </c>
      <c r="N611" s="421">
        <f t="shared" si="199"/>
        <v>325.76400000000001</v>
      </c>
      <c r="O611" s="421">
        <f t="shared" si="199"/>
        <v>0</v>
      </c>
      <c r="P611" s="421">
        <f t="shared" si="199"/>
        <v>0</v>
      </c>
      <c r="Q611" s="421">
        <f t="shared" si="199"/>
        <v>0</v>
      </c>
      <c r="R611" s="421">
        <f t="shared" si="199"/>
        <v>0</v>
      </c>
      <c r="S611" s="421">
        <f t="shared" si="199"/>
        <v>0</v>
      </c>
      <c r="T611" s="421">
        <f t="shared" si="199"/>
        <v>0</v>
      </c>
      <c r="U611" s="421">
        <f t="shared" si="199"/>
        <v>0</v>
      </c>
      <c r="V611" s="421">
        <f t="shared" si="199"/>
        <v>0</v>
      </c>
      <c r="W611" s="421">
        <f t="shared" si="199"/>
        <v>0</v>
      </c>
      <c r="X611" s="421">
        <f t="shared" si="199"/>
        <v>0</v>
      </c>
      <c r="Y611" s="421">
        <f t="shared" si="199"/>
        <v>0</v>
      </c>
      <c r="AQ611" s="19"/>
    </row>
    <row r="612" spans="4:43" x14ac:dyDescent="0.25">
      <c r="AQ612" s="19"/>
    </row>
    <row r="613" spans="4:43" x14ac:dyDescent="0.25">
      <c r="D613" s="52" t="s">
        <v>1227</v>
      </c>
      <c r="AQ613" s="19"/>
    </row>
    <row r="614" spans="4:43" x14ac:dyDescent="0.25">
      <c r="E614" s="38" t="s">
        <v>199</v>
      </c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AQ614" s="19"/>
    </row>
    <row r="615" spans="4:43" x14ac:dyDescent="0.25">
      <c r="E615" s="37"/>
      <c r="F615" s="84" t="s">
        <v>1060</v>
      </c>
      <c r="G615" t="s">
        <v>120</v>
      </c>
      <c r="J615" s="217">
        <f>J152</f>
        <v>0</v>
      </c>
      <c r="K615" s="217">
        <f t="shared" ref="K615:Y615" si="200">K152</f>
        <v>0</v>
      </c>
      <c r="L615" s="217">
        <f t="shared" si="200"/>
        <v>0</v>
      </c>
      <c r="M615" s="217">
        <f t="shared" si="200"/>
        <v>0</v>
      </c>
      <c r="N615" s="217">
        <f t="shared" si="200"/>
        <v>0</v>
      </c>
      <c r="O615" s="217">
        <f t="shared" si="200"/>
        <v>0</v>
      </c>
      <c r="P615" s="217">
        <f t="shared" si="200"/>
        <v>0</v>
      </c>
      <c r="Q615" s="217">
        <f t="shared" si="200"/>
        <v>0</v>
      </c>
      <c r="R615" s="217">
        <f t="shared" si="200"/>
        <v>560.25500000000011</v>
      </c>
      <c r="S615" s="217">
        <f t="shared" si="200"/>
        <v>7.944</v>
      </c>
      <c r="T615" s="217">
        <f t="shared" si="200"/>
        <v>0</v>
      </c>
      <c r="U615" s="217">
        <f t="shared" si="200"/>
        <v>0</v>
      </c>
      <c r="V615" s="217">
        <f t="shared" si="200"/>
        <v>0</v>
      </c>
      <c r="W615" s="217">
        <f t="shared" si="200"/>
        <v>0</v>
      </c>
      <c r="X615" s="217">
        <f t="shared" si="200"/>
        <v>0</v>
      </c>
      <c r="Y615" s="217">
        <f t="shared" si="200"/>
        <v>0</v>
      </c>
      <c r="AQ615" s="19"/>
    </row>
    <row r="616" spans="4:43" x14ac:dyDescent="0.25">
      <c r="E616" s="37"/>
      <c r="F616" s="84" t="s">
        <v>1093</v>
      </c>
      <c r="G616" t="s">
        <v>120</v>
      </c>
      <c r="J616" s="421">
        <f>J161</f>
        <v>32626.366864146377</v>
      </c>
      <c r="K616" s="421">
        <f t="shared" ref="K616:Y616" si="201">K161</f>
        <v>0</v>
      </c>
      <c r="L616" s="421">
        <f t="shared" si="201"/>
        <v>228.32699061290884</v>
      </c>
      <c r="M616" s="421">
        <f t="shared" si="201"/>
        <v>0</v>
      </c>
      <c r="N616" s="421">
        <f t="shared" si="201"/>
        <v>730.50928978556692</v>
      </c>
      <c r="O616" s="421">
        <f t="shared" si="201"/>
        <v>0</v>
      </c>
      <c r="P616" s="421">
        <f t="shared" si="201"/>
        <v>405.92264581550916</v>
      </c>
      <c r="Q616" s="421">
        <f t="shared" si="201"/>
        <v>24.693411835748794</v>
      </c>
      <c r="R616" s="421">
        <f t="shared" si="201"/>
        <v>0</v>
      </c>
      <c r="S616" s="421">
        <f t="shared" si="201"/>
        <v>0</v>
      </c>
      <c r="T616" s="421">
        <f t="shared" si="201"/>
        <v>0</v>
      </c>
      <c r="U616" s="421">
        <f t="shared" si="201"/>
        <v>0</v>
      </c>
      <c r="V616" s="421">
        <f t="shared" si="201"/>
        <v>0</v>
      </c>
      <c r="W616" s="421">
        <f t="shared" si="201"/>
        <v>0</v>
      </c>
      <c r="X616" s="421">
        <f t="shared" si="201"/>
        <v>0</v>
      </c>
      <c r="Y616" s="421">
        <f t="shared" si="201"/>
        <v>0</v>
      </c>
      <c r="AQ616" s="19"/>
    </row>
    <row r="617" spans="4:43" x14ac:dyDescent="0.25">
      <c r="E617" s="37"/>
      <c r="F617" s="84" t="s">
        <v>1094</v>
      </c>
      <c r="G617" t="s">
        <v>120</v>
      </c>
      <c r="J617" s="421">
        <f>J170</f>
        <v>0</v>
      </c>
      <c r="K617" s="421">
        <f t="shared" ref="K617:Y617" si="202">K170</f>
        <v>0</v>
      </c>
      <c r="L617" s="421">
        <f t="shared" si="202"/>
        <v>359.61296770970398</v>
      </c>
      <c r="M617" s="421">
        <f t="shared" si="202"/>
        <v>0</v>
      </c>
      <c r="N617" s="421">
        <f t="shared" si="202"/>
        <v>2384.6120788141361</v>
      </c>
      <c r="O617" s="421">
        <f t="shared" si="202"/>
        <v>49.851444293283741</v>
      </c>
      <c r="P617" s="421">
        <f t="shared" si="202"/>
        <v>546.80429321484007</v>
      </c>
      <c r="Q617" s="421">
        <f t="shared" si="202"/>
        <v>0</v>
      </c>
      <c r="R617" s="421">
        <f t="shared" si="202"/>
        <v>0</v>
      </c>
      <c r="S617" s="421">
        <f t="shared" si="202"/>
        <v>0</v>
      </c>
      <c r="T617" s="421">
        <f t="shared" si="202"/>
        <v>0</v>
      </c>
      <c r="U617" s="421">
        <f t="shared" si="202"/>
        <v>0</v>
      </c>
      <c r="V617" s="421">
        <f t="shared" si="202"/>
        <v>0</v>
      </c>
      <c r="W617" s="421">
        <f t="shared" si="202"/>
        <v>0</v>
      </c>
      <c r="X617" s="421">
        <f t="shared" si="202"/>
        <v>0</v>
      </c>
      <c r="Y617" s="421">
        <f t="shared" si="202"/>
        <v>0</v>
      </c>
      <c r="AQ617" s="19"/>
    </row>
    <row r="618" spans="4:43" x14ac:dyDescent="0.25">
      <c r="E618" s="37"/>
      <c r="F618" s="84" t="s">
        <v>1095</v>
      </c>
      <c r="G618" t="s">
        <v>120</v>
      </c>
      <c r="J618" s="213">
        <f>J179</f>
        <v>0</v>
      </c>
      <c r="K618" s="213">
        <f t="shared" ref="K618:Y618" si="203">K179</f>
        <v>0</v>
      </c>
      <c r="L618" s="213">
        <f t="shared" si="203"/>
        <v>568.53660376461573</v>
      </c>
      <c r="M618" s="213">
        <f t="shared" si="203"/>
        <v>0</v>
      </c>
      <c r="N618" s="213">
        <f t="shared" si="203"/>
        <v>2728.2165491910973</v>
      </c>
      <c r="O618" s="213">
        <f t="shared" si="203"/>
        <v>34.301452495378719</v>
      </c>
      <c r="P618" s="213">
        <f t="shared" si="203"/>
        <v>1687.0281306222398</v>
      </c>
      <c r="Q618" s="213">
        <f t="shared" si="203"/>
        <v>0</v>
      </c>
      <c r="R618" s="213">
        <f t="shared" si="203"/>
        <v>0</v>
      </c>
      <c r="S618" s="213">
        <f t="shared" si="203"/>
        <v>0</v>
      </c>
      <c r="T618" s="213">
        <f t="shared" si="203"/>
        <v>0</v>
      </c>
      <c r="U618" s="213">
        <f t="shared" si="203"/>
        <v>0</v>
      </c>
      <c r="V618" s="213">
        <f t="shared" si="203"/>
        <v>0</v>
      </c>
      <c r="W618" s="213">
        <f t="shared" si="203"/>
        <v>0</v>
      </c>
      <c r="X618" s="213">
        <f t="shared" si="203"/>
        <v>0</v>
      </c>
      <c r="Y618" s="213">
        <f t="shared" si="203"/>
        <v>0</v>
      </c>
      <c r="AQ618" s="19"/>
    </row>
    <row r="619" spans="4:43" x14ac:dyDescent="0.25">
      <c r="E619" s="37"/>
      <c r="F619" s="84" t="s">
        <v>1096</v>
      </c>
      <c r="G619" t="s">
        <v>120</v>
      </c>
      <c r="J619" s="213">
        <f>J188</f>
        <v>0</v>
      </c>
      <c r="K619" s="213">
        <f t="shared" ref="K619:Y619" si="204">K188</f>
        <v>0</v>
      </c>
      <c r="L619" s="213">
        <f t="shared" si="204"/>
        <v>1205.2358848878739</v>
      </c>
      <c r="M619" s="213">
        <f t="shared" si="204"/>
        <v>0</v>
      </c>
      <c r="N619" s="213">
        <f t="shared" si="204"/>
        <v>10015.193994900874</v>
      </c>
      <c r="O619" s="213">
        <f t="shared" si="204"/>
        <v>3162.4414691739385</v>
      </c>
      <c r="P619" s="213">
        <f t="shared" si="204"/>
        <v>2811.7135510370663</v>
      </c>
      <c r="Q619" s="213">
        <f t="shared" si="204"/>
        <v>0</v>
      </c>
      <c r="R619" s="213">
        <f t="shared" si="204"/>
        <v>0</v>
      </c>
      <c r="S619" s="213">
        <f t="shared" si="204"/>
        <v>0</v>
      </c>
      <c r="T619" s="213">
        <f t="shared" si="204"/>
        <v>0</v>
      </c>
      <c r="U619" s="213">
        <f t="shared" si="204"/>
        <v>0</v>
      </c>
      <c r="V619" s="213">
        <f t="shared" si="204"/>
        <v>0</v>
      </c>
      <c r="W619" s="213">
        <f t="shared" si="204"/>
        <v>0</v>
      </c>
      <c r="X619" s="213">
        <f t="shared" si="204"/>
        <v>0</v>
      </c>
      <c r="Y619" s="213">
        <f t="shared" si="204"/>
        <v>0</v>
      </c>
      <c r="AQ619" s="19"/>
    </row>
    <row r="620" spans="4:43" x14ac:dyDescent="0.25">
      <c r="E620" s="92" t="s">
        <v>200</v>
      </c>
      <c r="F620" s="84"/>
      <c r="J620" s="128"/>
      <c r="K620" s="128"/>
      <c r="L620" s="128"/>
      <c r="M620" s="128"/>
      <c r="N620" s="128"/>
      <c r="O620" s="128"/>
      <c r="P620" s="128"/>
      <c r="Q620" s="128"/>
      <c r="R620" s="128"/>
      <c r="S620" s="128"/>
      <c r="T620" s="128"/>
      <c r="U620" s="128"/>
      <c r="V620" s="128"/>
      <c r="W620" s="128"/>
      <c r="X620" s="128"/>
      <c r="Y620" s="128"/>
      <c r="AQ620" s="19"/>
    </row>
    <row r="621" spans="4:43" x14ac:dyDescent="0.25">
      <c r="E621" s="37"/>
      <c r="F621" s="84" t="s">
        <v>1060</v>
      </c>
      <c r="G621" t="s">
        <v>120</v>
      </c>
      <c r="J621" s="217">
        <f>J153</f>
        <v>0</v>
      </c>
      <c r="K621" s="217">
        <f t="shared" ref="K621:Y621" si="205">K153</f>
        <v>13.045000000000002</v>
      </c>
      <c r="L621" s="217">
        <f t="shared" si="205"/>
        <v>0</v>
      </c>
      <c r="M621" s="217">
        <f t="shared" si="205"/>
        <v>0</v>
      </c>
      <c r="N621" s="217">
        <f t="shared" si="205"/>
        <v>0</v>
      </c>
      <c r="O621" s="217">
        <f t="shared" si="205"/>
        <v>0</v>
      </c>
      <c r="P621" s="217">
        <f t="shared" si="205"/>
        <v>0</v>
      </c>
      <c r="Q621" s="217">
        <f t="shared" si="205"/>
        <v>0</v>
      </c>
      <c r="R621" s="217">
        <f t="shared" si="205"/>
        <v>2047.2030000000002</v>
      </c>
      <c r="S621" s="217">
        <f t="shared" si="205"/>
        <v>28.603999999999999</v>
      </c>
      <c r="T621" s="217">
        <f t="shared" si="205"/>
        <v>0</v>
      </c>
      <c r="U621" s="217">
        <f t="shared" si="205"/>
        <v>0</v>
      </c>
      <c r="V621" s="217">
        <f t="shared" si="205"/>
        <v>0</v>
      </c>
      <c r="W621" s="217">
        <f t="shared" si="205"/>
        <v>0</v>
      </c>
      <c r="X621" s="217">
        <f t="shared" si="205"/>
        <v>0</v>
      </c>
      <c r="Y621" s="217">
        <f t="shared" si="205"/>
        <v>0</v>
      </c>
      <c r="AQ621" s="19"/>
    </row>
    <row r="622" spans="4:43" x14ac:dyDescent="0.25">
      <c r="E622" s="37"/>
      <c r="F622" s="84" t="s">
        <v>1093</v>
      </c>
      <c r="G622" t="s">
        <v>120</v>
      </c>
      <c r="J622" s="421">
        <f>J162</f>
        <v>111734.49537012567</v>
      </c>
      <c r="K622" s="421">
        <f t="shared" ref="K622:Y622" si="206">K162</f>
        <v>0</v>
      </c>
      <c r="L622" s="421">
        <f t="shared" si="206"/>
        <v>1184.7621059224277</v>
      </c>
      <c r="M622" s="421">
        <f t="shared" si="206"/>
        <v>0</v>
      </c>
      <c r="N622" s="421">
        <f t="shared" si="206"/>
        <v>3229.4664471734022</v>
      </c>
      <c r="O622" s="421">
        <f t="shared" si="206"/>
        <v>0</v>
      </c>
      <c r="P622" s="421">
        <f t="shared" si="206"/>
        <v>1796.7110888868503</v>
      </c>
      <c r="Q622" s="421">
        <f t="shared" si="206"/>
        <v>294.53399033816419</v>
      </c>
      <c r="R622" s="421">
        <f t="shared" si="206"/>
        <v>0</v>
      </c>
      <c r="S622" s="421">
        <f t="shared" si="206"/>
        <v>0</v>
      </c>
      <c r="T622" s="421">
        <f t="shared" si="206"/>
        <v>0</v>
      </c>
      <c r="U622" s="421">
        <f t="shared" si="206"/>
        <v>0</v>
      </c>
      <c r="V622" s="421">
        <f t="shared" si="206"/>
        <v>0</v>
      </c>
      <c r="W622" s="421">
        <f t="shared" si="206"/>
        <v>0</v>
      </c>
      <c r="X622" s="421">
        <f t="shared" si="206"/>
        <v>0</v>
      </c>
      <c r="Y622" s="421">
        <f t="shared" si="206"/>
        <v>0</v>
      </c>
      <c r="AQ622" s="19"/>
    </row>
    <row r="623" spans="4:43" x14ac:dyDescent="0.25">
      <c r="E623" s="37"/>
      <c r="F623" s="84" t="s">
        <v>1094</v>
      </c>
      <c r="G623" t="s">
        <v>120</v>
      </c>
      <c r="J623" s="421">
        <f>J171</f>
        <v>0</v>
      </c>
      <c r="K623" s="421">
        <f t="shared" ref="K623:Y623" si="207">K171</f>
        <v>0</v>
      </c>
      <c r="L623" s="421">
        <f t="shared" si="207"/>
        <v>1865.9897185045068</v>
      </c>
      <c r="M623" s="421">
        <f t="shared" si="207"/>
        <v>0</v>
      </c>
      <c r="N623" s="421">
        <f t="shared" si="207"/>
        <v>10541.994202859791</v>
      </c>
      <c r="O623" s="421">
        <f t="shared" si="207"/>
        <v>227.46351702797563</v>
      </c>
      <c r="P623" s="421">
        <f t="shared" si="207"/>
        <v>2420.2870847382105</v>
      </c>
      <c r="Q623" s="421">
        <f t="shared" si="207"/>
        <v>0</v>
      </c>
      <c r="R623" s="421">
        <f t="shared" si="207"/>
        <v>0</v>
      </c>
      <c r="S623" s="421">
        <f t="shared" si="207"/>
        <v>0</v>
      </c>
      <c r="T623" s="421">
        <f t="shared" si="207"/>
        <v>0</v>
      </c>
      <c r="U623" s="421">
        <f t="shared" si="207"/>
        <v>0</v>
      </c>
      <c r="V623" s="421">
        <f t="shared" si="207"/>
        <v>0</v>
      </c>
      <c r="W623" s="421">
        <f t="shared" si="207"/>
        <v>0</v>
      </c>
      <c r="X623" s="421">
        <f t="shared" si="207"/>
        <v>0</v>
      </c>
      <c r="Y623" s="421">
        <f t="shared" si="207"/>
        <v>0</v>
      </c>
      <c r="AQ623" s="19"/>
    </row>
    <row r="624" spans="4:43" x14ac:dyDescent="0.25">
      <c r="E624" s="37"/>
      <c r="F624" s="84" t="s">
        <v>1095</v>
      </c>
      <c r="G624" t="s">
        <v>120</v>
      </c>
      <c r="J624" s="213">
        <f>J180</f>
        <v>0</v>
      </c>
      <c r="K624" s="213">
        <f t="shared" ref="K624:Y624" si="208">K180</f>
        <v>0</v>
      </c>
      <c r="L624" s="213">
        <f t="shared" si="208"/>
        <v>2950.0700822186059</v>
      </c>
      <c r="M624" s="213">
        <f t="shared" si="208"/>
        <v>0</v>
      </c>
      <c r="N624" s="213">
        <f t="shared" si="208"/>
        <v>12061.015416822602</v>
      </c>
      <c r="O624" s="213">
        <f t="shared" si="208"/>
        <v>156.51159428530434</v>
      </c>
      <c r="P624" s="213">
        <f t="shared" si="208"/>
        <v>7467.1915469595669</v>
      </c>
      <c r="Q624" s="213">
        <f t="shared" si="208"/>
        <v>0</v>
      </c>
      <c r="R624" s="213">
        <f t="shared" si="208"/>
        <v>0</v>
      </c>
      <c r="S624" s="213">
        <f t="shared" si="208"/>
        <v>0</v>
      </c>
      <c r="T624" s="213">
        <f t="shared" si="208"/>
        <v>0</v>
      </c>
      <c r="U624" s="213">
        <f t="shared" si="208"/>
        <v>0</v>
      </c>
      <c r="V624" s="213">
        <f t="shared" si="208"/>
        <v>0</v>
      </c>
      <c r="W624" s="213">
        <f t="shared" si="208"/>
        <v>0</v>
      </c>
      <c r="X624" s="213">
        <f t="shared" si="208"/>
        <v>0</v>
      </c>
      <c r="Y624" s="213">
        <f t="shared" si="208"/>
        <v>0</v>
      </c>
      <c r="AQ624" s="19"/>
    </row>
    <row r="625" spans="5:43" x14ac:dyDescent="0.25">
      <c r="E625" s="37"/>
      <c r="F625" s="84" t="s">
        <v>1096</v>
      </c>
      <c r="G625" t="s">
        <v>120</v>
      </c>
      <c r="J625" s="213">
        <f>J189</f>
        <v>0</v>
      </c>
      <c r="K625" s="213">
        <f t="shared" ref="K625:Y625" si="209">K189</f>
        <v>0</v>
      </c>
      <c r="L625" s="213">
        <f t="shared" si="209"/>
        <v>6253.8283418881465</v>
      </c>
      <c r="M625" s="213">
        <f t="shared" si="209"/>
        <v>0</v>
      </c>
      <c r="N625" s="213">
        <f t="shared" si="209"/>
        <v>44275.594329483574</v>
      </c>
      <c r="O625" s="213">
        <f t="shared" si="209"/>
        <v>14429.673386019347</v>
      </c>
      <c r="P625" s="213">
        <f t="shared" si="209"/>
        <v>12445.319244932612</v>
      </c>
      <c r="Q625" s="213">
        <f t="shared" si="209"/>
        <v>0</v>
      </c>
      <c r="R625" s="213">
        <f t="shared" si="209"/>
        <v>0</v>
      </c>
      <c r="S625" s="213">
        <f t="shared" si="209"/>
        <v>0</v>
      </c>
      <c r="T625" s="213">
        <f t="shared" si="209"/>
        <v>0</v>
      </c>
      <c r="U625" s="213">
        <f t="shared" si="209"/>
        <v>0</v>
      </c>
      <c r="V625" s="213">
        <f t="shared" si="209"/>
        <v>0</v>
      </c>
      <c r="W625" s="213">
        <f t="shared" si="209"/>
        <v>0</v>
      </c>
      <c r="X625" s="213">
        <f t="shared" si="209"/>
        <v>0</v>
      </c>
      <c r="Y625" s="213">
        <f t="shared" si="209"/>
        <v>0</v>
      </c>
      <c r="AQ625" s="19"/>
    </row>
    <row r="626" spans="5:43" x14ac:dyDescent="0.25">
      <c r="E626" s="92" t="s">
        <v>201</v>
      </c>
      <c r="F626" s="84"/>
      <c r="J626" s="128"/>
      <c r="K626" s="128"/>
      <c r="L626" s="128"/>
      <c r="M626" s="128"/>
      <c r="N626" s="128"/>
      <c r="O626" s="128"/>
      <c r="P626" s="128"/>
      <c r="Q626" s="128"/>
      <c r="R626" s="128"/>
      <c r="S626" s="128"/>
      <c r="T626" s="128"/>
      <c r="U626" s="128"/>
      <c r="V626" s="128"/>
      <c r="W626" s="128"/>
      <c r="X626" s="128"/>
      <c r="Y626" s="128"/>
      <c r="AQ626" s="19"/>
    </row>
    <row r="627" spans="5:43" x14ac:dyDescent="0.25">
      <c r="E627" s="37"/>
      <c r="F627" s="84" t="s">
        <v>1060</v>
      </c>
      <c r="G627" t="s">
        <v>120</v>
      </c>
      <c r="J627" s="217">
        <f>J154</f>
        <v>0</v>
      </c>
      <c r="K627" s="217">
        <f t="shared" ref="K627:Y627" si="210">K154</f>
        <v>250.68800000000002</v>
      </c>
      <c r="L627" s="217">
        <f t="shared" si="210"/>
        <v>0</v>
      </c>
      <c r="M627" s="217">
        <f t="shared" si="210"/>
        <v>0</v>
      </c>
      <c r="N627" s="217">
        <f t="shared" si="210"/>
        <v>0</v>
      </c>
      <c r="O627" s="217">
        <f t="shared" si="210"/>
        <v>0</v>
      </c>
      <c r="P627" s="217">
        <f t="shared" si="210"/>
        <v>0</v>
      </c>
      <c r="Q627" s="217">
        <f t="shared" si="210"/>
        <v>0</v>
      </c>
      <c r="R627" s="217">
        <f t="shared" si="210"/>
        <v>914.25899999999979</v>
      </c>
      <c r="S627" s="217">
        <f t="shared" si="210"/>
        <v>13.100000000000001</v>
      </c>
      <c r="T627" s="217">
        <f t="shared" si="210"/>
        <v>0</v>
      </c>
      <c r="U627" s="217">
        <f t="shared" si="210"/>
        <v>0</v>
      </c>
      <c r="V627" s="217">
        <f t="shared" si="210"/>
        <v>0</v>
      </c>
      <c r="W627" s="217">
        <f t="shared" si="210"/>
        <v>0</v>
      </c>
      <c r="X627" s="217">
        <f t="shared" si="210"/>
        <v>0</v>
      </c>
      <c r="Y627" s="217">
        <f t="shared" si="210"/>
        <v>0</v>
      </c>
      <c r="AQ627" s="19"/>
    </row>
    <row r="628" spans="5:43" x14ac:dyDescent="0.25">
      <c r="E628" s="37"/>
      <c r="F628" s="84" t="s">
        <v>1093</v>
      </c>
      <c r="G628" t="s">
        <v>120</v>
      </c>
      <c r="J628" s="421">
        <f>J163</f>
        <v>100076.82667142931</v>
      </c>
      <c r="K628" s="421">
        <f t="shared" ref="K628:Y628" si="211">K163</f>
        <v>0</v>
      </c>
      <c r="L628" s="421">
        <f t="shared" si="211"/>
        <v>924.10191609268861</v>
      </c>
      <c r="M628" s="421">
        <f t="shared" si="211"/>
        <v>0</v>
      </c>
      <c r="N628" s="421">
        <f t="shared" si="211"/>
        <v>2941.2496578870246</v>
      </c>
      <c r="O628" s="421">
        <f t="shared" si="211"/>
        <v>0</v>
      </c>
      <c r="P628" s="421">
        <f t="shared" si="211"/>
        <v>2105.8513088995433</v>
      </c>
      <c r="Q628" s="421">
        <f t="shared" si="211"/>
        <v>338.79760084541061</v>
      </c>
      <c r="R628" s="421">
        <f t="shared" si="211"/>
        <v>0</v>
      </c>
      <c r="S628" s="421">
        <f t="shared" si="211"/>
        <v>0</v>
      </c>
      <c r="T628" s="421">
        <f t="shared" si="211"/>
        <v>0</v>
      </c>
      <c r="U628" s="421">
        <f t="shared" si="211"/>
        <v>0</v>
      </c>
      <c r="V628" s="421">
        <f t="shared" si="211"/>
        <v>0</v>
      </c>
      <c r="W628" s="421">
        <f t="shared" si="211"/>
        <v>0</v>
      </c>
      <c r="X628" s="421">
        <f t="shared" si="211"/>
        <v>0</v>
      </c>
      <c r="Y628" s="421">
        <f t="shared" si="211"/>
        <v>0</v>
      </c>
      <c r="AQ628" s="19"/>
    </row>
    <row r="629" spans="5:43" x14ac:dyDescent="0.25">
      <c r="E629" s="37"/>
      <c r="F629" s="84" t="s">
        <v>1094</v>
      </c>
      <c r="G629" t="s">
        <v>120</v>
      </c>
      <c r="J629" s="421">
        <f>J172</f>
        <v>0</v>
      </c>
      <c r="K629" s="421">
        <f t="shared" ref="K629:Y629" si="212">K172</f>
        <v>0</v>
      </c>
      <c r="L629" s="421">
        <f t="shared" si="212"/>
        <v>1455.4522512658536</v>
      </c>
      <c r="M629" s="421">
        <f t="shared" si="212"/>
        <v>0</v>
      </c>
      <c r="N629" s="421">
        <f t="shared" si="212"/>
        <v>9601.1639538001637</v>
      </c>
      <c r="O629" s="421">
        <f t="shared" si="212"/>
        <v>208.87225658450117</v>
      </c>
      <c r="P629" s="421">
        <f t="shared" si="212"/>
        <v>2836.719134664168</v>
      </c>
      <c r="Q629" s="421">
        <f t="shared" si="212"/>
        <v>0</v>
      </c>
      <c r="R629" s="421">
        <f t="shared" si="212"/>
        <v>0</v>
      </c>
      <c r="S629" s="421">
        <f t="shared" si="212"/>
        <v>0</v>
      </c>
      <c r="T629" s="421">
        <f t="shared" si="212"/>
        <v>0</v>
      </c>
      <c r="U629" s="421">
        <f t="shared" si="212"/>
        <v>0</v>
      </c>
      <c r="V629" s="421">
        <f t="shared" si="212"/>
        <v>0</v>
      </c>
      <c r="W629" s="421">
        <f t="shared" si="212"/>
        <v>0</v>
      </c>
      <c r="X629" s="421">
        <f t="shared" si="212"/>
        <v>0</v>
      </c>
      <c r="Y629" s="421">
        <f t="shared" si="212"/>
        <v>0</v>
      </c>
      <c r="AQ629" s="19"/>
    </row>
    <row r="630" spans="5:43" x14ac:dyDescent="0.25">
      <c r="E630" s="37"/>
      <c r="F630" s="84" t="s">
        <v>1095</v>
      </c>
      <c r="G630" t="s">
        <v>120</v>
      </c>
      <c r="J630" s="213">
        <f>J181</f>
        <v>0</v>
      </c>
      <c r="K630" s="213">
        <f t="shared" ref="K630:Y630" si="213">K181</f>
        <v>0</v>
      </c>
      <c r="L630" s="213">
        <f t="shared" si="213"/>
        <v>2301.0234729472559</v>
      </c>
      <c r="M630" s="213">
        <f t="shared" si="213"/>
        <v>0</v>
      </c>
      <c r="N630" s="213">
        <f t="shared" si="213"/>
        <v>10984.618681995815</v>
      </c>
      <c r="O630" s="213">
        <f t="shared" si="213"/>
        <v>143.71944260401457</v>
      </c>
      <c r="P630" s="213">
        <f t="shared" si="213"/>
        <v>8751.988669870505</v>
      </c>
      <c r="Q630" s="213">
        <f t="shared" si="213"/>
        <v>0</v>
      </c>
      <c r="R630" s="213">
        <f t="shared" si="213"/>
        <v>0</v>
      </c>
      <c r="S630" s="213">
        <f t="shared" si="213"/>
        <v>0</v>
      </c>
      <c r="T630" s="213">
        <f t="shared" si="213"/>
        <v>0</v>
      </c>
      <c r="U630" s="213">
        <f t="shared" si="213"/>
        <v>0</v>
      </c>
      <c r="V630" s="213">
        <f t="shared" si="213"/>
        <v>0</v>
      </c>
      <c r="W630" s="213">
        <f t="shared" si="213"/>
        <v>0</v>
      </c>
      <c r="X630" s="213">
        <f t="shared" si="213"/>
        <v>0</v>
      </c>
      <c r="Y630" s="213">
        <f t="shared" si="213"/>
        <v>0</v>
      </c>
      <c r="AQ630" s="19"/>
    </row>
    <row r="631" spans="5:43" x14ac:dyDescent="0.25">
      <c r="E631" s="37"/>
      <c r="F631" s="84" t="s">
        <v>1096</v>
      </c>
      <c r="G631" t="s">
        <v>120</v>
      </c>
      <c r="J631" s="213">
        <f>J190</f>
        <v>0</v>
      </c>
      <c r="K631" s="213">
        <f t="shared" ref="K631:Y631" si="214">K190</f>
        <v>0</v>
      </c>
      <c r="L631" s="213">
        <f t="shared" si="214"/>
        <v>4877.9199847500777</v>
      </c>
      <c r="M631" s="213">
        <f t="shared" si="214"/>
        <v>0</v>
      </c>
      <c r="N631" s="213">
        <f t="shared" si="214"/>
        <v>40324.177013301523</v>
      </c>
      <c r="O631" s="213">
        <f t="shared" si="214"/>
        <v>13250.293855011902</v>
      </c>
      <c r="P631" s="213">
        <f t="shared" si="214"/>
        <v>14586.647783117507</v>
      </c>
      <c r="Q631" s="213">
        <f t="shared" si="214"/>
        <v>0</v>
      </c>
      <c r="R631" s="213">
        <f t="shared" si="214"/>
        <v>0</v>
      </c>
      <c r="S631" s="213">
        <f t="shared" si="214"/>
        <v>0</v>
      </c>
      <c r="T631" s="213">
        <f t="shared" si="214"/>
        <v>0</v>
      </c>
      <c r="U631" s="213">
        <f t="shared" si="214"/>
        <v>0</v>
      </c>
      <c r="V631" s="213">
        <f t="shared" si="214"/>
        <v>0</v>
      </c>
      <c r="W631" s="213">
        <f t="shared" si="214"/>
        <v>0</v>
      </c>
      <c r="X631" s="213">
        <f t="shared" si="214"/>
        <v>0</v>
      </c>
      <c r="Y631" s="213">
        <f t="shared" si="214"/>
        <v>0</v>
      </c>
      <c r="AQ631" s="19"/>
    </row>
    <row r="632" spans="5:43" x14ac:dyDescent="0.25">
      <c r="E632" s="92" t="s">
        <v>74</v>
      </c>
      <c r="F632" s="84"/>
      <c r="J632" s="128"/>
      <c r="K632" s="128"/>
      <c r="L632" s="128"/>
      <c r="M632" s="128"/>
      <c r="N632" s="128"/>
      <c r="O632" s="128"/>
      <c r="P632" s="128"/>
      <c r="Q632" s="128"/>
      <c r="R632" s="128"/>
      <c r="S632" s="128"/>
      <c r="T632" s="128"/>
      <c r="U632" s="128"/>
      <c r="V632" s="128"/>
      <c r="W632" s="128"/>
      <c r="X632" s="128"/>
      <c r="Y632" s="128"/>
      <c r="AQ632" s="19"/>
    </row>
    <row r="633" spans="5:43" x14ac:dyDescent="0.25">
      <c r="E633" s="37"/>
      <c r="F633" s="84" t="s">
        <v>1060</v>
      </c>
      <c r="G633" t="s">
        <v>74</v>
      </c>
      <c r="J633" s="217">
        <f>J155</f>
        <v>0</v>
      </c>
      <c r="K633" s="217">
        <f t="shared" ref="K633:Y633" si="215">K155</f>
        <v>70</v>
      </c>
      <c r="L633" s="217">
        <f t="shared" si="215"/>
        <v>0</v>
      </c>
      <c r="M633" s="217">
        <f t="shared" si="215"/>
        <v>0</v>
      </c>
      <c r="N633" s="217">
        <f t="shared" si="215"/>
        <v>0</v>
      </c>
      <c r="O633" s="217">
        <f t="shared" si="215"/>
        <v>0</v>
      </c>
      <c r="P633" s="217">
        <f t="shared" si="215"/>
        <v>0</v>
      </c>
      <c r="Q633" s="217">
        <f t="shared" si="215"/>
        <v>0</v>
      </c>
      <c r="R633" s="217">
        <f t="shared" si="215"/>
        <v>521</v>
      </c>
      <c r="S633" s="217">
        <f t="shared" si="215"/>
        <v>1</v>
      </c>
      <c r="T633" s="217">
        <f t="shared" si="215"/>
        <v>0</v>
      </c>
      <c r="U633" s="217">
        <f t="shared" si="215"/>
        <v>0</v>
      </c>
      <c r="V633" s="217">
        <f t="shared" si="215"/>
        <v>0</v>
      </c>
      <c r="W633" s="217">
        <f t="shared" si="215"/>
        <v>0</v>
      </c>
      <c r="X633" s="217">
        <f t="shared" si="215"/>
        <v>0</v>
      </c>
      <c r="Y633" s="217">
        <f t="shared" si="215"/>
        <v>0</v>
      </c>
      <c r="AQ633" s="19"/>
    </row>
    <row r="634" spans="5:43" x14ac:dyDescent="0.25">
      <c r="E634" s="37"/>
      <c r="F634" s="84" t="s">
        <v>1093</v>
      </c>
      <c r="G634" t="s">
        <v>74</v>
      </c>
      <c r="J634" s="421">
        <f>J164</f>
        <v>84249.703927492461</v>
      </c>
      <c r="K634" s="421">
        <f t="shared" ref="K634:Y634" si="216">K164</f>
        <v>0</v>
      </c>
      <c r="L634" s="421">
        <f t="shared" si="216"/>
        <v>587</v>
      </c>
      <c r="M634" s="421">
        <f t="shared" si="216"/>
        <v>0</v>
      </c>
      <c r="N634" s="421">
        <f t="shared" si="216"/>
        <v>89</v>
      </c>
      <c r="O634" s="421">
        <f t="shared" si="216"/>
        <v>0</v>
      </c>
      <c r="P634" s="421">
        <f t="shared" si="216"/>
        <v>9</v>
      </c>
      <c r="Q634" s="421">
        <f t="shared" si="216"/>
        <v>71</v>
      </c>
      <c r="R634" s="421">
        <f t="shared" si="216"/>
        <v>0</v>
      </c>
      <c r="S634" s="421">
        <f t="shared" si="216"/>
        <v>0</v>
      </c>
      <c r="T634" s="421">
        <f t="shared" si="216"/>
        <v>0</v>
      </c>
      <c r="U634" s="421">
        <f t="shared" si="216"/>
        <v>0</v>
      </c>
      <c r="V634" s="421">
        <f t="shared" si="216"/>
        <v>0</v>
      </c>
      <c r="W634" s="421">
        <f t="shared" si="216"/>
        <v>0</v>
      </c>
      <c r="X634" s="421">
        <f t="shared" si="216"/>
        <v>0</v>
      </c>
      <c r="Y634" s="421">
        <f t="shared" si="216"/>
        <v>0</v>
      </c>
      <c r="AQ634" s="19"/>
    </row>
    <row r="635" spans="5:43" x14ac:dyDescent="0.25">
      <c r="E635" s="37"/>
      <c r="F635" s="84" t="s">
        <v>1094</v>
      </c>
      <c r="G635" t="s">
        <v>74</v>
      </c>
      <c r="J635" s="421">
        <f>J173</f>
        <v>0</v>
      </c>
      <c r="K635" s="421">
        <f t="shared" ref="K635:Y635" si="217">K173</f>
        <v>0</v>
      </c>
      <c r="L635" s="421">
        <f t="shared" si="217"/>
        <v>497</v>
      </c>
      <c r="M635" s="421">
        <f t="shared" si="217"/>
        <v>0</v>
      </c>
      <c r="N635" s="421">
        <f t="shared" si="217"/>
        <v>140</v>
      </c>
      <c r="O635" s="421">
        <f t="shared" si="217"/>
        <v>3</v>
      </c>
      <c r="P635" s="421">
        <f t="shared" si="217"/>
        <v>6</v>
      </c>
      <c r="Q635" s="421">
        <f t="shared" si="217"/>
        <v>0</v>
      </c>
      <c r="R635" s="421">
        <f t="shared" si="217"/>
        <v>0</v>
      </c>
      <c r="S635" s="421">
        <f t="shared" si="217"/>
        <v>0</v>
      </c>
      <c r="T635" s="421">
        <f t="shared" si="217"/>
        <v>0</v>
      </c>
      <c r="U635" s="421">
        <f t="shared" si="217"/>
        <v>0</v>
      </c>
      <c r="V635" s="421">
        <f t="shared" si="217"/>
        <v>0</v>
      </c>
      <c r="W635" s="421">
        <f t="shared" si="217"/>
        <v>0</v>
      </c>
      <c r="X635" s="421">
        <f t="shared" si="217"/>
        <v>0</v>
      </c>
      <c r="Y635" s="421">
        <f t="shared" si="217"/>
        <v>0</v>
      </c>
      <c r="AQ635" s="19"/>
    </row>
    <row r="636" spans="5:43" x14ac:dyDescent="0.25">
      <c r="E636" s="37"/>
      <c r="F636" s="84" t="s">
        <v>1095</v>
      </c>
      <c r="G636" t="s">
        <v>74</v>
      </c>
      <c r="J636" s="213">
        <f>J182</f>
        <v>0</v>
      </c>
      <c r="K636" s="213">
        <f t="shared" ref="K636:Y636" si="218">K182</f>
        <v>0</v>
      </c>
      <c r="L636" s="213">
        <f t="shared" si="218"/>
        <v>350</v>
      </c>
      <c r="M636" s="213">
        <f t="shared" si="218"/>
        <v>0</v>
      </c>
      <c r="N636" s="213">
        <f t="shared" si="218"/>
        <v>100</v>
      </c>
      <c r="O636" s="213">
        <f t="shared" si="218"/>
        <v>1</v>
      </c>
      <c r="P636" s="213">
        <f t="shared" si="218"/>
        <v>8</v>
      </c>
      <c r="Q636" s="213">
        <f t="shared" si="218"/>
        <v>0</v>
      </c>
      <c r="R636" s="213">
        <f t="shared" si="218"/>
        <v>0</v>
      </c>
      <c r="S636" s="213">
        <f t="shared" si="218"/>
        <v>0</v>
      </c>
      <c r="T636" s="213">
        <f t="shared" si="218"/>
        <v>0</v>
      </c>
      <c r="U636" s="213">
        <f t="shared" si="218"/>
        <v>0</v>
      </c>
      <c r="V636" s="213">
        <f t="shared" si="218"/>
        <v>0</v>
      </c>
      <c r="W636" s="213">
        <f t="shared" si="218"/>
        <v>0</v>
      </c>
      <c r="X636" s="213">
        <f t="shared" si="218"/>
        <v>0</v>
      </c>
      <c r="Y636" s="213">
        <f t="shared" si="218"/>
        <v>0</v>
      </c>
      <c r="AQ636" s="19"/>
    </row>
    <row r="637" spans="5:43" x14ac:dyDescent="0.25">
      <c r="E637" s="37"/>
      <c r="F637" s="84" t="s">
        <v>1096</v>
      </c>
      <c r="G637" t="s">
        <v>74</v>
      </c>
      <c r="J637" s="213">
        <f>J191</f>
        <v>0</v>
      </c>
      <c r="K637" s="213">
        <f t="shared" ref="K637:Y637" si="219">K191</f>
        <v>0</v>
      </c>
      <c r="L637" s="213">
        <f t="shared" si="219"/>
        <v>288</v>
      </c>
      <c r="M637" s="213">
        <f t="shared" si="219"/>
        <v>0</v>
      </c>
      <c r="N637" s="213">
        <f t="shared" si="219"/>
        <v>152</v>
      </c>
      <c r="O637" s="213">
        <f t="shared" si="219"/>
        <v>34</v>
      </c>
      <c r="P637" s="213">
        <f t="shared" si="219"/>
        <v>7</v>
      </c>
      <c r="Q637" s="213">
        <f t="shared" si="219"/>
        <v>0</v>
      </c>
      <c r="R637" s="213">
        <f t="shared" si="219"/>
        <v>0</v>
      </c>
      <c r="S637" s="213">
        <f t="shared" si="219"/>
        <v>0</v>
      </c>
      <c r="T637" s="213">
        <f t="shared" si="219"/>
        <v>0</v>
      </c>
      <c r="U637" s="213">
        <f t="shared" si="219"/>
        <v>0</v>
      </c>
      <c r="V637" s="213">
        <f t="shared" si="219"/>
        <v>0</v>
      </c>
      <c r="W637" s="213">
        <f t="shared" si="219"/>
        <v>0</v>
      </c>
      <c r="X637" s="213">
        <f t="shared" si="219"/>
        <v>0</v>
      </c>
      <c r="Y637" s="213">
        <f t="shared" si="219"/>
        <v>0</v>
      </c>
      <c r="AQ637" s="19"/>
    </row>
    <row r="638" spans="5:43" x14ac:dyDescent="0.25">
      <c r="E638" s="92" t="s">
        <v>202</v>
      </c>
      <c r="F638" s="84"/>
      <c r="J638" s="128"/>
      <c r="K638" s="128"/>
      <c r="L638" s="128"/>
      <c r="M638" s="128"/>
      <c r="N638" s="128"/>
      <c r="O638" s="128"/>
      <c r="P638" s="128"/>
      <c r="Q638" s="128"/>
      <c r="R638" s="128"/>
      <c r="S638" s="128"/>
      <c r="T638" s="128"/>
      <c r="U638" s="128"/>
      <c r="V638" s="128"/>
      <c r="W638" s="128"/>
      <c r="X638" s="128"/>
      <c r="Y638" s="128"/>
      <c r="AQ638" s="19"/>
    </row>
    <row r="639" spans="5:43" x14ac:dyDescent="0.25">
      <c r="E639" s="37"/>
      <c r="F639" s="84" t="s">
        <v>1060</v>
      </c>
      <c r="G639" t="s">
        <v>169</v>
      </c>
      <c r="J639" s="217">
        <f>J156</f>
        <v>0</v>
      </c>
      <c r="K639" s="217">
        <f t="shared" ref="K639:Y639" si="220">K156</f>
        <v>0</v>
      </c>
      <c r="L639" s="217">
        <f t="shared" si="220"/>
        <v>0</v>
      </c>
      <c r="M639" s="217">
        <f t="shared" si="220"/>
        <v>0</v>
      </c>
      <c r="N639" s="217">
        <f t="shared" si="220"/>
        <v>0</v>
      </c>
      <c r="O639" s="217">
        <f t="shared" si="220"/>
        <v>0</v>
      </c>
      <c r="P639" s="217">
        <f t="shared" si="220"/>
        <v>0</v>
      </c>
      <c r="Q639" s="217">
        <f t="shared" si="220"/>
        <v>0</v>
      </c>
      <c r="R639" s="217">
        <f t="shared" si="220"/>
        <v>0</v>
      </c>
      <c r="S639" s="217">
        <f t="shared" si="220"/>
        <v>0</v>
      </c>
      <c r="T639" s="217">
        <f t="shared" si="220"/>
        <v>0</v>
      </c>
      <c r="U639" s="217">
        <f t="shared" si="220"/>
        <v>0</v>
      </c>
      <c r="V639" s="217">
        <f t="shared" si="220"/>
        <v>0</v>
      </c>
      <c r="W639" s="217">
        <f t="shared" si="220"/>
        <v>0</v>
      </c>
      <c r="X639" s="217">
        <f t="shared" si="220"/>
        <v>0</v>
      </c>
      <c r="Y639" s="217">
        <f t="shared" si="220"/>
        <v>0</v>
      </c>
      <c r="AQ639" s="19"/>
    </row>
    <row r="640" spans="5:43" x14ac:dyDescent="0.25">
      <c r="E640" s="37"/>
      <c r="F640" s="84" t="s">
        <v>1093</v>
      </c>
      <c r="G640" t="s">
        <v>169</v>
      </c>
      <c r="J640" s="421">
        <f>J165</f>
        <v>0</v>
      </c>
      <c r="K640" s="421">
        <f t="shared" ref="K640:Y640" si="221">K165</f>
        <v>0</v>
      </c>
      <c r="L640" s="421">
        <f t="shared" si="221"/>
        <v>0</v>
      </c>
      <c r="M640" s="421">
        <f t="shared" si="221"/>
        <v>0</v>
      </c>
      <c r="N640" s="421">
        <f t="shared" si="221"/>
        <v>4960</v>
      </c>
      <c r="O640" s="421">
        <f t="shared" si="221"/>
        <v>0</v>
      </c>
      <c r="P640" s="421">
        <f t="shared" si="221"/>
        <v>2743</v>
      </c>
      <c r="Q640" s="421">
        <f t="shared" si="221"/>
        <v>0</v>
      </c>
      <c r="R640" s="421">
        <f t="shared" si="221"/>
        <v>0</v>
      </c>
      <c r="S640" s="421">
        <f t="shared" si="221"/>
        <v>0</v>
      </c>
      <c r="T640" s="421">
        <f t="shared" si="221"/>
        <v>0</v>
      </c>
      <c r="U640" s="421">
        <f t="shared" si="221"/>
        <v>0</v>
      </c>
      <c r="V640" s="421">
        <f t="shared" si="221"/>
        <v>0</v>
      </c>
      <c r="W640" s="421">
        <f t="shared" si="221"/>
        <v>0</v>
      </c>
      <c r="X640" s="421">
        <f t="shared" si="221"/>
        <v>0</v>
      </c>
      <c r="Y640" s="421">
        <f t="shared" si="221"/>
        <v>0</v>
      </c>
      <c r="AQ640" s="19"/>
    </row>
    <row r="641" spans="5:43" x14ac:dyDescent="0.25">
      <c r="E641" s="37"/>
      <c r="F641" s="84" t="s">
        <v>1094</v>
      </c>
      <c r="G641" t="s">
        <v>169</v>
      </c>
      <c r="J641" s="421">
        <f>J174</f>
        <v>0</v>
      </c>
      <c r="K641" s="421">
        <f t="shared" ref="K641:Y641" si="222">K174</f>
        <v>0</v>
      </c>
      <c r="L641" s="421">
        <f t="shared" si="222"/>
        <v>0</v>
      </c>
      <c r="M641" s="421">
        <f t="shared" si="222"/>
        <v>0</v>
      </c>
      <c r="N641" s="421">
        <f t="shared" si="222"/>
        <v>16191</v>
      </c>
      <c r="O641" s="421">
        <f t="shared" si="222"/>
        <v>327</v>
      </c>
      <c r="P641" s="421">
        <f t="shared" si="222"/>
        <v>3695</v>
      </c>
      <c r="Q641" s="421">
        <f t="shared" si="222"/>
        <v>0</v>
      </c>
      <c r="R641" s="421">
        <f t="shared" si="222"/>
        <v>0</v>
      </c>
      <c r="S641" s="421">
        <f t="shared" si="222"/>
        <v>0</v>
      </c>
      <c r="T641" s="421">
        <f t="shared" si="222"/>
        <v>0</v>
      </c>
      <c r="U641" s="421">
        <f t="shared" si="222"/>
        <v>0</v>
      </c>
      <c r="V641" s="421">
        <f t="shared" si="222"/>
        <v>0</v>
      </c>
      <c r="W641" s="421">
        <f t="shared" si="222"/>
        <v>0</v>
      </c>
      <c r="X641" s="421">
        <f t="shared" si="222"/>
        <v>0</v>
      </c>
      <c r="Y641" s="421">
        <f t="shared" si="222"/>
        <v>0</v>
      </c>
      <c r="AQ641" s="19"/>
    </row>
    <row r="642" spans="5:43" x14ac:dyDescent="0.25">
      <c r="E642" s="37"/>
      <c r="F642" s="84" t="s">
        <v>1095</v>
      </c>
      <c r="G642" t="s">
        <v>169</v>
      </c>
      <c r="J642" s="213">
        <f>J183</f>
        <v>0</v>
      </c>
      <c r="K642" s="213">
        <f t="shared" ref="K642:Y642" si="223">K183</f>
        <v>0</v>
      </c>
      <c r="L642" s="213">
        <f t="shared" si="223"/>
        <v>0</v>
      </c>
      <c r="M642" s="213">
        <f t="shared" si="223"/>
        <v>0</v>
      </c>
      <c r="N642" s="213">
        <f t="shared" si="223"/>
        <v>18524</v>
      </c>
      <c r="O642" s="213">
        <f t="shared" si="223"/>
        <v>225</v>
      </c>
      <c r="P642" s="213">
        <f t="shared" si="223"/>
        <v>11400</v>
      </c>
      <c r="Q642" s="213">
        <f t="shared" si="223"/>
        <v>0</v>
      </c>
      <c r="R642" s="213">
        <f t="shared" si="223"/>
        <v>0</v>
      </c>
      <c r="S642" s="213">
        <f t="shared" si="223"/>
        <v>0</v>
      </c>
      <c r="T642" s="213">
        <f t="shared" si="223"/>
        <v>0</v>
      </c>
      <c r="U642" s="213">
        <f t="shared" si="223"/>
        <v>0</v>
      </c>
      <c r="V642" s="213">
        <f t="shared" si="223"/>
        <v>0</v>
      </c>
      <c r="W642" s="213">
        <f t="shared" si="223"/>
        <v>0</v>
      </c>
      <c r="X642" s="213">
        <f t="shared" si="223"/>
        <v>0</v>
      </c>
      <c r="Y642" s="213">
        <f t="shared" si="223"/>
        <v>0</v>
      </c>
      <c r="AQ642" s="19"/>
    </row>
    <row r="643" spans="5:43" x14ac:dyDescent="0.25">
      <c r="E643" s="37"/>
      <c r="F643" s="84" t="s">
        <v>1096</v>
      </c>
      <c r="G643" t="s">
        <v>169</v>
      </c>
      <c r="J643" s="213">
        <f>J192</f>
        <v>0</v>
      </c>
      <c r="K643" s="213">
        <f t="shared" ref="K643:Y643" si="224">K192</f>
        <v>0</v>
      </c>
      <c r="L643" s="213">
        <f t="shared" si="224"/>
        <v>0</v>
      </c>
      <c r="M643" s="213">
        <f t="shared" si="224"/>
        <v>0</v>
      </c>
      <c r="N643" s="213">
        <f t="shared" si="224"/>
        <v>68001</v>
      </c>
      <c r="O643" s="213">
        <f t="shared" si="224"/>
        <v>20744</v>
      </c>
      <c r="P643" s="213">
        <f t="shared" si="224"/>
        <v>19000</v>
      </c>
      <c r="Q643" s="213">
        <f t="shared" si="224"/>
        <v>0</v>
      </c>
      <c r="R643" s="213">
        <f t="shared" si="224"/>
        <v>0</v>
      </c>
      <c r="S643" s="213">
        <f t="shared" si="224"/>
        <v>0</v>
      </c>
      <c r="T643" s="213">
        <f t="shared" si="224"/>
        <v>0</v>
      </c>
      <c r="U643" s="213">
        <f t="shared" si="224"/>
        <v>0</v>
      </c>
      <c r="V643" s="213">
        <f t="shared" si="224"/>
        <v>0</v>
      </c>
      <c r="W643" s="213">
        <f t="shared" si="224"/>
        <v>0</v>
      </c>
      <c r="X643" s="213">
        <f t="shared" si="224"/>
        <v>0</v>
      </c>
      <c r="Y643" s="213">
        <f t="shared" si="224"/>
        <v>0</v>
      </c>
      <c r="AQ643" s="19"/>
    </row>
    <row r="644" spans="5:43" x14ac:dyDescent="0.25">
      <c r="E644" s="92" t="s">
        <v>203</v>
      </c>
      <c r="F644" s="84"/>
      <c r="J644" s="128"/>
      <c r="K644" s="128"/>
      <c r="L644" s="128"/>
      <c r="M644" s="128"/>
      <c r="N644" s="128"/>
      <c r="O644" s="128"/>
      <c r="P644" s="128"/>
      <c r="Q644" s="128"/>
      <c r="R644" s="128"/>
      <c r="S644" s="128"/>
      <c r="T644" s="128"/>
      <c r="U644" s="128"/>
      <c r="V644" s="128"/>
      <c r="W644" s="128"/>
      <c r="X644" s="128"/>
      <c r="Y644" s="128"/>
      <c r="AQ644" s="19"/>
    </row>
    <row r="645" spans="5:43" x14ac:dyDescent="0.25">
      <c r="E645" s="37"/>
      <c r="F645" s="84" t="s">
        <v>1060</v>
      </c>
      <c r="G645" t="s">
        <v>169</v>
      </c>
      <c r="J645" s="217">
        <f>J157</f>
        <v>0</v>
      </c>
      <c r="K645" s="217">
        <f t="shared" ref="K645:Y645" si="225">K157</f>
        <v>0</v>
      </c>
      <c r="L645" s="217">
        <f t="shared" si="225"/>
        <v>0</v>
      </c>
      <c r="M645" s="217">
        <f t="shared" si="225"/>
        <v>0</v>
      </c>
      <c r="N645" s="217">
        <f t="shared" si="225"/>
        <v>0</v>
      </c>
      <c r="O645" s="217">
        <f t="shared" si="225"/>
        <v>0</v>
      </c>
      <c r="P645" s="217">
        <f t="shared" si="225"/>
        <v>0</v>
      </c>
      <c r="Q645" s="217">
        <f t="shared" si="225"/>
        <v>0</v>
      </c>
      <c r="R645" s="217">
        <f t="shared" si="225"/>
        <v>0</v>
      </c>
      <c r="S645" s="217">
        <f t="shared" si="225"/>
        <v>0</v>
      </c>
      <c r="T645" s="217">
        <f t="shared" si="225"/>
        <v>0</v>
      </c>
      <c r="U645" s="217">
        <f t="shared" si="225"/>
        <v>0</v>
      </c>
      <c r="V645" s="217">
        <f t="shared" si="225"/>
        <v>0</v>
      </c>
      <c r="W645" s="217">
        <f t="shared" si="225"/>
        <v>0</v>
      </c>
      <c r="X645" s="217">
        <f t="shared" si="225"/>
        <v>0</v>
      </c>
      <c r="Y645" s="217">
        <f t="shared" si="225"/>
        <v>0</v>
      </c>
      <c r="AQ645" s="19"/>
    </row>
    <row r="646" spans="5:43" x14ac:dyDescent="0.25">
      <c r="E646" s="37"/>
      <c r="F646" s="84" t="s">
        <v>1093</v>
      </c>
      <c r="G646" t="s">
        <v>169</v>
      </c>
      <c r="J646" s="421">
        <f>J166</f>
        <v>0</v>
      </c>
      <c r="K646" s="421">
        <f t="shared" ref="K646:Y646" si="226">K166</f>
        <v>0</v>
      </c>
      <c r="L646" s="421">
        <f t="shared" si="226"/>
        <v>0</v>
      </c>
      <c r="M646" s="421">
        <f t="shared" si="226"/>
        <v>0</v>
      </c>
      <c r="N646" s="421">
        <f t="shared" si="226"/>
        <v>12</v>
      </c>
      <c r="O646" s="421">
        <f t="shared" si="226"/>
        <v>0</v>
      </c>
      <c r="P646" s="421">
        <f t="shared" si="226"/>
        <v>12</v>
      </c>
      <c r="Q646" s="421">
        <f t="shared" si="226"/>
        <v>0</v>
      </c>
      <c r="R646" s="421">
        <f t="shared" si="226"/>
        <v>0</v>
      </c>
      <c r="S646" s="421">
        <f t="shared" si="226"/>
        <v>0</v>
      </c>
      <c r="T646" s="421">
        <f t="shared" si="226"/>
        <v>0</v>
      </c>
      <c r="U646" s="421">
        <f t="shared" si="226"/>
        <v>0</v>
      </c>
      <c r="V646" s="421">
        <f t="shared" si="226"/>
        <v>0</v>
      </c>
      <c r="W646" s="421">
        <f t="shared" si="226"/>
        <v>0</v>
      </c>
      <c r="X646" s="421">
        <f t="shared" si="226"/>
        <v>0</v>
      </c>
      <c r="Y646" s="421">
        <f t="shared" si="226"/>
        <v>0</v>
      </c>
      <c r="AQ646" s="19"/>
    </row>
    <row r="647" spans="5:43" x14ac:dyDescent="0.25">
      <c r="E647" s="37"/>
      <c r="F647" s="84" t="s">
        <v>1094</v>
      </c>
      <c r="G647" t="s">
        <v>169</v>
      </c>
      <c r="J647" s="421">
        <f>J175</f>
        <v>0</v>
      </c>
      <c r="K647" s="421">
        <f t="shared" ref="K647:Y647" si="227">K175</f>
        <v>0</v>
      </c>
      <c r="L647" s="421">
        <f t="shared" si="227"/>
        <v>0</v>
      </c>
      <c r="M647" s="421">
        <f t="shared" si="227"/>
        <v>0</v>
      </c>
      <c r="N647" s="421">
        <f t="shared" si="227"/>
        <v>39</v>
      </c>
      <c r="O647" s="421">
        <f t="shared" si="227"/>
        <v>0</v>
      </c>
      <c r="P647" s="421">
        <f t="shared" si="227"/>
        <v>17</v>
      </c>
      <c r="Q647" s="421">
        <f t="shared" si="227"/>
        <v>0</v>
      </c>
      <c r="R647" s="421">
        <f t="shared" si="227"/>
        <v>0</v>
      </c>
      <c r="S647" s="421">
        <f t="shared" si="227"/>
        <v>0</v>
      </c>
      <c r="T647" s="421">
        <f t="shared" si="227"/>
        <v>0</v>
      </c>
      <c r="U647" s="421">
        <f t="shared" si="227"/>
        <v>0</v>
      </c>
      <c r="V647" s="421">
        <f t="shared" si="227"/>
        <v>0</v>
      </c>
      <c r="W647" s="421">
        <f t="shared" si="227"/>
        <v>0</v>
      </c>
      <c r="X647" s="421">
        <f t="shared" si="227"/>
        <v>0</v>
      </c>
      <c r="Y647" s="421">
        <f t="shared" si="227"/>
        <v>0</v>
      </c>
      <c r="AQ647" s="19"/>
    </row>
    <row r="648" spans="5:43" x14ac:dyDescent="0.25">
      <c r="E648" s="37"/>
      <c r="F648" s="84" t="s">
        <v>1095</v>
      </c>
      <c r="G648" t="s">
        <v>169</v>
      </c>
      <c r="J648" s="213">
        <f>J184</f>
        <v>0</v>
      </c>
      <c r="K648" s="213">
        <f t="shared" ref="K648:Y648" si="228">K184</f>
        <v>0</v>
      </c>
      <c r="L648" s="213">
        <f t="shared" si="228"/>
        <v>0</v>
      </c>
      <c r="M648" s="213">
        <f t="shared" si="228"/>
        <v>0</v>
      </c>
      <c r="N648" s="213">
        <f t="shared" si="228"/>
        <v>45</v>
      </c>
      <c r="O648" s="213">
        <f t="shared" si="228"/>
        <v>0</v>
      </c>
      <c r="P648" s="213">
        <f t="shared" si="228"/>
        <v>51</v>
      </c>
      <c r="Q648" s="213">
        <f t="shared" si="228"/>
        <v>0</v>
      </c>
      <c r="R648" s="213">
        <f t="shared" si="228"/>
        <v>0</v>
      </c>
      <c r="S648" s="213">
        <f t="shared" si="228"/>
        <v>0</v>
      </c>
      <c r="T648" s="213">
        <f t="shared" si="228"/>
        <v>0</v>
      </c>
      <c r="U648" s="213">
        <f t="shared" si="228"/>
        <v>0</v>
      </c>
      <c r="V648" s="213">
        <f t="shared" si="228"/>
        <v>0</v>
      </c>
      <c r="W648" s="213">
        <f t="shared" si="228"/>
        <v>0</v>
      </c>
      <c r="X648" s="213">
        <f t="shared" si="228"/>
        <v>0</v>
      </c>
      <c r="Y648" s="213">
        <f t="shared" si="228"/>
        <v>0</v>
      </c>
      <c r="AQ648" s="19"/>
    </row>
    <row r="649" spans="5:43" x14ac:dyDescent="0.25">
      <c r="E649" s="37"/>
      <c r="F649" s="84" t="s">
        <v>1096</v>
      </c>
      <c r="G649" t="s">
        <v>169</v>
      </c>
      <c r="J649" s="213">
        <f>J193</f>
        <v>0</v>
      </c>
      <c r="K649" s="213">
        <f t="shared" ref="K649:Y649" si="229">K193</f>
        <v>0</v>
      </c>
      <c r="L649" s="213">
        <f t="shared" si="229"/>
        <v>0</v>
      </c>
      <c r="M649" s="213">
        <f t="shared" si="229"/>
        <v>0</v>
      </c>
      <c r="N649" s="213">
        <f t="shared" si="229"/>
        <v>165</v>
      </c>
      <c r="O649" s="213">
        <f t="shared" si="229"/>
        <v>6</v>
      </c>
      <c r="P649" s="213">
        <f t="shared" si="229"/>
        <v>85</v>
      </c>
      <c r="Q649" s="213">
        <f t="shared" si="229"/>
        <v>0</v>
      </c>
      <c r="R649" s="213">
        <f t="shared" si="229"/>
        <v>0</v>
      </c>
      <c r="S649" s="213">
        <f t="shared" si="229"/>
        <v>0</v>
      </c>
      <c r="T649" s="213">
        <f t="shared" si="229"/>
        <v>0</v>
      </c>
      <c r="U649" s="213">
        <f t="shared" si="229"/>
        <v>0</v>
      </c>
      <c r="V649" s="213">
        <f t="shared" si="229"/>
        <v>0</v>
      </c>
      <c r="W649" s="213">
        <f t="shared" si="229"/>
        <v>0</v>
      </c>
      <c r="X649" s="213">
        <f t="shared" si="229"/>
        <v>0</v>
      </c>
      <c r="Y649" s="213">
        <f t="shared" si="229"/>
        <v>0</v>
      </c>
      <c r="AQ649" s="19"/>
    </row>
    <row r="650" spans="5:43" x14ac:dyDescent="0.25">
      <c r="E650" s="37" t="s">
        <v>204</v>
      </c>
      <c r="F650" s="84"/>
      <c r="J650" s="128"/>
      <c r="K650" s="128"/>
      <c r="L650" s="128"/>
      <c r="M650" s="128"/>
      <c r="N650" s="128"/>
      <c r="O650" s="128"/>
      <c r="P650" s="128"/>
      <c r="Q650" s="128"/>
      <c r="R650" s="128"/>
      <c r="S650" s="128"/>
      <c r="T650" s="128"/>
      <c r="U650" s="128"/>
      <c r="V650" s="128"/>
      <c r="W650" s="128"/>
      <c r="X650" s="128"/>
      <c r="Y650" s="128"/>
      <c r="AQ650" s="19"/>
    </row>
    <row r="651" spans="5:43" x14ac:dyDescent="0.25">
      <c r="E651" s="37"/>
      <c r="F651" s="84" t="s">
        <v>1060</v>
      </c>
      <c r="G651" t="s">
        <v>170</v>
      </c>
      <c r="J651" s="217">
        <f>J158</f>
        <v>0</v>
      </c>
      <c r="K651" s="217">
        <f t="shared" ref="K651:Y651" si="230">K158</f>
        <v>0</v>
      </c>
      <c r="L651" s="217">
        <f t="shared" si="230"/>
        <v>0</v>
      </c>
      <c r="M651" s="217">
        <f t="shared" si="230"/>
        <v>0</v>
      </c>
      <c r="N651" s="217">
        <f t="shared" si="230"/>
        <v>0</v>
      </c>
      <c r="O651" s="217">
        <f t="shared" si="230"/>
        <v>0</v>
      </c>
      <c r="P651" s="217">
        <f t="shared" si="230"/>
        <v>0</v>
      </c>
      <c r="Q651" s="217">
        <f t="shared" si="230"/>
        <v>0</v>
      </c>
      <c r="R651" s="217">
        <f t="shared" si="230"/>
        <v>0</v>
      </c>
      <c r="S651" s="217">
        <f t="shared" si="230"/>
        <v>0</v>
      </c>
      <c r="T651" s="217">
        <f t="shared" si="230"/>
        <v>0</v>
      </c>
      <c r="U651" s="217">
        <f t="shared" si="230"/>
        <v>0</v>
      </c>
      <c r="V651" s="217">
        <f t="shared" si="230"/>
        <v>0</v>
      </c>
      <c r="W651" s="217">
        <f t="shared" si="230"/>
        <v>0</v>
      </c>
      <c r="X651" s="217">
        <f t="shared" si="230"/>
        <v>0</v>
      </c>
      <c r="Y651" s="217">
        <f t="shared" si="230"/>
        <v>0</v>
      </c>
      <c r="AQ651" s="19"/>
    </row>
    <row r="652" spans="5:43" x14ac:dyDescent="0.25">
      <c r="E652" s="37"/>
      <c r="F652" s="84" t="s">
        <v>1093</v>
      </c>
      <c r="G652" t="s">
        <v>170</v>
      </c>
      <c r="J652" s="421">
        <f>J167</f>
        <v>0</v>
      </c>
      <c r="K652" s="421">
        <f t="shared" ref="K652:Y652" si="231">K167</f>
        <v>0</v>
      </c>
      <c r="L652" s="421">
        <f t="shared" si="231"/>
        <v>0</v>
      </c>
      <c r="M652" s="421">
        <f t="shared" si="231"/>
        <v>0</v>
      </c>
      <c r="N652" s="421">
        <f t="shared" si="231"/>
        <v>335.12900000000002</v>
      </c>
      <c r="O652" s="421">
        <f t="shared" si="231"/>
        <v>0</v>
      </c>
      <c r="P652" s="421">
        <f t="shared" si="231"/>
        <v>139.03299999999999</v>
      </c>
      <c r="Q652" s="421">
        <f t="shared" si="231"/>
        <v>0</v>
      </c>
      <c r="R652" s="421">
        <f t="shared" si="231"/>
        <v>0</v>
      </c>
      <c r="S652" s="421">
        <f t="shared" si="231"/>
        <v>0</v>
      </c>
      <c r="T652" s="421">
        <f t="shared" si="231"/>
        <v>0</v>
      </c>
      <c r="U652" s="421">
        <f t="shared" si="231"/>
        <v>0</v>
      </c>
      <c r="V652" s="421">
        <f t="shared" si="231"/>
        <v>0</v>
      </c>
      <c r="W652" s="421">
        <f t="shared" si="231"/>
        <v>0</v>
      </c>
      <c r="X652" s="421">
        <f t="shared" si="231"/>
        <v>0</v>
      </c>
      <c r="Y652" s="421">
        <f t="shared" si="231"/>
        <v>0</v>
      </c>
      <c r="AQ652" s="19"/>
    </row>
    <row r="653" spans="5:43" x14ac:dyDescent="0.25">
      <c r="E653" s="37"/>
      <c r="F653" s="84" t="s">
        <v>1094</v>
      </c>
      <c r="G653" t="s">
        <v>170</v>
      </c>
      <c r="J653" s="421">
        <f>J176</f>
        <v>0</v>
      </c>
      <c r="K653" s="421">
        <f t="shared" ref="K653:Y653" si="232">K176</f>
        <v>0</v>
      </c>
      <c r="L653" s="421">
        <f t="shared" si="232"/>
        <v>0</v>
      </c>
      <c r="M653" s="421">
        <f t="shared" si="232"/>
        <v>0</v>
      </c>
      <c r="N653" s="421">
        <f t="shared" si="232"/>
        <v>1093.9659999999999</v>
      </c>
      <c r="O653" s="421">
        <f t="shared" si="232"/>
        <v>26.922000000000001</v>
      </c>
      <c r="P653" s="421">
        <f t="shared" si="232"/>
        <v>187.28700000000001</v>
      </c>
      <c r="Q653" s="421">
        <f t="shared" si="232"/>
        <v>0</v>
      </c>
      <c r="R653" s="421">
        <f t="shared" si="232"/>
        <v>0</v>
      </c>
      <c r="S653" s="421">
        <f t="shared" si="232"/>
        <v>0</v>
      </c>
      <c r="T653" s="421">
        <f t="shared" si="232"/>
        <v>0</v>
      </c>
      <c r="U653" s="421">
        <f t="shared" si="232"/>
        <v>0</v>
      </c>
      <c r="V653" s="421">
        <f t="shared" si="232"/>
        <v>0</v>
      </c>
      <c r="W653" s="421">
        <f t="shared" si="232"/>
        <v>0</v>
      </c>
      <c r="X653" s="421">
        <f t="shared" si="232"/>
        <v>0</v>
      </c>
      <c r="Y653" s="421">
        <f t="shared" si="232"/>
        <v>0</v>
      </c>
      <c r="AQ653" s="19"/>
    </row>
    <row r="654" spans="5:43" x14ac:dyDescent="0.25">
      <c r="E654" s="37"/>
      <c r="F654" s="84" t="s">
        <v>1095</v>
      </c>
      <c r="G654" t="s">
        <v>170</v>
      </c>
      <c r="J654" s="213">
        <f>J185</f>
        <v>0</v>
      </c>
      <c r="K654" s="213">
        <f t="shared" ref="K654:Y654" si="233">K185</f>
        <v>0</v>
      </c>
      <c r="L654" s="213">
        <f t="shared" si="233"/>
        <v>0</v>
      </c>
      <c r="M654" s="213">
        <f t="shared" si="233"/>
        <v>0</v>
      </c>
      <c r="N654" s="213">
        <f t="shared" si="233"/>
        <v>1251.598</v>
      </c>
      <c r="O654" s="213">
        <f t="shared" si="233"/>
        <v>18.524000000000001</v>
      </c>
      <c r="P654" s="213">
        <f t="shared" si="233"/>
        <v>577.82799999999997</v>
      </c>
      <c r="Q654" s="213">
        <f t="shared" si="233"/>
        <v>0</v>
      </c>
      <c r="R654" s="213">
        <f t="shared" si="233"/>
        <v>0</v>
      </c>
      <c r="S654" s="213">
        <f t="shared" si="233"/>
        <v>0</v>
      </c>
      <c r="T654" s="213">
        <f t="shared" si="233"/>
        <v>0</v>
      </c>
      <c r="U654" s="213">
        <f t="shared" si="233"/>
        <v>0</v>
      </c>
      <c r="V654" s="213">
        <f t="shared" si="233"/>
        <v>0</v>
      </c>
      <c r="W654" s="213">
        <f t="shared" si="233"/>
        <v>0</v>
      </c>
      <c r="X654" s="213">
        <f t="shared" si="233"/>
        <v>0</v>
      </c>
      <c r="Y654" s="213">
        <f t="shared" si="233"/>
        <v>0</v>
      </c>
      <c r="AQ654" s="19"/>
    </row>
    <row r="655" spans="5:43" x14ac:dyDescent="0.25">
      <c r="E655" s="34"/>
      <c r="F655" s="422" t="s">
        <v>1096</v>
      </c>
      <c r="G655" s="17" t="s">
        <v>170</v>
      </c>
      <c r="H655" s="17"/>
      <c r="I655" s="17"/>
      <c r="J655" s="421">
        <f>J194</f>
        <v>0</v>
      </c>
      <c r="K655" s="421">
        <f t="shared" ref="K655:Y655" si="234">K194</f>
        <v>0</v>
      </c>
      <c r="L655" s="421">
        <f t="shared" si="234"/>
        <v>0</v>
      </c>
      <c r="M655" s="421">
        <f t="shared" si="234"/>
        <v>0</v>
      </c>
      <c r="N655" s="421">
        <f t="shared" si="234"/>
        <v>4594.5749999999998</v>
      </c>
      <c r="O655" s="421">
        <f t="shared" si="234"/>
        <v>1707.8620000000001</v>
      </c>
      <c r="P655" s="421">
        <f t="shared" si="234"/>
        <v>963.04600000000005</v>
      </c>
      <c r="Q655" s="421">
        <f t="shared" si="234"/>
        <v>0</v>
      </c>
      <c r="R655" s="421">
        <f t="shared" si="234"/>
        <v>0</v>
      </c>
      <c r="S655" s="421">
        <f t="shared" si="234"/>
        <v>0</v>
      </c>
      <c r="T655" s="421">
        <f t="shared" si="234"/>
        <v>0</v>
      </c>
      <c r="U655" s="421">
        <f t="shared" si="234"/>
        <v>0</v>
      </c>
      <c r="V655" s="421">
        <f t="shared" si="234"/>
        <v>0</v>
      </c>
      <c r="W655" s="421">
        <f t="shared" si="234"/>
        <v>0</v>
      </c>
      <c r="X655" s="421">
        <f t="shared" si="234"/>
        <v>0</v>
      </c>
      <c r="Y655" s="421">
        <f t="shared" si="234"/>
        <v>0</v>
      </c>
      <c r="AQ655" s="19"/>
    </row>
    <row r="656" spans="5:43" x14ac:dyDescent="0.25">
      <c r="AQ656" s="19"/>
    </row>
    <row r="657" spans="3:43" x14ac:dyDescent="0.25">
      <c r="C657" s="5" t="str">
        <f ca="1">INDEX('Version control'!$H$36:$H$62,MATCH($A$1,'Version control'!$F$36:$F$62,0),1)&amp;"-K: Non-domestic aggregated (related MPAN) distribution across bands"</f>
        <v>Section 507-K: Non-domestic aggregated (related MPAN) distribution across bands</v>
      </c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Q657" s="19"/>
    </row>
    <row r="658" spans="3:43" x14ac:dyDescent="0.25">
      <c r="AQ658" s="19"/>
    </row>
    <row r="659" spans="3:43" x14ac:dyDescent="0.25">
      <c r="D659" s="73" t="s">
        <v>1097</v>
      </c>
      <c r="I659" t="s">
        <v>359</v>
      </c>
      <c r="AA659" t="s">
        <v>1233</v>
      </c>
      <c r="AQ659" s="19"/>
    </row>
    <row r="660" spans="3:43" x14ac:dyDescent="0.25">
      <c r="D660" s="73" t="s">
        <v>1098</v>
      </c>
      <c r="AQ660" s="19"/>
    </row>
    <row r="661" spans="3:43" x14ac:dyDescent="0.25">
      <c r="D661" s="73" t="s">
        <v>1099</v>
      </c>
      <c r="AQ661" s="19"/>
    </row>
    <row r="662" spans="3:43" x14ac:dyDescent="0.25">
      <c r="D662" s="73" t="s">
        <v>1100</v>
      </c>
      <c r="AQ662" s="19"/>
    </row>
    <row r="663" spans="3:43" x14ac:dyDescent="0.25">
      <c r="AQ663" s="19"/>
    </row>
    <row r="664" spans="3:43" x14ac:dyDescent="0.25">
      <c r="E664" s="52" t="s">
        <v>1059</v>
      </c>
      <c r="J664" s="423" t="s">
        <v>1060</v>
      </c>
      <c r="K664" s="423" t="s">
        <v>1061</v>
      </c>
      <c r="L664" s="423" t="s">
        <v>1062</v>
      </c>
      <c r="M664" s="423" t="s">
        <v>1063</v>
      </c>
      <c r="N664" s="423" t="s">
        <v>1064</v>
      </c>
      <c r="AQ664" s="19"/>
    </row>
    <row r="665" spans="3:43" x14ac:dyDescent="0.25">
      <c r="E665" s="52"/>
      <c r="F665" s="80" t="s">
        <v>199</v>
      </c>
      <c r="G665" s="80" t="s">
        <v>94</v>
      </c>
      <c r="H665" s="80"/>
      <c r="I665" s="80"/>
      <c r="J665" s="424">
        <f>'Inputs by customer type'!J172</f>
        <v>0</v>
      </c>
      <c r="K665" s="424">
        <f>'Inputs by customer type'!K172</f>
        <v>8.4363128002655496E-2</v>
      </c>
      <c r="L665" s="424">
        <f>'Inputs by customer type'!L172</f>
        <v>0.15242182843567806</v>
      </c>
      <c r="M665" s="424">
        <f>'Inputs by customer type'!M172</f>
        <v>0.18978830708420621</v>
      </c>
      <c r="N665" s="424">
        <f>'Inputs by customer type'!N172</f>
        <v>0.57342673647746012</v>
      </c>
      <c r="AQ665" s="19"/>
    </row>
    <row r="666" spans="3:43" x14ac:dyDescent="0.25">
      <c r="E666" s="52"/>
      <c r="F666" t="s">
        <v>200</v>
      </c>
      <c r="G666" t="s">
        <v>94</v>
      </c>
      <c r="J666" s="425">
        <f>'Inputs by customer type'!J173</f>
        <v>0</v>
      </c>
      <c r="K666" s="425">
        <f>'Inputs by customer type'!K173</f>
        <v>8.4363128002655496E-2</v>
      </c>
      <c r="L666" s="425">
        <f>'Inputs by customer type'!L173</f>
        <v>0.15242182843567806</v>
      </c>
      <c r="M666" s="425">
        <f>'Inputs by customer type'!M173</f>
        <v>0.18978830708420621</v>
      </c>
      <c r="N666" s="425">
        <f>'Inputs by customer type'!N173</f>
        <v>0.57342673647746012</v>
      </c>
      <c r="AQ666" s="19"/>
    </row>
    <row r="667" spans="3:43" x14ac:dyDescent="0.25">
      <c r="E667" s="52"/>
      <c r="F667" s="17" t="s">
        <v>201</v>
      </c>
      <c r="G667" s="17" t="s">
        <v>94</v>
      </c>
      <c r="H667" s="17"/>
      <c r="I667" s="17"/>
      <c r="J667" s="426">
        <f>'Inputs by customer type'!J174</f>
        <v>0</v>
      </c>
      <c r="K667" s="426">
        <f>'Inputs by customer type'!K174</f>
        <v>8.4363128002655496E-2</v>
      </c>
      <c r="L667" s="426">
        <f>'Inputs by customer type'!L174</f>
        <v>0.15242182843567806</v>
      </c>
      <c r="M667" s="426">
        <f>'Inputs by customer type'!M174</f>
        <v>0.18978830708420621</v>
      </c>
      <c r="N667" s="426">
        <f>'Inputs by customer type'!N174</f>
        <v>0.57342673647746012</v>
      </c>
      <c r="AQ667" s="19"/>
    </row>
    <row r="668" spans="3:43" x14ac:dyDescent="0.25">
      <c r="E668" s="52"/>
      <c r="AQ668" s="19"/>
    </row>
    <row r="669" spans="3:43" x14ac:dyDescent="0.25">
      <c r="E669" s="52" t="s">
        <v>1065</v>
      </c>
      <c r="J669" s="423" t="s">
        <v>1060</v>
      </c>
      <c r="K669" s="423" t="s">
        <v>1061</v>
      </c>
      <c r="L669" s="423" t="s">
        <v>1062</v>
      </c>
      <c r="M669" s="423" t="s">
        <v>1063</v>
      </c>
      <c r="N669" s="423" t="s">
        <v>1064</v>
      </c>
      <c r="AQ669" s="19"/>
    </row>
    <row r="670" spans="3:43" x14ac:dyDescent="0.25">
      <c r="E670" s="52"/>
      <c r="F670" s="80" t="s">
        <v>199</v>
      </c>
      <c r="G670" s="80" t="s">
        <v>94</v>
      </c>
      <c r="H670" s="80"/>
      <c r="I670" s="80"/>
      <c r="J670" s="424">
        <f>'Inputs by customer type'!J177</f>
        <v>0</v>
      </c>
      <c r="K670" s="424">
        <f>'Inputs by customer type'!K177</f>
        <v>0.20815298064635118</v>
      </c>
      <c r="L670" s="424">
        <f>'Inputs by customer type'!L177</f>
        <v>0.27613151280383996</v>
      </c>
      <c r="M670" s="424">
        <f>'Inputs by customer type'!M177</f>
        <v>0.19270967326144897</v>
      </c>
      <c r="N670" s="424">
        <f>'Inputs by customer type'!N177</f>
        <v>0.32300583328835969</v>
      </c>
      <c r="AQ670" s="19"/>
    </row>
    <row r="671" spans="3:43" x14ac:dyDescent="0.25">
      <c r="E671" s="52"/>
      <c r="F671" t="s">
        <v>200</v>
      </c>
      <c r="G671" t="s">
        <v>94</v>
      </c>
      <c r="J671" s="425">
        <f>'Inputs by customer type'!J178</f>
        <v>0</v>
      </c>
      <c r="K671" s="425">
        <f>'Inputs by customer type'!K178</f>
        <v>0.20815298064635118</v>
      </c>
      <c r="L671" s="425">
        <f>'Inputs by customer type'!L178</f>
        <v>0.27613151280383996</v>
      </c>
      <c r="M671" s="425">
        <f>'Inputs by customer type'!M178</f>
        <v>0.19270967326144897</v>
      </c>
      <c r="N671" s="425">
        <f>'Inputs by customer type'!N178</f>
        <v>0.32300583328835969</v>
      </c>
      <c r="AQ671" s="19"/>
    </row>
    <row r="672" spans="3:43" x14ac:dyDescent="0.25">
      <c r="E672" s="52"/>
      <c r="F672" s="17" t="s">
        <v>201</v>
      </c>
      <c r="G672" s="17" t="s">
        <v>94</v>
      </c>
      <c r="H672" s="17"/>
      <c r="I672" s="17"/>
      <c r="J672" s="426">
        <f>'Inputs by customer type'!J179</f>
        <v>0</v>
      </c>
      <c r="K672" s="426">
        <f>'Inputs by customer type'!K179</f>
        <v>0.20815298064635118</v>
      </c>
      <c r="L672" s="426">
        <f>'Inputs by customer type'!L179</f>
        <v>0.27613151280383996</v>
      </c>
      <c r="M672" s="426">
        <f>'Inputs by customer type'!M179</f>
        <v>0.19270967326144897</v>
      </c>
      <c r="N672" s="426">
        <f>'Inputs by customer type'!N179</f>
        <v>0.32300583328835969</v>
      </c>
      <c r="AQ672" s="19"/>
    </row>
    <row r="673" spans="5:43" x14ac:dyDescent="0.25">
      <c r="E673" s="52"/>
      <c r="AQ673" s="19"/>
    </row>
    <row r="674" spans="5:43" x14ac:dyDescent="0.25">
      <c r="E674" s="52" t="s">
        <v>1066</v>
      </c>
      <c r="J674" s="423" t="s">
        <v>1060</v>
      </c>
      <c r="K674" s="423" t="s">
        <v>1061</v>
      </c>
      <c r="L674" s="423" t="s">
        <v>1062</v>
      </c>
      <c r="M674" s="423" t="s">
        <v>1063</v>
      </c>
      <c r="N674" s="423" t="s">
        <v>1064</v>
      </c>
      <c r="AQ674" s="19"/>
    </row>
    <row r="675" spans="5:43" x14ac:dyDescent="0.25">
      <c r="F675" s="80" t="s">
        <v>199</v>
      </c>
      <c r="G675" s="80" t="s">
        <v>94</v>
      </c>
      <c r="H675" s="80"/>
      <c r="I675" s="80"/>
      <c r="J675" s="424">
        <f>'Inputs by customer type'!J182</f>
        <v>0</v>
      </c>
      <c r="K675" s="424">
        <f>'Inputs by customer type'!K182</f>
        <v>9.6678573594067993E-2</v>
      </c>
      <c r="L675" s="424">
        <f>'Inputs by customer type'!L182</f>
        <v>0.15226788856971082</v>
      </c>
      <c r="M675" s="424">
        <f>'Inputs by customer type'!M182</f>
        <v>0.24073066324937284</v>
      </c>
      <c r="N675" s="424">
        <f>'Inputs by customer type'!N182</f>
        <v>0.51032287458684833</v>
      </c>
      <c r="AQ675" s="19"/>
    </row>
    <row r="676" spans="5:43" x14ac:dyDescent="0.25">
      <c r="F676" t="s">
        <v>200</v>
      </c>
      <c r="G676" t="s">
        <v>94</v>
      </c>
      <c r="J676" s="425">
        <f>'Inputs by customer type'!J183</f>
        <v>0</v>
      </c>
      <c r="K676" s="425">
        <f>'Inputs by customer type'!K183</f>
        <v>9.6678573594067993E-2</v>
      </c>
      <c r="L676" s="425">
        <f>'Inputs by customer type'!L183</f>
        <v>0.15226788856971082</v>
      </c>
      <c r="M676" s="425">
        <f>'Inputs by customer type'!M183</f>
        <v>0.24073066324937284</v>
      </c>
      <c r="N676" s="425">
        <f>'Inputs by customer type'!N183</f>
        <v>0.51032287458684833</v>
      </c>
      <c r="AQ676" s="19"/>
    </row>
    <row r="677" spans="5:43" x14ac:dyDescent="0.25">
      <c r="F677" s="17" t="s">
        <v>201</v>
      </c>
      <c r="G677" s="17" t="s">
        <v>94</v>
      </c>
      <c r="H677" s="17"/>
      <c r="I677" s="17"/>
      <c r="J677" s="426">
        <f>'Inputs by customer type'!J184</f>
        <v>0</v>
      </c>
      <c r="K677" s="426">
        <f>'Inputs by customer type'!K184</f>
        <v>9.6678573594067993E-2</v>
      </c>
      <c r="L677" s="426">
        <f>'Inputs by customer type'!L184</f>
        <v>0.15226788856971082</v>
      </c>
      <c r="M677" s="426">
        <f>'Inputs by customer type'!M184</f>
        <v>0.24073066324937284</v>
      </c>
      <c r="N677" s="426">
        <f>'Inputs by customer type'!N184</f>
        <v>0.51032287458684833</v>
      </c>
      <c r="AQ677" s="19"/>
    </row>
    <row r="678" spans="5:43" x14ac:dyDescent="0.25">
      <c r="AQ678" s="19"/>
    </row>
    <row r="679" spans="5:43" x14ac:dyDescent="0.25">
      <c r="E679" s="52" t="s">
        <v>1101</v>
      </c>
      <c r="J679" s="423" t="s">
        <v>1060</v>
      </c>
      <c r="K679" s="423" t="s">
        <v>1061</v>
      </c>
      <c r="L679" s="423" t="s">
        <v>1062</v>
      </c>
      <c r="M679" s="423" t="s">
        <v>1063</v>
      </c>
      <c r="N679" s="423" t="s">
        <v>1064</v>
      </c>
      <c r="AQ679" s="19"/>
    </row>
    <row r="680" spans="5:43" x14ac:dyDescent="0.25">
      <c r="F680" s="80" t="s">
        <v>199</v>
      </c>
      <c r="G680" s="80" t="s">
        <v>120</v>
      </c>
      <c r="H680" s="80"/>
      <c r="I680" s="80"/>
      <c r="J680" s="427">
        <f t="shared" ref="J680:N682" si="235" xml:space="preserve"> $M58 * J665  + $M105 * J670 + $M152 * J675</f>
        <v>0</v>
      </c>
      <c r="K680" s="427">
        <f t="shared" si="235"/>
        <v>50.324457359632738</v>
      </c>
      <c r="L680" s="427">
        <f t="shared" si="235"/>
        <v>90.922965842934275</v>
      </c>
      <c r="M680" s="427">
        <f t="shared" si="235"/>
        <v>113.21289043378505</v>
      </c>
      <c r="N680" s="427">
        <f t="shared" si="235"/>
        <v>342.0616332270771</v>
      </c>
      <c r="AQ680" s="19"/>
    </row>
    <row r="681" spans="5:43" x14ac:dyDescent="0.25">
      <c r="F681" t="s">
        <v>200</v>
      </c>
      <c r="G681" t="s">
        <v>120</v>
      </c>
      <c r="J681" s="428">
        <f t="shared" si="235"/>
        <v>0</v>
      </c>
      <c r="K681" s="428">
        <f t="shared" si="235"/>
        <v>748.51016047928715</v>
      </c>
      <c r="L681" s="428">
        <f t="shared" si="235"/>
        <v>1352.3596144911148</v>
      </c>
      <c r="M681" s="428">
        <f t="shared" si="235"/>
        <v>1683.8929465514823</v>
      </c>
      <c r="N681" s="428">
        <f t="shared" si="235"/>
        <v>5087.7172137375837</v>
      </c>
      <c r="AQ681" s="19"/>
    </row>
    <row r="682" spans="5:43" x14ac:dyDescent="0.25">
      <c r="F682" s="17" t="s">
        <v>201</v>
      </c>
      <c r="G682" s="17" t="s">
        <v>120</v>
      </c>
      <c r="H682" s="17"/>
      <c r="I682" s="17"/>
      <c r="J682" s="429">
        <f t="shared" si="235"/>
        <v>0</v>
      </c>
      <c r="K682" s="429">
        <f t="shared" si="235"/>
        <v>3024.4728028220038</v>
      </c>
      <c r="L682" s="429">
        <f t="shared" si="235"/>
        <v>5464.4213126568648</v>
      </c>
      <c r="M682" s="429">
        <f t="shared" si="235"/>
        <v>6804.0337841876162</v>
      </c>
      <c r="N682" s="429">
        <f t="shared" si="235"/>
        <v>20557.72006026694</v>
      </c>
      <c r="AQ682" s="19"/>
    </row>
    <row r="683" spans="5:43" x14ac:dyDescent="0.25">
      <c r="J683" s="211"/>
      <c r="K683" s="211"/>
      <c r="L683" s="211"/>
      <c r="M683" s="211"/>
      <c r="N683" s="211"/>
      <c r="AQ683" s="19"/>
    </row>
    <row r="684" spans="5:43" x14ac:dyDescent="0.25">
      <c r="J684" s="430" t="s">
        <v>1060</v>
      </c>
      <c r="K684" s="430" t="s">
        <v>1061</v>
      </c>
      <c r="L684" s="430" t="s">
        <v>1062</v>
      </c>
      <c r="M684" s="430" t="s">
        <v>1063</v>
      </c>
      <c r="N684" s="430" t="s">
        <v>1064</v>
      </c>
      <c r="AQ684" s="19"/>
    </row>
    <row r="685" spans="5:43" x14ac:dyDescent="0.25">
      <c r="E685" s="320" t="s">
        <v>1102</v>
      </c>
      <c r="G685" t="s">
        <v>120</v>
      </c>
      <c r="J685" s="211">
        <f>SUM(J680:J682)</f>
        <v>0</v>
      </c>
      <c r="K685" s="211">
        <f>SUM(K680:K682)</f>
        <v>3823.3074206609235</v>
      </c>
      <c r="L685" s="211">
        <f t="shared" ref="L685:N685" si="236">SUM(L680:L682)</f>
        <v>6907.703892990914</v>
      </c>
      <c r="M685" s="211">
        <f t="shared" si="236"/>
        <v>8601.1396211728843</v>
      </c>
      <c r="N685" s="211">
        <f t="shared" si="236"/>
        <v>25987.498907231602</v>
      </c>
      <c r="AQ685" s="19"/>
    </row>
    <row r="686" spans="5:43" x14ac:dyDescent="0.25">
      <c r="J686" s="211"/>
      <c r="K686" s="211"/>
      <c r="L686" s="211"/>
      <c r="M686" s="211"/>
      <c r="N686" s="211"/>
      <c r="AQ686" s="19"/>
    </row>
    <row r="687" spans="5:43" x14ac:dyDescent="0.25">
      <c r="E687" t="s">
        <v>1103</v>
      </c>
      <c r="G687" t="s">
        <v>120</v>
      </c>
      <c r="H687" s="211">
        <f>SUM(J685:N685)</f>
        <v>45319.649842056322</v>
      </c>
      <c r="AQ687" s="19"/>
    </row>
    <row r="688" spans="5:43" x14ac:dyDescent="0.25">
      <c r="J688" s="430" t="s">
        <v>1060</v>
      </c>
      <c r="K688" s="430" t="s">
        <v>1061</v>
      </c>
      <c r="L688" s="430" t="s">
        <v>1062</v>
      </c>
      <c r="M688" s="430" t="s">
        <v>1063</v>
      </c>
      <c r="N688" s="430" t="s">
        <v>1064</v>
      </c>
      <c r="AQ688" s="19"/>
    </row>
    <row r="689" spans="2:43" x14ac:dyDescent="0.25">
      <c r="E689" s="320" t="s">
        <v>1101</v>
      </c>
      <c r="G689" t="s">
        <v>94</v>
      </c>
      <c r="J689" s="15">
        <f>IF($H687 &lt;&gt; 0, J685/$H687, 0)</f>
        <v>0</v>
      </c>
      <c r="K689" s="15">
        <f>IF($H687 &lt;&gt; 0, K685/$H687, 0)</f>
        <v>8.4363128002655496E-2</v>
      </c>
      <c r="L689" s="15">
        <f>IF($H687 &lt;&gt; 0, L685/$H687, 0)</f>
        <v>0.15242182843567809</v>
      </c>
      <c r="M689" s="15">
        <f>IF($H687 &lt;&gt; 0, M685/$H687, 0)</f>
        <v>0.18978830708420624</v>
      </c>
      <c r="N689" s="15">
        <f>IF($H687 &lt;&gt; 0, N685/$H687, 0)</f>
        <v>0.57342673647746023</v>
      </c>
      <c r="AQ689" s="19"/>
    </row>
    <row r="690" spans="2:43" x14ac:dyDescent="0.25">
      <c r="AQ690" s="19"/>
    </row>
    <row r="691" spans="2:43" x14ac:dyDescent="0.25">
      <c r="B691" s="82" t="s">
        <v>109</v>
      </c>
      <c r="C691" s="82"/>
      <c r="D691" s="82"/>
      <c r="E691" s="82"/>
      <c r="F691" s="82"/>
      <c r="G691" s="82"/>
      <c r="H691" s="82"/>
      <c r="I691" s="82"/>
      <c r="J691" s="82"/>
      <c r="K691" s="82"/>
      <c r="L691" s="82"/>
      <c r="M691" s="82"/>
      <c r="N691" s="82"/>
      <c r="O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C691" s="82"/>
      <c r="AD691" s="82"/>
      <c r="AE691" s="82"/>
      <c r="AF691" s="82"/>
      <c r="AG691" s="82"/>
      <c r="AH691" s="82"/>
      <c r="AI691" s="82"/>
      <c r="AJ691" s="82"/>
      <c r="AK691" s="82"/>
      <c r="AL691" s="82"/>
      <c r="AM691" s="82"/>
      <c r="AN691" s="82"/>
      <c r="AO691" s="82"/>
      <c r="AQ691" s="82"/>
    </row>
    <row r="693" spans="2:43" x14ac:dyDescent="0.25">
      <c r="E693" t="s">
        <v>415</v>
      </c>
      <c r="G693" s="46" t="s">
        <v>588</v>
      </c>
      <c r="H693" s="263">
        <f t="array" ref="H693">SUM(IF(ISERROR(H22:Y309), 1))</f>
        <v>0</v>
      </c>
    </row>
    <row r="695" spans="2:43" x14ac:dyDescent="0.25">
      <c r="B695" s="82" t="s">
        <v>110</v>
      </c>
      <c r="C695" s="82"/>
      <c r="D695" s="82"/>
      <c r="E695" s="82"/>
      <c r="F695" s="82"/>
      <c r="G695" s="82"/>
      <c r="H695" s="82"/>
      <c r="I695" s="82"/>
      <c r="J695" s="82"/>
      <c r="K695" s="82"/>
      <c r="L695" s="82"/>
      <c r="M695" s="82"/>
      <c r="N695" s="82"/>
      <c r="O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C695" s="82"/>
      <c r="AD695" s="82"/>
      <c r="AE695" s="82"/>
      <c r="AF695" s="82"/>
      <c r="AG695" s="82"/>
      <c r="AH695" s="82"/>
      <c r="AI695" s="82"/>
      <c r="AJ695" s="82"/>
      <c r="AK695" s="82"/>
      <c r="AL695" s="82"/>
      <c r="AM695" s="82"/>
      <c r="AN695" s="82"/>
      <c r="AO695" s="82"/>
      <c r="AQ695" s="82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6" width="24.5703125" hidden="1" customWidth="1"/>
    <col min="307" max="16384" width="8.5703125" hidden="1"/>
  </cols>
  <sheetData>
    <row r="1" spans="1:27" s="8" customFormat="1" x14ac:dyDescent="0.25">
      <c r="A1" s="8" t="str">
        <f ca="1">MID(CELL("filename",A1),FIND("]",CELL("filename",A1))+1,255)</f>
        <v>Pseudo-load coefficients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H306 &amp; IF(H306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315" t="s">
        <v>91</v>
      </c>
      <c r="H5" s="330" t="s">
        <v>92</v>
      </c>
      <c r="I5" s="59"/>
      <c r="J5" s="330" t="s">
        <v>925</v>
      </c>
      <c r="K5" s="330" t="s">
        <v>926</v>
      </c>
      <c r="L5" s="330" t="s">
        <v>927</v>
      </c>
      <c r="M5" s="330" t="s">
        <v>928</v>
      </c>
      <c r="N5" s="330" t="s">
        <v>929</v>
      </c>
      <c r="O5" s="330" t="s">
        <v>930</v>
      </c>
      <c r="P5" s="330" t="s">
        <v>931</v>
      </c>
      <c r="Q5" s="330" t="s">
        <v>932</v>
      </c>
      <c r="R5" s="330" t="s">
        <v>933</v>
      </c>
      <c r="S5" s="330" t="s">
        <v>934</v>
      </c>
      <c r="T5" s="330" t="s">
        <v>935</v>
      </c>
      <c r="U5" s="330" t="s">
        <v>936</v>
      </c>
      <c r="V5" s="330" t="s">
        <v>937</v>
      </c>
      <c r="W5" s="330" t="s">
        <v>938</v>
      </c>
      <c r="X5" s="330" t="s">
        <v>939</v>
      </c>
      <c r="Y5" s="330" t="s">
        <v>940</v>
      </c>
      <c r="AA5" s="315" t="s">
        <v>93</v>
      </c>
    </row>
    <row r="7" spans="1:27" x14ac:dyDescent="0.25">
      <c r="B7" s="82" t="s">
        <v>90</v>
      </c>
      <c r="C7" s="65"/>
      <c r="D7" s="64"/>
      <c r="E7" s="64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</row>
    <row r="9" spans="1:27" x14ac:dyDescent="0.25">
      <c r="C9" s="73" t="s">
        <v>954</v>
      </c>
    </row>
    <row r="10" spans="1:27" x14ac:dyDescent="0.25">
      <c r="C10" s="73" t="s">
        <v>760</v>
      </c>
    </row>
    <row r="11" spans="1:27" x14ac:dyDescent="0.25">
      <c r="C11" s="73" t="s">
        <v>761</v>
      </c>
    </row>
    <row r="13" spans="1:27" x14ac:dyDescent="0.25">
      <c r="B13" s="82" t="s">
        <v>757</v>
      </c>
      <c r="C13" s="65"/>
      <c r="D13" s="64"/>
      <c r="E13" s="64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</row>
    <row r="15" spans="1:27" x14ac:dyDescent="0.25">
      <c r="C15" s="73" t="s">
        <v>945</v>
      </c>
      <c r="I15" t="s">
        <v>359</v>
      </c>
      <c r="AA15" t="s">
        <v>946</v>
      </c>
    </row>
    <row r="16" spans="1:27" x14ac:dyDescent="0.25">
      <c r="C16" s="73" t="s">
        <v>762</v>
      </c>
    </row>
    <row r="18" spans="3:27" x14ac:dyDescent="0.25">
      <c r="C18" s="5" t="str">
        <f ca="1">INDEX('Version control'!$H$36:$H$62,MATCH($A$1,'Version control'!$F$36:$F$62,0),1)&amp;"-A: Flags and hours in timebands"</f>
        <v>Section 508-A: Flags and hours in timebands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</row>
    <row r="20" spans="3:27" x14ac:dyDescent="0.25">
      <c r="E20" s="408" t="s">
        <v>245</v>
      </c>
      <c r="F20" s="68"/>
      <c r="G20" s="68" t="s">
        <v>214</v>
      </c>
      <c r="J20" s="75" t="b">
        <f>'Fixed inputs'!J127</f>
        <v>0</v>
      </c>
      <c r="K20" s="75" t="b">
        <f>'Fixed inputs'!K127</f>
        <v>0</v>
      </c>
      <c r="L20" s="75" t="b">
        <f>'Fixed inputs'!L127</f>
        <v>0</v>
      </c>
      <c r="M20" s="75" t="b">
        <f>'Fixed inputs'!M127</f>
        <v>0</v>
      </c>
      <c r="N20" s="75" t="b">
        <f>'Fixed inputs'!N127</f>
        <v>0</v>
      </c>
      <c r="O20" s="75" t="b">
        <f>'Fixed inputs'!O127</f>
        <v>0</v>
      </c>
      <c r="P20" s="75" t="b">
        <f>'Fixed inputs'!P127</f>
        <v>0</v>
      </c>
      <c r="Q20" s="75" t="b">
        <f>'Fixed inputs'!Q127</f>
        <v>1</v>
      </c>
      <c r="R20" s="75" t="b">
        <f>'Fixed inputs'!R127</f>
        <v>0</v>
      </c>
      <c r="S20" s="75" t="b">
        <f>'Fixed inputs'!S127</f>
        <v>0</v>
      </c>
      <c r="T20" s="75" t="b">
        <f>'Fixed inputs'!T127</f>
        <v>0</v>
      </c>
      <c r="U20" s="75" t="b">
        <f>'Fixed inputs'!U127</f>
        <v>0</v>
      </c>
      <c r="V20" s="75" t="b">
        <f>'Fixed inputs'!V127</f>
        <v>0</v>
      </c>
      <c r="W20" s="75" t="b">
        <f>'Fixed inputs'!W127</f>
        <v>0</v>
      </c>
      <c r="X20" s="75" t="b">
        <f>'Fixed inputs'!X127</f>
        <v>0</v>
      </c>
      <c r="Y20" s="75" t="b">
        <f>'Fixed inputs'!Y127</f>
        <v>0</v>
      </c>
    </row>
    <row r="22" spans="3:27" x14ac:dyDescent="0.25">
      <c r="E22" s="52" t="s">
        <v>240</v>
      </c>
      <c r="I22" t="s">
        <v>359</v>
      </c>
      <c r="AA22" t="s">
        <v>713</v>
      </c>
    </row>
    <row r="23" spans="3:27" x14ac:dyDescent="0.25">
      <c r="E23" s="73" t="s">
        <v>340</v>
      </c>
      <c r="F23" s="73"/>
    </row>
    <row r="24" spans="3:27" x14ac:dyDescent="0.25">
      <c r="F24" s="14" t="s">
        <v>243</v>
      </c>
      <c r="G24" s="14" t="s">
        <v>210</v>
      </c>
      <c r="H24" s="87"/>
      <c r="I24" s="87"/>
      <c r="J24" s="228">
        <f>IF(J$20, 'General inputs'!$H19, 'General inputs'!$H24)</f>
        <v>783</v>
      </c>
      <c r="K24" s="228">
        <f>IF(K$20, 'General inputs'!$H19, 'General inputs'!$H24)</f>
        <v>783</v>
      </c>
      <c r="L24" s="228">
        <f>IF(L$20, 'General inputs'!$H19, 'General inputs'!$H24)</f>
        <v>783</v>
      </c>
      <c r="M24" s="228">
        <f>IF(M$20, 'General inputs'!$H19, 'General inputs'!$H24)</f>
        <v>783</v>
      </c>
      <c r="N24" s="228">
        <f>IF(N$20, 'General inputs'!$H19, 'General inputs'!$H24)</f>
        <v>783</v>
      </c>
      <c r="O24" s="228">
        <f>IF(O$20, 'General inputs'!$H19, 'General inputs'!$H24)</f>
        <v>783</v>
      </c>
      <c r="P24" s="228">
        <f>IF(P$20, 'General inputs'!$H19, 'General inputs'!$H24)</f>
        <v>783</v>
      </c>
      <c r="Q24" s="228">
        <f>IF(Q$20, 'General inputs'!$H19, 'General inputs'!$H24)</f>
        <v>258</v>
      </c>
      <c r="R24" s="228">
        <f>IF(R$20, 'General inputs'!$H19, 'General inputs'!$H24)</f>
        <v>783</v>
      </c>
      <c r="S24" s="228">
        <f>IF(S$20, 'General inputs'!$H19, 'General inputs'!$H24)</f>
        <v>783</v>
      </c>
      <c r="T24" s="228">
        <f>IF(T$20, 'General inputs'!$H19, 'General inputs'!$H24)</f>
        <v>783</v>
      </c>
      <c r="U24" s="228">
        <f>IF(U$20, 'General inputs'!$H19, 'General inputs'!$H24)</f>
        <v>783</v>
      </c>
      <c r="V24" s="228">
        <f>IF(V$20, 'General inputs'!$H19, 'General inputs'!$H24)</f>
        <v>783</v>
      </c>
      <c r="W24" s="228">
        <f>IF(W$20, 'General inputs'!$H19, 'General inputs'!$H24)</f>
        <v>783</v>
      </c>
      <c r="X24" s="228">
        <f>IF(X$20, 'General inputs'!$H19, 'General inputs'!$H24)</f>
        <v>783</v>
      </c>
      <c r="Y24" s="228">
        <f>IF(Y$20, 'General inputs'!$H19, 'General inputs'!$H24)</f>
        <v>783</v>
      </c>
    </row>
    <row r="25" spans="3:27" x14ac:dyDescent="0.25">
      <c r="F25" s="12" t="s">
        <v>244</v>
      </c>
      <c r="G25" t="s">
        <v>210</v>
      </c>
      <c r="H25" s="340"/>
      <c r="I25" s="340"/>
      <c r="J25" s="229">
        <f>IF(J$20, 'General inputs'!$H20, 'General inputs'!$H25)</f>
        <v>3417.5</v>
      </c>
      <c r="K25" s="229">
        <f>IF(K$20, 'General inputs'!$H20, 'General inputs'!$H25)</f>
        <v>3417.5</v>
      </c>
      <c r="L25" s="229">
        <f>IF(L$20, 'General inputs'!$H20, 'General inputs'!$H25)</f>
        <v>3417.5</v>
      </c>
      <c r="M25" s="229">
        <f>IF(M$20, 'General inputs'!$H20, 'General inputs'!$H25)</f>
        <v>3417.5</v>
      </c>
      <c r="N25" s="229">
        <f>IF(N$20, 'General inputs'!$H20, 'General inputs'!$H25)</f>
        <v>3417.5</v>
      </c>
      <c r="O25" s="229">
        <f>IF(O$20, 'General inputs'!$H20, 'General inputs'!$H25)</f>
        <v>3417.5</v>
      </c>
      <c r="P25" s="229">
        <f>IF(P$20, 'General inputs'!$H20, 'General inputs'!$H25)</f>
        <v>3417.5</v>
      </c>
      <c r="Q25" s="229">
        <f>IF(Q$20, 'General inputs'!$H20, 'General inputs'!$H25)</f>
        <v>3942.5</v>
      </c>
      <c r="R25" s="229">
        <f>IF(R$20, 'General inputs'!$H20, 'General inputs'!$H25)</f>
        <v>3417.5</v>
      </c>
      <c r="S25" s="229">
        <f>IF(S$20, 'General inputs'!$H20, 'General inputs'!$H25)</f>
        <v>3417.5</v>
      </c>
      <c r="T25" s="229">
        <f>IF(T$20, 'General inputs'!$H20, 'General inputs'!$H25)</f>
        <v>3417.5</v>
      </c>
      <c r="U25" s="229">
        <f>IF(U$20, 'General inputs'!$H20, 'General inputs'!$H25)</f>
        <v>3417.5</v>
      </c>
      <c r="V25" s="229">
        <f>IF(V$20, 'General inputs'!$H20, 'General inputs'!$H25)</f>
        <v>3417.5</v>
      </c>
      <c r="W25" s="229">
        <f>IF(W$20, 'General inputs'!$H20, 'General inputs'!$H25)</f>
        <v>3417.5</v>
      </c>
      <c r="X25" s="229">
        <f>IF(X$20, 'General inputs'!$H20, 'General inputs'!$H25)</f>
        <v>3417.5</v>
      </c>
      <c r="Y25" s="229">
        <f>IF(Y$20, 'General inputs'!$H20, 'General inputs'!$H25)</f>
        <v>3417.5</v>
      </c>
    </row>
    <row r="26" spans="3:27" x14ac:dyDescent="0.25">
      <c r="F26" s="13" t="s">
        <v>86</v>
      </c>
      <c r="G26" s="17" t="s">
        <v>210</v>
      </c>
      <c r="H26" s="88"/>
      <c r="I26" s="88"/>
      <c r="J26" s="230">
        <f>IF(J$20, 'General inputs'!$H21, 'General inputs'!$H26)</f>
        <v>4559.5</v>
      </c>
      <c r="K26" s="230">
        <f>IF(K$20, 'General inputs'!$H21, 'General inputs'!$H26)</f>
        <v>4559.5</v>
      </c>
      <c r="L26" s="230">
        <f>IF(L$20, 'General inputs'!$H21, 'General inputs'!$H26)</f>
        <v>4559.5</v>
      </c>
      <c r="M26" s="230">
        <f>IF(M$20, 'General inputs'!$H21, 'General inputs'!$H26)</f>
        <v>4559.5</v>
      </c>
      <c r="N26" s="230">
        <f>IF(N$20, 'General inputs'!$H21, 'General inputs'!$H26)</f>
        <v>4559.5</v>
      </c>
      <c r="O26" s="230">
        <f>IF(O$20, 'General inputs'!$H21, 'General inputs'!$H26)</f>
        <v>4559.5</v>
      </c>
      <c r="P26" s="230">
        <f>IF(P$20, 'General inputs'!$H21, 'General inputs'!$H26)</f>
        <v>4559.5</v>
      </c>
      <c r="Q26" s="230">
        <f>IF(Q$20, 'General inputs'!$H21, 'General inputs'!$H26)</f>
        <v>4559.5</v>
      </c>
      <c r="R26" s="230">
        <f>IF(R$20, 'General inputs'!$H21, 'General inputs'!$H26)</f>
        <v>4559.5</v>
      </c>
      <c r="S26" s="230">
        <f>IF(S$20, 'General inputs'!$H21, 'General inputs'!$H26)</f>
        <v>4559.5</v>
      </c>
      <c r="T26" s="230">
        <f>IF(T$20, 'General inputs'!$H21, 'General inputs'!$H26)</f>
        <v>4559.5</v>
      </c>
      <c r="U26" s="230">
        <f>IF(U$20, 'General inputs'!$H21, 'General inputs'!$H26)</f>
        <v>4559.5</v>
      </c>
      <c r="V26" s="230">
        <f>IF(V$20, 'General inputs'!$H21, 'General inputs'!$H26)</f>
        <v>4559.5</v>
      </c>
      <c r="W26" s="230">
        <f>IF(W$20, 'General inputs'!$H21, 'General inputs'!$H26)</f>
        <v>4559.5</v>
      </c>
      <c r="X26" s="230">
        <f>IF(X$20, 'General inputs'!$H21, 'General inputs'!$H26)</f>
        <v>4559.5</v>
      </c>
      <c r="Y26" s="230">
        <f>IF(Y$20, 'General inputs'!$H21, 'General inputs'!$H26)</f>
        <v>4559.5</v>
      </c>
    </row>
    <row r="27" spans="3:27" x14ac:dyDescent="0.25"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</row>
    <row r="28" spans="3:27" x14ac:dyDescent="0.25">
      <c r="C28" s="5" t="str">
        <f ca="1">INDEX('Version control'!$H$36:$H$62,MATCH($A$1,'Version control'!$F$36:$F$62,0),1)&amp;"-B: Average load by timeband"</f>
        <v>Section 508-B: Average load by timeband</v>
      </c>
      <c r="D28" s="5"/>
      <c r="E28" s="5"/>
      <c r="F28" s="5"/>
      <c r="G28" s="5"/>
      <c r="H28" s="5"/>
      <c r="I28" s="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5"/>
      <c r="AA28" s="5"/>
    </row>
    <row r="29" spans="3:27" x14ac:dyDescent="0.25"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</row>
    <row r="30" spans="3:27" x14ac:dyDescent="0.25">
      <c r="E30" s="52" t="s">
        <v>241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</row>
    <row r="31" spans="3:27" x14ac:dyDescent="0.25">
      <c r="F31" s="14" t="s">
        <v>134</v>
      </c>
      <c r="G31" s="14" t="s">
        <v>120</v>
      </c>
      <c r="H31" s="80"/>
      <c r="I31" s="80"/>
      <c r="J31" s="228">
        <f>'Volume adjustments'!J238</f>
        <v>715414.14424724563</v>
      </c>
      <c r="K31" s="228">
        <f>'Volume adjustments'!K238</f>
        <v>653.19854705140472</v>
      </c>
      <c r="L31" s="228">
        <f>'Volume adjustments'!L238</f>
        <v>198648.0214996569</v>
      </c>
      <c r="M31" s="228">
        <f>'Volume adjustments'!M238</f>
        <v>596.52194686342921</v>
      </c>
      <c r="N31" s="228">
        <f>'Volume adjustments'!N238</f>
        <v>246688.57783877497</v>
      </c>
      <c r="O31" s="228">
        <f>'Volume adjustments'!O238</f>
        <v>26699.431111173788</v>
      </c>
      <c r="P31" s="228">
        <f>'Volume adjustments'!P238</f>
        <v>295911.92087638372</v>
      </c>
      <c r="Q31" s="228">
        <f>'Volume adjustments'!Q238</f>
        <v>11206.576663337462</v>
      </c>
      <c r="R31" s="228">
        <f>'Volume adjustments'!R238</f>
        <v>1639.8703771358053</v>
      </c>
      <c r="S31" s="228">
        <f>'Volume adjustments'!S238</f>
        <v>19.515999999999998</v>
      </c>
      <c r="T31" s="228">
        <f>'Volume adjustments'!T238</f>
        <v>5840.0349999999999</v>
      </c>
      <c r="U31" s="228">
        <f>'Volume adjustments'!U238</f>
        <v>0</v>
      </c>
      <c r="V31" s="228">
        <f>'Volume adjustments'!V238</f>
        <v>62.863</v>
      </c>
      <c r="W31" s="228">
        <f>'Volume adjustments'!W238</f>
        <v>0</v>
      </c>
      <c r="X31" s="228">
        <f>'Volume adjustments'!X238</f>
        <v>118436.88399999999</v>
      </c>
      <c r="Y31" s="228">
        <f>'Volume adjustments'!Y238</f>
        <v>0</v>
      </c>
    </row>
    <row r="32" spans="3:27" x14ac:dyDescent="0.25">
      <c r="F32" s="12" t="s">
        <v>135</v>
      </c>
      <c r="G32" s="12" t="s">
        <v>120</v>
      </c>
      <c r="J32" s="229">
        <f>'Volume adjustments'!J249</f>
        <v>2461960.7706021941</v>
      </c>
      <c r="K32" s="229">
        <f>'Volume adjustments'!K249</f>
        <v>17781.49408813944</v>
      </c>
      <c r="L32" s="229">
        <f>'Volume adjustments'!L249</f>
        <v>1021551.4851646833</v>
      </c>
      <c r="M32" s="229">
        <f>'Volume adjustments'!M249</f>
        <v>8872.4799352594691</v>
      </c>
      <c r="N32" s="229">
        <f>'Volume adjustments'!N249</f>
        <v>1180815.8866083126</v>
      </c>
      <c r="O32" s="229">
        <f>'Volume adjustments'!O249</f>
        <v>124228.04312422952</v>
      </c>
      <c r="P32" s="229">
        <f>'Volume adjustments'!P249</f>
        <v>1371557.1300315035</v>
      </c>
      <c r="Q32" s="229">
        <f>'Volume adjustments'!Q249</f>
        <v>64706.530073099166</v>
      </c>
      <c r="R32" s="229">
        <f>'Volume adjustments'!R249</f>
        <v>8641.960699846697</v>
      </c>
      <c r="S32" s="229">
        <f>'Volume adjustments'!S249</f>
        <v>77.882999999999996</v>
      </c>
      <c r="T32" s="229">
        <f>'Volume adjustments'!T249</f>
        <v>26458.666000000001</v>
      </c>
      <c r="U32" s="229">
        <f>'Volume adjustments'!U249</f>
        <v>0</v>
      </c>
      <c r="V32" s="229">
        <f>'Volume adjustments'!V249</f>
        <v>312.48</v>
      </c>
      <c r="W32" s="229">
        <f>'Volume adjustments'!W249</f>
        <v>0</v>
      </c>
      <c r="X32" s="229">
        <f>'Volume adjustments'!X249</f>
        <v>429284.261</v>
      </c>
      <c r="Y32" s="229">
        <f>'Volume adjustments'!Y249</f>
        <v>0</v>
      </c>
    </row>
    <row r="33" spans="3:27" x14ac:dyDescent="0.25">
      <c r="F33" s="12" t="s">
        <v>136</v>
      </c>
      <c r="G33" s="12" t="s">
        <v>120</v>
      </c>
      <c r="J33" s="229">
        <f>'Volume adjustments'!J260</f>
        <v>2333226.662709387</v>
      </c>
      <c r="K33" s="229">
        <f>'Volume adjustments'!K260</f>
        <v>171787.63043176121</v>
      </c>
      <c r="L33" s="229">
        <f>'Volume adjustments'!L260</f>
        <v>821427.24294364848</v>
      </c>
      <c r="M33" s="229">
        <f>'Volume adjustments'!M260</f>
        <v>35850.647959933427</v>
      </c>
      <c r="N33" s="229">
        <f>'Volume adjustments'!N260</f>
        <v>1048086.7833560277</v>
      </c>
      <c r="O33" s="229">
        <f>'Volume adjustments'!O260</f>
        <v>126683.73301103061</v>
      </c>
      <c r="P33" s="229">
        <f>'Volume adjustments'!P260</f>
        <v>1510545.1889728927</v>
      </c>
      <c r="Q33" s="229">
        <f>'Volume adjustments'!Q260</f>
        <v>148914.11944191009</v>
      </c>
      <c r="R33" s="229">
        <f>'Volume adjustments'!R260</f>
        <v>3872.32969751788</v>
      </c>
      <c r="S33" s="229">
        <f>'Volume adjustments'!S260</f>
        <v>58.205000000000005</v>
      </c>
      <c r="T33" s="229">
        <f>'Volume adjustments'!T260</f>
        <v>29713.727000000003</v>
      </c>
      <c r="U33" s="229">
        <f>'Volume adjustments'!U260</f>
        <v>0</v>
      </c>
      <c r="V33" s="229">
        <f>'Volume adjustments'!V260</f>
        <v>275.35399999999998</v>
      </c>
      <c r="W33" s="229">
        <f>'Volume adjustments'!W260</f>
        <v>0</v>
      </c>
      <c r="X33" s="229">
        <f>'Volume adjustments'!X260</f>
        <v>489264.26399999997</v>
      </c>
      <c r="Y33" s="229">
        <f>'Volume adjustments'!Y260</f>
        <v>0</v>
      </c>
    </row>
    <row r="34" spans="3:27" x14ac:dyDescent="0.25">
      <c r="F34" s="69" t="s">
        <v>142</v>
      </c>
      <c r="G34" s="69" t="s">
        <v>120</v>
      </c>
      <c r="H34" s="66"/>
      <c r="I34" s="66"/>
      <c r="J34" s="227">
        <f t="shared" ref="J34:Y34" si="0">SUM(J31:J33)</f>
        <v>5510601.5775588267</v>
      </c>
      <c r="K34" s="227">
        <f t="shared" si="0"/>
        <v>190222.32306695206</v>
      </c>
      <c r="L34" s="227">
        <f t="shared" si="0"/>
        <v>2041626.7496079886</v>
      </c>
      <c r="M34" s="227">
        <f t="shared" si="0"/>
        <v>45319.649842056329</v>
      </c>
      <c r="N34" s="227">
        <f t="shared" si="0"/>
        <v>2475591.2478031153</v>
      </c>
      <c r="O34" s="227">
        <f t="shared" si="0"/>
        <v>277611.20724643389</v>
      </c>
      <c r="P34" s="227">
        <f t="shared" si="0"/>
        <v>3178014.2398807798</v>
      </c>
      <c r="Q34" s="227">
        <f t="shared" si="0"/>
        <v>224827.22617834673</v>
      </c>
      <c r="R34" s="227">
        <f t="shared" si="0"/>
        <v>14154.160774500382</v>
      </c>
      <c r="S34" s="227">
        <f t="shared" si="0"/>
        <v>155.60400000000001</v>
      </c>
      <c r="T34" s="227">
        <f t="shared" si="0"/>
        <v>62012.428</v>
      </c>
      <c r="U34" s="227">
        <f t="shared" si="0"/>
        <v>0</v>
      </c>
      <c r="V34" s="227">
        <f t="shared" si="0"/>
        <v>650.697</v>
      </c>
      <c r="W34" s="227">
        <f t="shared" si="0"/>
        <v>0</v>
      </c>
      <c r="X34" s="227">
        <f t="shared" si="0"/>
        <v>1036985.409</v>
      </c>
      <c r="Y34" s="227">
        <f t="shared" si="0"/>
        <v>0</v>
      </c>
    </row>
    <row r="35" spans="3:27" x14ac:dyDescent="0.25">
      <c r="F35" s="12"/>
      <c r="G35" s="12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</row>
    <row r="36" spans="3:27" x14ac:dyDescent="0.25">
      <c r="C36" s="5" t="str">
        <f ca="1">INDEX('Version control'!$H$36:$H$62,MATCH($A$1,'Version control'!$F$36:$F$62,0),1)&amp;"-C: Aggregated groups for pseudo-load coefficients"</f>
        <v>Section 508-C: Aggregated groups for pseudo-load coefficients</v>
      </c>
      <c r="D36" s="5"/>
      <c r="E36" s="5"/>
      <c r="F36" s="5"/>
      <c r="G36" s="5"/>
      <c r="H36" s="5"/>
      <c r="I36" s="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5"/>
      <c r="Y36" s="205"/>
      <c r="Z36" s="5"/>
      <c r="AA36" s="5"/>
    </row>
    <row r="37" spans="3:27" x14ac:dyDescent="0.25"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</row>
    <row r="38" spans="3:27" x14ac:dyDescent="0.25">
      <c r="E38" s="12" t="s">
        <v>944</v>
      </c>
      <c r="F38" s="12"/>
      <c r="G38" s="12" t="s">
        <v>426</v>
      </c>
      <c r="I38" t="s">
        <v>359</v>
      </c>
      <c r="J38" s="341">
        <f>'Fixed inputs'!J149</f>
        <v>1</v>
      </c>
      <c r="K38" s="341">
        <f>'Fixed inputs'!K149</f>
        <v>1</v>
      </c>
      <c r="L38" s="341">
        <f>'Fixed inputs'!L149</f>
        <v>2</v>
      </c>
      <c r="M38" s="341">
        <f>'Fixed inputs'!M149</f>
        <v>2</v>
      </c>
      <c r="N38" s="341">
        <f>'Fixed inputs'!N149</f>
        <v>3</v>
      </c>
      <c r="O38" s="341">
        <f>'Fixed inputs'!O149</f>
        <v>4</v>
      </c>
      <c r="P38" s="341">
        <f>'Fixed inputs'!P149</f>
        <v>5</v>
      </c>
      <c r="Q38" s="342"/>
      <c r="R38" s="342"/>
      <c r="S38" s="342"/>
      <c r="T38" s="342"/>
      <c r="U38" s="342"/>
      <c r="V38" s="342"/>
      <c r="W38" s="342"/>
      <c r="X38" s="342"/>
      <c r="Y38" s="342"/>
      <c r="AA38" t="s">
        <v>947</v>
      </c>
    </row>
    <row r="39" spans="3:27" x14ac:dyDescent="0.25"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</row>
    <row r="40" spans="3:27" x14ac:dyDescent="0.25">
      <c r="E40" s="52" t="s">
        <v>948</v>
      </c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</row>
    <row r="41" spans="3:27" x14ac:dyDescent="0.25">
      <c r="E41" s="73" t="s">
        <v>340</v>
      </c>
    </row>
    <row r="42" spans="3:27" x14ac:dyDescent="0.25">
      <c r="F42" s="14" t="s">
        <v>243</v>
      </c>
      <c r="G42" s="14" t="s">
        <v>94</v>
      </c>
      <c r="H42" s="80"/>
      <c r="I42" s="80"/>
      <c r="J42" s="152">
        <f t="shared" ref="J42:P44" si="1">SUMIF($J$38:$Y$38, J$38, $J31:$Y31) / SUMIF($J$38:$Y$38, J$38, $J$34:$Y$34)</f>
        <v>0.12560769377838429</v>
      </c>
      <c r="K42" s="152">
        <f t="shared" si="1"/>
        <v>0.12560769377838429</v>
      </c>
      <c r="L42" s="152">
        <f t="shared" si="1"/>
        <v>9.5471806798212697E-2</v>
      </c>
      <c r="M42" s="152">
        <f t="shared" si="1"/>
        <v>9.5471806798212697E-2</v>
      </c>
      <c r="N42" s="152">
        <f t="shared" si="1"/>
        <v>9.9648347867480502E-2</v>
      </c>
      <c r="O42" s="152">
        <f t="shared" si="1"/>
        <v>9.6175624089530565E-2</v>
      </c>
      <c r="P42" s="152">
        <f t="shared" si="1"/>
        <v>9.3112207353572021E-2</v>
      </c>
      <c r="Q42" s="110"/>
      <c r="R42" s="110"/>
      <c r="S42" s="110"/>
      <c r="T42" s="110"/>
      <c r="U42" s="110"/>
      <c r="V42" s="110"/>
      <c r="W42" s="110"/>
      <c r="X42" s="110"/>
      <c r="Y42" s="110"/>
    </row>
    <row r="43" spans="3:27" x14ac:dyDescent="0.25">
      <c r="F43" s="12" t="s">
        <v>244</v>
      </c>
      <c r="G43" s="12" t="s">
        <v>94</v>
      </c>
      <c r="J43" s="338">
        <f t="shared" si="1"/>
        <v>0.43497962889506775</v>
      </c>
      <c r="K43" s="338">
        <f t="shared" si="1"/>
        <v>0.43497962889506775</v>
      </c>
      <c r="L43" s="338">
        <f t="shared" si="1"/>
        <v>0.49374721141447692</v>
      </c>
      <c r="M43" s="338">
        <f t="shared" si="1"/>
        <v>0.49374721141447692</v>
      </c>
      <c r="N43" s="338">
        <f t="shared" si="1"/>
        <v>0.47698338231571552</v>
      </c>
      <c r="O43" s="338">
        <f t="shared" si="1"/>
        <v>0.44748929395329845</v>
      </c>
      <c r="P43" s="338">
        <f t="shared" si="1"/>
        <v>0.43157677294830377</v>
      </c>
      <c r="Q43" s="317"/>
      <c r="R43" s="317"/>
      <c r="S43" s="317"/>
      <c r="T43" s="317"/>
      <c r="U43" s="317"/>
      <c r="V43" s="317"/>
      <c r="W43" s="317"/>
      <c r="X43" s="317"/>
      <c r="Y43" s="317"/>
    </row>
    <row r="44" spans="3:27" x14ac:dyDescent="0.25">
      <c r="F44" s="13" t="s">
        <v>86</v>
      </c>
      <c r="G44" s="13" t="s">
        <v>94</v>
      </c>
      <c r="H44" s="17"/>
      <c r="I44" s="17"/>
      <c r="J44" s="153">
        <f t="shared" si="1"/>
        <v>0.43941267732654804</v>
      </c>
      <c r="K44" s="153">
        <f t="shared" si="1"/>
        <v>0.43941267732654804</v>
      </c>
      <c r="L44" s="153">
        <f t="shared" si="1"/>
        <v>0.41078098178731032</v>
      </c>
      <c r="M44" s="153">
        <f t="shared" si="1"/>
        <v>0.41078098178731032</v>
      </c>
      <c r="N44" s="153">
        <f t="shared" si="1"/>
        <v>0.42336826981680392</v>
      </c>
      <c r="O44" s="153">
        <f t="shared" si="1"/>
        <v>0.45633508195717104</v>
      </c>
      <c r="P44" s="153">
        <f t="shared" si="1"/>
        <v>0.47531101969812428</v>
      </c>
      <c r="Q44" s="36"/>
      <c r="R44" s="36"/>
      <c r="S44" s="36"/>
      <c r="T44" s="36"/>
      <c r="U44" s="36"/>
      <c r="V44" s="36"/>
      <c r="W44" s="36"/>
      <c r="X44" s="36"/>
      <c r="Y44" s="36"/>
    </row>
    <row r="45" spans="3:27" x14ac:dyDescent="0.25">
      <c r="J45" s="211"/>
      <c r="K45" s="211"/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</row>
    <row r="46" spans="3:27" x14ac:dyDescent="0.25">
      <c r="E46" s="52" t="s">
        <v>949</v>
      </c>
      <c r="F46" s="12"/>
      <c r="G46" s="12"/>
    </row>
    <row r="47" spans="3:27" x14ac:dyDescent="0.25">
      <c r="E47" s="73" t="s">
        <v>340</v>
      </c>
    </row>
    <row r="48" spans="3:27" x14ac:dyDescent="0.25">
      <c r="F48" s="14" t="s">
        <v>243</v>
      </c>
      <c r="G48" s="14" t="s">
        <v>94</v>
      </c>
      <c r="H48" s="80"/>
      <c r="I48" s="80"/>
      <c r="J48" s="152">
        <f>IF(ISNUMBER(J$38), J42, IF(J$34 = 0, 0, J31 / J$34))</f>
        <v>0.12560769377838429</v>
      </c>
      <c r="K48" s="152">
        <f t="shared" ref="K48:Y48" si="2">IF(ISNUMBER(K$38), K42, IF(K$34 = 0, 0, K31 / K$34))</f>
        <v>0.12560769377838429</v>
      </c>
      <c r="L48" s="152">
        <f t="shared" si="2"/>
        <v>9.5471806798212697E-2</v>
      </c>
      <c r="M48" s="152">
        <f t="shared" si="2"/>
        <v>9.5471806798212697E-2</v>
      </c>
      <c r="N48" s="152">
        <f t="shared" si="2"/>
        <v>9.9648347867480502E-2</v>
      </c>
      <c r="O48" s="152">
        <f t="shared" si="2"/>
        <v>9.6175624089530565E-2</v>
      </c>
      <c r="P48" s="152">
        <f t="shared" si="2"/>
        <v>9.3112207353572021E-2</v>
      </c>
      <c r="Q48" s="152">
        <f t="shared" si="2"/>
        <v>4.9845282770369273E-2</v>
      </c>
      <c r="R48" s="152">
        <f t="shared" si="2"/>
        <v>0.11585783171900489</v>
      </c>
      <c r="S48" s="152">
        <f t="shared" si="2"/>
        <v>0.12542094033572398</v>
      </c>
      <c r="T48" s="152">
        <f t="shared" si="2"/>
        <v>9.4175235325409279E-2</v>
      </c>
      <c r="U48" s="152">
        <f t="shared" si="2"/>
        <v>0</v>
      </c>
      <c r="V48" s="152">
        <f t="shared" si="2"/>
        <v>9.6608713425757303E-2</v>
      </c>
      <c r="W48" s="152">
        <f t="shared" si="2"/>
        <v>0</v>
      </c>
      <c r="X48" s="152">
        <f t="shared" si="2"/>
        <v>0.11421268127023376</v>
      </c>
      <c r="Y48" s="152">
        <f t="shared" si="2"/>
        <v>0</v>
      </c>
    </row>
    <row r="49" spans="2:27" x14ac:dyDescent="0.25">
      <c r="F49" s="12" t="s">
        <v>244</v>
      </c>
      <c r="G49" s="12" t="s">
        <v>94</v>
      </c>
      <c r="J49" s="338">
        <f t="shared" ref="J49:Y50" si="3">IF(ISNUMBER(J$38), J43, IF(J$34 = 0, 0, J32 / J$34))</f>
        <v>0.43497962889506775</v>
      </c>
      <c r="K49" s="338">
        <f t="shared" si="3"/>
        <v>0.43497962889506775</v>
      </c>
      <c r="L49" s="338">
        <f t="shared" si="3"/>
        <v>0.49374721141447692</v>
      </c>
      <c r="M49" s="338">
        <f t="shared" si="3"/>
        <v>0.49374721141447692</v>
      </c>
      <c r="N49" s="338">
        <f t="shared" si="3"/>
        <v>0.47698338231571552</v>
      </c>
      <c r="O49" s="338">
        <f t="shared" si="3"/>
        <v>0.44748929395329845</v>
      </c>
      <c r="P49" s="338">
        <f t="shared" si="3"/>
        <v>0.43157677294830377</v>
      </c>
      <c r="Q49" s="338">
        <f t="shared" si="3"/>
        <v>0.28780557930190354</v>
      </c>
      <c r="R49" s="338">
        <f t="shared" si="3"/>
        <v>0.61055973840679678</v>
      </c>
      <c r="S49" s="338">
        <f t="shared" si="3"/>
        <v>0.50052055217089531</v>
      </c>
      <c r="T49" s="338">
        <f t="shared" si="3"/>
        <v>0.42666715130070382</v>
      </c>
      <c r="U49" s="338">
        <f t="shared" si="3"/>
        <v>0</v>
      </c>
      <c r="V49" s="338">
        <f t="shared" si="3"/>
        <v>0.48022351417018982</v>
      </c>
      <c r="W49" s="338">
        <f t="shared" si="3"/>
        <v>0</v>
      </c>
      <c r="X49" s="338">
        <f t="shared" si="3"/>
        <v>0.41397328957017177</v>
      </c>
      <c r="Y49" s="338">
        <f t="shared" si="3"/>
        <v>0</v>
      </c>
    </row>
    <row r="50" spans="2:27" x14ac:dyDescent="0.25">
      <c r="F50" s="13" t="s">
        <v>86</v>
      </c>
      <c r="G50" s="13" t="s">
        <v>94</v>
      </c>
      <c r="H50" s="17"/>
      <c r="I50" s="17"/>
      <c r="J50" s="153">
        <f t="shared" si="3"/>
        <v>0.43941267732654804</v>
      </c>
      <c r="K50" s="153">
        <f t="shared" si="3"/>
        <v>0.43941267732654804</v>
      </c>
      <c r="L50" s="153">
        <f t="shared" si="3"/>
        <v>0.41078098178731032</v>
      </c>
      <c r="M50" s="153">
        <f t="shared" si="3"/>
        <v>0.41078098178731032</v>
      </c>
      <c r="N50" s="153">
        <f t="shared" si="3"/>
        <v>0.42336826981680392</v>
      </c>
      <c r="O50" s="153">
        <f t="shared" si="3"/>
        <v>0.45633508195717104</v>
      </c>
      <c r="P50" s="153">
        <f t="shared" si="3"/>
        <v>0.47531101969812428</v>
      </c>
      <c r="Q50" s="153">
        <f t="shared" si="3"/>
        <v>0.66234913792772721</v>
      </c>
      <c r="R50" s="153">
        <f t="shared" si="3"/>
        <v>0.27358242987419834</v>
      </c>
      <c r="S50" s="153">
        <f t="shared" si="3"/>
        <v>0.37405850749338065</v>
      </c>
      <c r="T50" s="153">
        <f t="shared" si="3"/>
        <v>0.47915761337388696</v>
      </c>
      <c r="U50" s="153">
        <f t="shared" si="3"/>
        <v>0</v>
      </c>
      <c r="V50" s="153">
        <f t="shared" si="3"/>
        <v>0.42316777240405284</v>
      </c>
      <c r="W50" s="153">
        <f t="shared" si="3"/>
        <v>0</v>
      </c>
      <c r="X50" s="153">
        <f t="shared" si="3"/>
        <v>0.47181402915959447</v>
      </c>
      <c r="Y50" s="153">
        <f t="shared" si="3"/>
        <v>0</v>
      </c>
    </row>
    <row r="52" spans="2:27" x14ac:dyDescent="0.25">
      <c r="C52" s="5" t="str">
        <f ca="1">INDEX('Version control'!$H$36:$H$62,MATCH($A$1,'Version control'!$F$36:$F$62,0),1)&amp;"-D: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</row>
    <row r="54" spans="2:27" x14ac:dyDescent="0.25">
      <c r="E54" t="s">
        <v>212</v>
      </c>
      <c r="G54" t="s">
        <v>427</v>
      </c>
      <c r="H54" s="211"/>
      <c r="I54" s="211"/>
      <c r="J54" s="211">
        <f t="shared" ref="J54:Y54" si="4">J48 * hours_in_year / J24</f>
        <v>1.4052661526164067</v>
      </c>
      <c r="K54" s="211">
        <f t="shared" si="4"/>
        <v>1.4052661526164067</v>
      </c>
      <c r="L54" s="211">
        <f t="shared" si="4"/>
        <v>1.0681137005777053</v>
      </c>
      <c r="M54" s="211">
        <f t="shared" si="4"/>
        <v>1.0681137005777053</v>
      </c>
      <c r="N54" s="211">
        <f t="shared" si="4"/>
        <v>1.1148397539197052</v>
      </c>
      <c r="O54" s="211">
        <f t="shared" si="4"/>
        <v>1.0759878250629473</v>
      </c>
      <c r="P54" s="211">
        <f t="shared" si="4"/>
        <v>1.0417151167526064</v>
      </c>
      <c r="Q54" s="211">
        <f t="shared" si="4"/>
        <v>1.6924212289474219</v>
      </c>
      <c r="R54" s="211">
        <f t="shared" si="4"/>
        <v>1.2961872360900164</v>
      </c>
      <c r="S54" s="211">
        <f t="shared" si="4"/>
        <v>1.4031768037559924</v>
      </c>
      <c r="T54" s="211">
        <f t="shared" si="4"/>
        <v>1.0536079967440424</v>
      </c>
      <c r="U54" s="211">
        <f t="shared" si="4"/>
        <v>0</v>
      </c>
      <c r="V54" s="211">
        <f t="shared" si="4"/>
        <v>1.0808331157211162</v>
      </c>
      <c r="W54" s="211">
        <f t="shared" si="4"/>
        <v>0</v>
      </c>
      <c r="X54" s="211">
        <f t="shared" si="4"/>
        <v>1.2777817214907379</v>
      </c>
      <c r="Y54" s="211">
        <f t="shared" si="4"/>
        <v>0</v>
      </c>
    </row>
    <row r="55" spans="2:27" x14ac:dyDescent="0.25"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</row>
    <row r="56" spans="2:27" x14ac:dyDescent="0.25">
      <c r="B56" s="82" t="s">
        <v>832</v>
      </c>
      <c r="C56" s="65"/>
      <c r="D56" s="64"/>
      <c r="E56" s="64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</row>
    <row r="57" spans="2:27" x14ac:dyDescent="0.25">
      <c r="F57" s="12"/>
      <c r="G57" s="12"/>
    </row>
    <row r="58" spans="2:27" x14ac:dyDescent="0.25">
      <c r="C58" s="73" t="s">
        <v>816</v>
      </c>
      <c r="F58" s="12"/>
      <c r="G58" s="12"/>
    </row>
    <row r="59" spans="2:27" x14ac:dyDescent="0.25">
      <c r="F59" s="12"/>
      <c r="G59" s="12"/>
    </row>
    <row r="60" spans="2:27" x14ac:dyDescent="0.25">
      <c r="C60" s="5" t="str">
        <f ca="1">INDEX('Version control'!$H$36:$H$62,MATCH($A$1,'Version control'!$F$36:$F$62,0),1)&amp;"-E: Load characteristics for all customers"</f>
        <v>Section 508-E: Load characteristics for all customers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</row>
    <row r="61" spans="2:27" x14ac:dyDescent="0.25">
      <c r="D61" s="52"/>
      <c r="J61" s="120"/>
      <c r="K61" s="120"/>
      <c r="L61" s="120"/>
      <c r="M61" s="120"/>
      <c r="N61" s="120"/>
      <c r="O61" s="120"/>
      <c r="P61" s="120"/>
      <c r="Q61" s="120"/>
      <c r="R61" s="120"/>
      <c r="S61" s="120"/>
      <c r="T61" s="120"/>
      <c r="U61" s="120"/>
      <c r="V61" s="120"/>
      <c r="W61" s="120"/>
      <c r="X61" s="120"/>
      <c r="Y61" s="120"/>
    </row>
    <row r="62" spans="2:27" x14ac:dyDescent="0.25">
      <c r="E62" s="12" t="s">
        <v>71</v>
      </c>
      <c r="G62" s="12" t="s">
        <v>94</v>
      </c>
      <c r="J62" s="120">
        <f>'Inputs by customer type'!J18</f>
        <v>0.44600000000000001</v>
      </c>
      <c r="K62" s="120">
        <f>'Inputs by customer type'!K18</f>
        <v>7.9333333333333325E-2</v>
      </c>
      <c r="L62" s="120">
        <f>'Inputs by customer type'!L18</f>
        <v>0.41899999999999998</v>
      </c>
      <c r="M62" s="120">
        <f>'Inputs by customer type'!M18</f>
        <v>0.28733333333333338</v>
      </c>
      <c r="N62" s="120">
        <f>'Inputs by customer type'!N18</f>
        <v>0.55300000000000005</v>
      </c>
      <c r="O62" s="120">
        <f>'Inputs by customer type'!O18</f>
        <v>0.67799999999999994</v>
      </c>
      <c r="P62" s="120">
        <f>'Inputs by customer type'!P18</f>
        <v>0.7320000000000001</v>
      </c>
      <c r="Q62" s="120">
        <f>'Inputs by customer type'!Q18</f>
        <v>0.48033333333333333</v>
      </c>
      <c r="R62" s="120">
        <f>'Inputs by customer type'!R18</f>
        <v>0</v>
      </c>
      <c r="S62" s="120">
        <f>'Inputs by customer type'!S18</f>
        <v>0</v>
      </c>
      <c r="T62" s="120">
        <f>'Inputs by customer type'!T18</f>
        <v>0</v>
      </c>
      <c r="U62" s="120">
        <f>'Inputs by customer type'!U18</f>
        <v>0</v>
      </c>
      <c r="V62" s="120">
        <f>'Inputs by customer type'!V18</f>
        <v>0</v>
      </c>
      <c r="W62" s="120">
        <f>'Inputs by customer type'!W18</f>
        <v>0</v>
      </c>
      <c r="X62" s="120">
        <f>'Inputs by customer type'!X18</f>
        <v>0</v>
      </c>
      <c r="Y62" s="120">
        <f>'Inputs by customer type'!Y18</f>
        <v>0</v>
      </c>
    </row>
    <row r="63" spans="2:27" x14ac:dyDescent="0.25">
      <c r="E63" s="12" t="s">
        <v>70</v>
      </c>
      <c r="G63" s="12" t="s">
        <v>94</v>
      </c>
      <c r="J63" s="120">
        <f>'Inputs by customer type'!J19</f>
        <v>0.82433333333333325</v>
      </c>
      <c r="K63" s="120">
        <f>'Inputs by customer type'!K19</f>
        <v>0</v>
      </c>
      <c r="L63" s="120">
        <f>'Inputs by customer type'!L19</f>
        <v>0.70199999999999996</v>
      </c>
      <c r="M63" s="120">
        <f>'Inputs by customer type'!M19</f>
        <v>0</v>
      </c>
      <c r="N63" s="120">
        <f>'Inputs by customer type'!N19</f>
        <v>0.79900000000000004</v>
      </c>
      <c r="O63" s="120">
        <f>'Inputs by customer type'!O19</f>
        <v>0.82866666666666655</v>
      </c>
      <c r="P63" s="120">
        <f>'Inputs by customer type'!P19</f>
        <v>0.86599999999999999</v>
      </c>
      <c r="Q63" s="120">
        <f>'Inputs by customer type'!Q19</f>
        <v>0.91866666666666663</v>
      </c>
      <c r="R63" s="120">
        <f>'Inputs by customer type'!R19</f>
        <v>0</v>
      </c>
      <c r="S63" s="120">
        <f>'Inputs by customer type'!S19</f>
        <v>0</v>
      </c>
      <c r="T63" s="120">
        <f>'Inputs by customer type'!T19</f>
        <v>0</v>
      </c>
      <c r="U63" s="120">
        <f>'Inputs by customer type'!U19</f>
        <v>0</v>
      </c>
      <c r="V63" s="120">
        <f>'Inputs by customer type'!V19</f>
        <v>0</v>
      </c>
      <c r="W63" s="120">
        <f>'Inputs by customer type'!W19</f>
        <v>0</v>
      </c>
      <c r="X63" s="120">
        <f>'Inputs by customer type'!X19</f>
        <v>0</v>
      </c>
      <c r="Y63" s="120">
        <f>'Inputs by customer type'!Y19</f>
        <v>0</v>
      </c>
    </row>
    <row r="64" spans="2:27" x14ac:dyDescent="0.25">
      <c r="F64" s="12"/>
      <c r="G64" s="12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</row>
    <row r="65" spans="3:27" x14ac:dyDescent="0.25">
      <c r="C65" s="5" t="str">
        <f ca="1">INDEX('Version control'!$H$36:$H$62,MATCH($A$1,'Version control'!$F$36:$F$62,0),1)&amp;"-F: Aggregated load characteristics for grouped customers"</f>
        <v>Section 508-F: Aggregated load characteristics for grouped customers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</row>
    <row r="67" spans="3:27" x14ac:dyDescent="0.25">
      <c r="D67" s="52" t="s">
        <v>246</v>
      </c>
      <c r="E67" s="12"/>
      <c r="F67" s="12"/>
      <c r="G67" s="12"/>
    </row>
    <row r="68" spans="3:27" x14ac:dyDescent="0.25">
      <c r="D68" s="52"/>
      <c r="E68" s="12"/>
      <c r="F68" s="12"/>
      <c r="G68" s="12"/>
    </row>
    <row r="69" spans="3:27" x14ac:dyDescent="0.25">
      <c r="D69" s="52"/>
      <c r="E69" s="12" t="s">
        <v>323</v>
      </c>
      <c r="F69" s="12"/>
      <c r="G69" s="12" t="s">
        <v>102</v>
      </c>
      <c r="J69" s="211">
        <f t="shared" ref="J69:P69" si="5">J34 / hours_in_year</f>
        <v>629.06410702726328</v>
      </c>
      <c r="K69" s="211">
        <f t="shared" si="5"/>
        <v>21.714877062437449</v>
      </c>
      <c r="L69" s="211">
        <f t="shared" si="5"/>
        <v>233.06241433881149</v>
      </c>
      <c r="M69" s="211">
        <f t="shared" si="5"/>
        <v>5.1734760093671612</v>
      </c>
      <c r="N69" s="211">
        <f t="shared" si="5"/>
        <v>282.60174061679396</v>
      </c>
      <c r="O69" s="211">
        <f t="shared" si="5"/>
        <v>31.690777082926243</v>
      </c>
      <c r="P69" s="211">
        <f t="shared" si="5"/>
        <v>362.7870136850205</v>
      </c>
      <c r="Q69" s="342"/>
      <c r="R69" s="342"/>
      <c r="S69" s="342"/>
      <c r="T69" s="342"/>
      <c r="U69" s="342"/>
      <c r="V69" s="342"/>
      <c r="W69" s="342"/>
      <c r="X69" s="342"/>
      <c r="Y69" s="342"/>
    </row>
    <row r="70" spans="3:27" x14ac:dyDescent="0.25">
      <c r="D70" s="52"/>
      <c r="E70" s="12"/>
      <c r="F70" s="12"/>
      <c r="G70" s="12"/>
    </row>
    <row r="71" spans="3:27" x14ac:dyDescent="0.25">
      <c r="D71" s="52"/>
      <c r="E71" s="12" t="s">
        <v>247</v>
      </c>
      <c r="F71" s="12"/>
      <c r="G71" s="12" t="s">
        <v>102</v>
      </c>
      <c r="J71" s="211">
        <f t="shared" ref="J71:P71" si="6">IF(J62 = 0, 0, J34 / (J62 * hours_in_year))</f>
        <v>1410.4576390745815</v>
      </c>
      <c r="K71" s="211">
        <f t="shared" si="6"/>
        <v>273.71693776181661</v>
      </c>
      <c r="L71" s="211">
        <f t="shared" si="6"/>
        <v>556.2348790902422</v>
      </c>
      <c r="M71" s="211">
        <f t="shared" si="6"/>
        <v>18.0051369235516</v>
      </c>
      <c r="N71" s="211">
        <f t="shared" si="6"/>
        <v>511.03388899962738</v>
      </c>
      <c r="O71" s="211">
        <f t="shared" si="6"/>
        <v>46.74155911936024</v>
      </c>
      <c r="P71" s="211">
        <f t="shared" si="6"/>
        <v>495.61067443308809</v>
      </c>
      <c r="Q71" s="342"/>
      <c r="R71" s="342"/>
      <c r="S71" s="342"/>
      <c r="T71" s="342"/>
      <c r="U71" s="342"/>
      <c r="V71" s="342"/>
      <c r="W71" s="342"/>
      <c r="X71" s="342"/>
      <c r="Y71" s="342"/>
    </row>
    <row r="72" spans="3:27" x14ac:dyDescent="0.25">
      <c r="D72" s="52"/>
      <c r="E72" s="12"/>
      <c r="F72" s="12"/>
      <c r="G72" s="12"/>
    </row>
    <row r="73" spans="3:27" x14ac:dyDescent="0.25">
      <c r="D73" s="52"/>
      <c r="E73" s="12" t="s">
        <v>322</v>
      </c>
      <c r="F73" s="12"/>
      <c r="G73" s="12" t="s">
        <v>102</v>
      </c>
      <c r="J73" s="211">
        <f>J71 * J63</f>
        <v>1162.6872471438132</v>
      </c>
      <c r="K73" s="211">
        <f t="shared" ref="K73:P73" si="7">K71 * K63</f>
        <v>0</v>
      </c>
      <c r="L73" s="211">
        <f t="shared" si="7"/>
        <v>390.47688512134999</v>
      </c>
      <c r="M73" s="211">
        <f t="shared" si="7"/>
        <v>0</v>
      </c>
      <c r="N73" s="211">
        <f t="shared" si="7"/>
        <v>408.31607731070233</v>
      </c>
      <c r="O73" s="211">
        <f t="shared" si="7"/>
        <v>38.733171990243179</v>
      </c>
      <c r="P73" s="211">
        <f t="shared" si="7"/>
        <v>429.1988440590543</v>
      </c>
      <c r="Q73" s="342"/>
      <c r="R73" s="342"/>
      <c r="S73" s="342"/>
      <c r="T73" s="342"/>
      <c r="U73" s="342"/>
      <c r="V73" s="342"/>
      <c r="W73" s="342"/>
      <c r="X73" s="342"/>
      <c r="Y73" s="342"/>
    </row>
    <row r="74" spans="3:27" x14ac:dyDescent="0.25">
      <c r="D74" s="52"/>
      <c r="E74" s="12"/>
      <c r="F74" s="12"/>
      <c r="G74" s="12"/>
    </row>
    <row r="75" spans="3:27" x14ac:dyDescent="0.25">
      <c r="D75" s="52" t="s">
        <v>950</v>
      </c>
      <c r="E75" s="12"/>
      <c r="F75" s="12"/>
      <c r="G75" s="12"/>
    </row>
    <row r="76" spans="3:27" x14ac:dyDescent="0.25">
      <c r="D76" s="52"/>
      <c r="E76" s="12"/>
      <c r="F76" s="12"/>
      <c r="G76" s="12"/>
    </row>
    <row r="77" spans="3:27" x14ac:dyDescent="0.25">
      <c r="D77" s="52"/>
      <c r="E77" s="12" t="s">
        <v>71</v>
      </c>
      <c r="F77" s="12"/>
      <c r="G77" s="12" t="s">
        <v>94</v>
      </c>
      <c r="J77" s="338">
        <f t="shared" ref="J77:P77" si="8">SUMIF($J$38:$Y$38, J$38, $J$69:$Y$69) / SUMIF($J$38:$Y$38, J$38, $J$71:$Y$71)</f>
        <v>0.38640826968908576</v>
      </c>
      <c r="K77" s="338">
        <f t="shared" si="8"/>
        <v>0.38640826968908576</v>
      </c>
      <c r="L77" s="338">
        <f t="shared" si="8"/>
        <v>0.41487162807277433</v>
      </c>
      <c r="M77" s="338">
        <f t="shared" si="8"/>
        <v>0.41487162807277433</v>
      </c>
      <c r="N77" s="338">
        <f t="shared" si="8"/>
        <v>0.55300000000000005</v>
      </c>
      <c r="O77" s="338">
        <f t="shared" si="8"/>
        <v>0.67800000000000005</v>
      </c>
      <c r="P77" s="338">
        <f t="shared" si="8"/>
        <v>0.73199999999999998</v>
      </c>
      <c r="Q77" s="342"/>
      <c r="R77" s="342"/>
      <c r="S77" s="342"/>
      <c r="T77" s="342"/>
      <c r="U77" s="342"/>
      <c r="V77" s="342"/>
      <c r="W77" s="342"/>
      <c r="X77" s="342"/>
      <c r="Y77" s="342"/>
    </row>
    <row r="78" spans="3:27" x14ac:dyDescent="0.25">
      <c r="D78" s="52"/>
      <c r="E78" s="12"/>
      <c r="F78" s="12"/>
      <c r="G78" s="12"/>
    </row>
    <row r="79" spans="3:27" x14ac:dyDescent="0.25">
      <c r="D79" s="52"/>
      <c r="E79" s="12" t="s">
        <v>70</v>
      </c>
      <c r="F79" s="12"/>
      <c r="G79" s="12" t="s">
        <v>94</v>
      </c>
      <c r="J79" s="338">
        <f t="shared" ref="J79:P79" si="9">SUMIF($J$38:$Y$38, J$38, $J$73:$Y$73) / SUMIF($J$38:$Y$38, J$38, $J$71:$Y$71)</f>
        <v>0.69036028873434152</v>
      </c>
      <c r="K79" s="338">
        <f t="shared" si="9"/>
        <v>0.69036028873434152</v>
      </c>
      <c r="L79" s="338">
        <f t="shared" si="9"/>
        <v>0.67998898410446262</v>
      </c>
      <c r="M79" s="338">
        <f t="shared" si="9"/>
        <v>0.67998898410446262</v>
      </c>
      <c r="N79" s="338">
        <f t="shared" si="9"/>
        <v>0.79900000000000004</v>
      </c>
      <c r="O79" s="338">
        <f t="shared" si="9"/>
        <v>0.82866666666666655</v>
      </c>
      <c r="P79" s="338">
        <f t="shared" si="9"/>
        <v>0.86599999999999999</v>
      </c>
      <c r="Q79" s="342"/>
      <c r="R79" s="342"/>
      <c r="S79" s="342"/>
      <c r="T79" s="342"/>
      <c r="U79" s="342"/>
      <c r="V79" s="342"/>
      <c r="W79" s="342"/>
      <c r="X79" s="342"/>
      <c r="Y79" s="342"/>
    </row>
    <row r="80" spans="3:27" x14ac:dyDescent="0.25">
      <c r="D80" s="52"/>
      <c r="E80" s="12"/>
      <c r="F80" s="12"/>
      <c r="G80" s="12"/>
    </row>
    <row r="81" spans="2:27" x14ac:dyDescent="0.25">
      <c r="D81" s="52" t="s">
        <v>951</v>
      </c>
      <c r="E81" s="12"/>
      <c r="F81" s="12"/>
      <c r="G81" s="12"/>
    </row>
    <row r="82" spans="2:27" x14ac:dyDescent="0.25">
      <c r="D82" s="12"/>
      <c r="E82" s="12"/>
      <c r="F82" s="12"/>
      <c r="G82" s="12"/>
    </row>
    <row r="83" spans="2:27" x14ac:dyDescent="0.25">
      <c r="D83" s="12"/>
      <c r="E83" s="12" t="s">
        <v>71</v>
      </c>
      <c r="F83" s="12"/>
      <c r="G83" s="12" t="s">
        <v>94</v>
      </c>
      <c r="J83" s="338">
        <f>IF(J$38 = 0, J62, J77)</f>
        <v>0.38640826968908576</v>
      </c>
      <c r="K83" s="338">
        <f t="shared" ref="K83:Y83" si="10">IF(K$38 = 0, K62, K77)</f>
        <v>0.38640826968908576</v>
      </c>
      <c r="L83" s="338">
        <f t="shared" si="10"/>
        <v>0.41487162807277433</v>
      </c>
      <c r="M83" s="338">
        <f>IF(M$38 = 0, M62, M77)</f>
        <v>0.41487162807277433</v>
      </c>
      <c r="N83" s="338">
        <f t="shared" si="10"/>
        <v>0.55300000000000005</v>
      </c>
      <c r="O83" s="338">
        <f t="shared" si="10"/>
        <v>0.67800000000000005</v>
      </c>
      <c r="P83" s="338">
        <f t="shared" si="10"/>
        <v>0.73199999999999998</v>
      </c>
      <c r="Q83" s="338">
        <f t="shared" si="10"/>
        <v>0.48033333333333333</v>
      </c>
      <c r="R83" s="338">
        <f t="shared" si="10"/>
        <v>0</v>
      </c>
      <c r="S83" s="338">
        <f t="shared" si="10"/>
        <v>0</v>
      </c>
      <c r="T83" s="338">
        <f t="shared" si="10"/>
        <v>0</v>
      </c>
      <c r="U83" s="338">
        <f t="shared" si="10"/>
        <v>0</v>
      </c>
      <c r="V83" s="338">
        <f t="shared" si="10"/>
        <v>0</v>
      </c>
      <c r="W83" s="338">
        <f t="shared" si="10"/>
        <v>0</v>
      </c>
      <c r="X83" s="338">
        <f t="shared" si="10"/>
        <v>0</v>
      </c>
      <c r="Y83" s="338">
        <f t="shared" si="10"/>
        <v>0</v>
      </c>
    </row>
    <row r="84" spans="2:27" x14ac:dyDescent="0.25">
      <c r="D84" s="12"/>
      <c r="E84" s="12"/>
      <c r="F84" s="12"/>
      <c r="G84" s="12"/>
    </row>
    <row r="85" spans="2:27" x14ac:dyDescent="0.25">
      <c r="D85" s="12"/>
      <c r="E85" s="12" t="s">
        <v>70</v>
      </c>
      <c r="F85" s="12"/>
      <c r="G85" s="12" t="s">
        <v>94</v>
      </c>
      <c r="J85" s="338">
        <f>IF(J38 = 0, J63, J79)</f>
        <v>0.69036028873434152</v>
      </c>
      <c r="K85" s="338">
        <f t="shared" ref="K85:Y85" si="11">IF(K38 = 0, K63, K79)</f>
        <v>0.69036028873434152</v>
      </c>
      <c r="L85" s="338">
        <f t="shared" si="11"/>
        <v>0.67998898410446262</v>
      </c>
      <c r="M85" s="338">
        <f t="shared" si="11"/>
        <v>0.67998898410446262</v>
      </c>
      <c r="N85" s="338">
        <f t="shared" si="11"/>
        <v>0.79900000000000004</v>
      </c>
      <c r="O85" s="338">
        <f t="shared" si="11"/>
        <v>0.82866666666666655</v>
      </c>
      <c r="P85" s="338">
        <f t="shared" si="11"/>
        <v>0.86599999999999999</v>
      </c>
      <c r="Q85" s="338">
        <f t="shared" si="11"/>
        <v>0.91866666666666663</v>
      </c>
      <c r="R85" s="338">
        <f t="shared" si="11"/>
        <v>0</v>
      </c>
      <c r="S85" s="338">
        <f t="shared" si="11"/>
        <v>0</v>
      </c>
      <c r="T85" s="338">
        <f t="shared" si="11"/>
        <v>0</v>
      </c>
      <c r="U85" s="338">
        <f t="shared" si="11"/>
        <v>0</v>
      </c>
      <c r="V85" s="338">
        <f t="shared" si="11"/>
        <v>0</v>
      </c>
      <c r="W85" s="338">
        <f t="shared" si="11"/>
        <v>0</v>
      </c>
      <c r="X85" s="338">
        <f t="shared" si="11"/>
        <v>0</v>
      </c>
      <c r="Y85" s="338">
        <f t="shared" si="11"/>
        <v>0</v>
      </c>
    </row>
    <row r="87" spans="2:27" x14ac:dyDescent="0.25">
      <c r="C87" s="5" t="str">
        <f ca="1">INDEX('Version control'!$H$36:$H$62,MATCH($A$1,'Version control'!$F$36:$F$62,0),1)&amp;"-G: Calculation of correction factor"</f>
        <v>Section 508-G: Calculation of correction factor</v>
      </c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</row>
    <row r="89" spans="2:27" x14ac:dyDescent="0.25">
      <c r="E89" s="12" t="s">
        <v>143</v>
      </c>
      <c r="G89" s="12" t="s">
        <v>427</v>
      </c>
      <c r="J89" s="211">
        <f t="shared" ref="J89:Y89" si="12">IF(AND(J62 = 0, J63 = 0), 1, J63 / J62)</f>
        <v>1.8482810164424512</v>
      </c>
      <c r="K89" s="211">
        <f t="shared" si="12"/>
        <v>0</v>
      </c>
      <c r="L89" s="211">
        <f t="shared" si="12"/>
        <v>1.675417661097852</v>
      </c>
      <c r="M89" s="211">
        <f t="shared" si="12"/>
        <v>0</v>
      </c>
      <c r="N89" s="211">
        <f t="shared" si="12"/>
        <v>1.4448462929475587</v>
      </c>
      <c r="O89" s="211">
        <f t="shared" si="12"/>
        <v>1.2222222222222221</v>
      </c>
      <c r="P89" s="211">
        <f t="shared" si="12"/>
        <v>1.1830601092896174</v>
      </c>
      <c r="Q89" s="211">
        <f t="shared" si="12"/>
        <v>1.912560721721027</v>
      </c>
      <c r="R89" s="211">
        <f t="shared" si="12"/>
        <v>1</v>
      </c>
      <c r="S89" s="211">
        <f t="shared" si="12"/>
        <v>1</v>
      </c>
      <c r="T89" s="211">
        <f t="shared" si="12"/>
        <v>1</v>
      </c>
      <c r="U89" s="211">
        <f t="shared" si="12"/>
        <v>1</v>
      </c>
      <c r="V89" s="211">
        <f t="shared" si="12"/>
        <v>1</v>
      </c>
      <c r="W89" s="211">
        <f t="shared" si="12"/>
        <v>1</v>
      </c>
      <c r="X89" s="211">
        <f t="shared" si="12"/>
        <v>1</v>
      </c>
      <c r="Y89" s="211">
        <f t="shared" si="12"/>
        <v>1</v>
      </c>
    </row>
    <row r="90" spans="2:27" x14ac:dyDescent="0.25">
      <c r="D90" s="52"/>
      <c r="J90" s="229"/>
      <c r="K90" s="229"/>
      <c r="L90" s="229"/>
      <c r="M90" s="229"/>
      <c r="N90" s="229"/>
      <c r="O90" s="229"/>
      <c r="P90" s="229"/>
      <c r="Q90" s="229"/>
      <c r="R90" s="229"/>
      <c r="S90" s="229"/>
      <c r="T90" s="229"/>
      <c r="U90" s="229"/>
      <c r="V90" s="229"/>
      <c r="W90" s="229"/>
      <c r="X90" s="229"/>
      <c r="Y90" s="229"/>
    </row>
    <row r="91" spans="2:27" x14ac:dyDescent="0.25">
      <c r="E91" s="12" t="s">
        <v>952</v>
      </c>
      <c r="G91" s="12" t="s">
        <v>427</v>
      </c>
      <c r="I91" t="s">
        <v>359</v>
      </c>
      <c r="J91" s="211">
        <f>IF(AND(J83 = 0, J85 = 0), 1, J85 / J83)</f>
        <v>1.7866084731825835</v>
      </c>
      <c r="K91" s="211">
        <f t="shared" ref="K91:Y91" si="13">IF(AND(K83 = 0, K85 = 0), 1, K85 / K83)</f>
        <v>1.7866084731825835</v>
      </c>
      <c r="L91" s="211">
        <f t="shared" si="13"/>
        <v>1.6390346750469593</v>
      </c>
      <c r="M91" s="211">
        <f t="shared" si="13"/>
        <v>1.6390346750469593</v>
      </c>
      <c r="N91" s="211">
        <f>IF(AND(N83 = 0, N85 = 0), 1, N85 / N83)</f>
        <v>1.4448462929475587</v>
      </c>
      <c r="O91" s="211">
        <f t="shared" si="13"/>
        <v>1.2222222222222219</v>
      </c>
      <c r="P91" s="211">
        <f t="shared" si="13"/>
        <v>1.1830601092896176</v>
      </c>
      <c r="Q91" s="211">
        <f t="shared" si="13"/>
        <v>1.912560721721027</v>
      </c>
      <c r="R91" s="211">
        <f t="shared" si="13"/>
        <v>1</v>
      </c>
      <c r="S91" s="211">
        <f t="shared" si="13"/>
        <v>1</v>
      </c>
      <c r="T91" s="211">
        <f t="shared" si="13"/>
        <v>1</v>
      </c>
      <c r="U91" s="211">
        <f t="shared" si="13"/>
        <v>1</v>
      </c>
      <c r="V91" s="211">
        <f t="shared" si="13"/>
        <v>1</v>
      </c>
      <c r="W91" s="211">
        <f t="shared" si="13"/>
        <v>1</v>
      </c>
      <c r="X91" s="211">
        <f t="shared" si="13"/>
        <v>1</v>
      </c>
      <c r="Y91" s="211">
        <f t="shared" si="13"/>
        <v>1</v>
      </c>
      <c r="Z91" s="211"/>
      <c r="AA91" t="s">
        <v>947</v>
      </c>
    </row>
    <row r="92" spans="2:27" x14ac:dyDescent="0.25">
      <c r="D92" s="52"/>
      <c r="J92" s="229"/>
      <c r="K92" s="229"/>
      <c r="L92" s="229"/>
      <c r="M92" s="229"/>
      <c r="N92" s="229"/>
      <c r="O92" s="229"/>
      <c r="P92" s="229"/>
      <c r="Q92" s="229"/>
      <c r="R92" s="229"/>
      <c r="S92" s="229"/>
      <c r="T92" s="229"/>
      <c r="U92" s="229"/>
      <c r="V92" s="229"/>
      <c r="W92" s="229"/>
      <c r="X92" s="229"/>
      <c r="Y92" s="229"/>
    </row>
    <row r="93" spans="2:27" x14ac:dyDescent="0.25">
      <c r="E93" s="12" t="s">
        <v>592</v>
      </c>
      <c r="G93" s="12" t="s">
        <v>427</v>
      </c>
      <c r="I93" t="s">
        <v>359</v>
      </c>
      <c r="J93" s="211">
        <f>IF(OR(J54 = 0, J85 = 0), 1, J91 / J54)</f>
        <v>1.2713666161076829</v>
      </c>
      <c r="K93" s="211">
        <f t="shared" ref="K93:Y93" si="14">IF(OR(K54 = 0, K85 = 0), 1, K91 / K54)</f>
        <v>1.2713666161076829</v>
      </c>
      <c r="L93" s="211">
        <f t="shared" si="14"/>
        <v>1.5345132958789527</v>
      </c>
      <c r="M93" s="211">
        <f t="shared" si="14"/>
        <v>1.5345132958789527</v>
      </c>
      <c r="N93" s="211">
        <f>IF(OR(N54 = 0, N85 = 0), 1, N91 / N54)</f>
        <v>1.2960125326241476</v>
      </c>
      <c r="O93" s="211">
        <f t="shared" si="14"/>
        <v>1.1359071113566919</v>
      </c>
      <c r="P93" s="211">
        <f t="shared" si="14"/>
        <v>1.1356848818491119</v>
      </c>
      <c r="Q93" s="211">
        <f t="shared" si="14"/>
        <v>1.1300737009252229</v>
      </c>
      <c r="R93" s="211">
        <f t="shared" si="14"/>
        <v>1</v>
      </c>
      <c r="S93" s="211">
        <f t="shared" si="14"/>
        <v>1</v>
      </c>
      <c r="T93" s="211">
        <f t="shared" si="14"/>
        <v>1</v>
      </c>
      <c r="U93" s="211">
        <f t="shared" si="14"/>
        <v>1</v>
      </c>
      <c r="V93" s="211">
        <f t="shared" si="14"/>
        <v>1</v>
      </c>
      <c r="W93" s="211">
        <f t="shared" si="14"/>
        <v>1</v>
      </c>
      <c r="X93" s="211">
        <f t="shared" si="14"/>
        <v>1</v>
      </c>
      <c r="Y93" s="211">
        <f t="shared" si="14"/>
        <v>1</v>
      </c>
      <c r="AA93" t="s">
        <v>749</v>
      </c>
    </row>
    <row r="94" spans="2:27" x14ac:dyDescent="0.25">
      <c r="F94" s="12"/>
      <c r="G94" s="12"/>
    </row>
    <row r="95" spans="2:27" x14ac:dyDescent="0.25">
      <c r="B95" s="82" t="s">
        <v>795</v>
      </c>
      <c r="C95" s="65"/>
      <c r="D95" s="64"/>
      <c r="E95" s="64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</row>
    <row r="97" spans="3:27" x14ac:dyDescent="0.25">
      <c r="C97" s="73" t="s">
        <v>796</v>
      </c>
      <c r="I97" t="s">
        <v>359</v>
      </c>
      <c r="AA97" t="s">
        <v>750</v>
      </c>
    </row>
    <row r="98" spans="3:27" x14ac:dyDescent="0.25">
      <c r="C98" s="73" t="s">
        <v>640</v>
      </c>
    </row>
    <row r="100" spans="3:27" x14ac:dyDescent="0.25">
      <c r="C100" s="5" t="str">
        <f ca="1">INDEX('Version control'!$H$36:$H$62,MATCH($A$1,'Version control'!$F$36:$F$62,0),1)&amp;"-H: Peaking probabilities, by network level"</f>
        <v>Section 508-H: Peaking probabilities, by network level</v>
      </c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</row>
    <row r="102" spans="3:27" x14ac:dyDescent="0.25">
      <c r="E102" s="52" t="s">
        <v>579</v>
      </c>
      <c r="G102" s="12"/>
    </row>
    <row r="103" spans="3:27" x14ac:dyDescent="0.25">
      <c r="F103" s="38" t="s">
        <v>84</v>
      </c>
      <c r="G103" s="14" t="s">
        <v>94</v>
      </c>
      <c r="H103" s="114">
        <f>'Inputs by network level'!K43</f>
        <v>0.73908767276423848</v>
      </c>
    </row>
    <row r="104" spans="3:27" x14ac:dyDescent="0.25">
      <c r="F104" s="92" t="s">
        <v>85</v>
      </c>
      <c r="G104" s="12" t="s">
        <v>94</v>
      </c>
      <c r="H104" s="120">
        <f>'Inputs by network level'!K44</f>
        <v>0.25617846550417606</v>
      </c>
    </row>
    <row r="105" spans="3:27" x14ac:dyDescent="0.25">
      <c r="F105" s="34" t="s">
        <v>86</v>
      </c>
      <c r="G105" s="13" t="s">
        <v>94</v>
      </c>
      <c r="H105" s="337">
        <f>'Inputs by network level'!K45</f>
        <v>4.7341428587617208E-3</v>
      </c>
    </row>
    <row r="106" spans="3:27" x14ac:dyDescent="0.25">
      <c r="F106" s="38" t="s">
        <v>87</v>
      </c>
      <c r="G106" s="14" t="s">
        <v>94</v>
      </c>
      <c r="H106" s="114">
        <f>'Inputs by network level'!K46</f>
        <v>0.66927169570754697</v>
      </c>
    </row>
    <row r="107" spans="3:27" x14ac:dyDescent="0.25">
      <c r="F107" s="92" t="s">
        <v>88</v>
      </c>
      <c r="G107" s="12" t="s">
        <v>94</v>
      </c>
      <c r="H107" s="56">
        <f>SUM(H103:H104) - H106</f>
        <v>0.32599444256086751</v>
      </c>
    </row>
    <row r="108" spans="3:27" x14ac:dyDescent="0.25">
      <c r="F108" s="34" t="s">
        <v>86</v>
      </c>
      <c r="G108" s="13" t="s">
        <v>94</v>
      </c>
      <c r="H108" s="154">
        <f>H105</f>
        <v>4.7341428587617208E-3</v>
      </c>
    </row>
    <row r="109" spans="3:27" x14ac:dyDescent="0.25">
      <c r="F109" s="73"/>
      <c r="G109" s="12"/>
    </row>
    <row r="110" spans="3:27" x14ac:dyDescent="0.25">
      <c r="E110" s="52" t="s">
        <v>580</v>
      </c>
      <c r="G110" s="12"/>
    </row>
    <row r="111" spans="3:27" x14ac:dyDescent="0.25">
      <c r="F111" s="38" t="s">
        <v>243</v>
      </c>
      <c r="G111" s="14" t="s">
        <v>94</v>
      </c>
      <c r="H111" s="114">
        <f>'Inputs by network level'!L43</f>
        <v>0</v>
      </c>
    </row>
    <row r="112" spans="3:27" x14ac:dyDescent="0.25">
      <c r="F112" s="92" t="s">
        <v>244</v>
      </c>
      <c r="G112" s="12" t="s">
        <v>94</v>
      </c>
      <c r="H112" s="120">
        <f>'Inputs by network level'!L44</f>
        <v>0</v>
      </c>
    </row>
    <row r="113" spans="5:8" x14ac:dyDescent="0.25">
      <c r="F113" s="34" t="s">
        <v>86</v>
      </c>
      <c r="G113" s="13" t="s">
        <v>94</v>
      </c>
      <c r="H113" s="337">
        <f>'Inputs by network level'!L45</f>
        <v>0</v>
      </c>
    </row>
    <row r="114" spans="5:8" x14ac:dyDescent="0.25">
      <c r="F114" s="38" t="s">
        <v>87</v>
      </c>
      <c r="G114" s="14" t="s">
        <v>94</v>
      </c>
      <c r="H114" s="114">
        <f>'Inputs by network level'!L46</f>
        <v>0</v>
      </c>
    </row>
    <row r="115" spans="5:8" x14ac:dyDescent="0.25">
      <c r="F115" s="92" t="s">
        <v>88</v>
      </c>
      <c r="G115" s="12" t="s">
        <v>94</v>
      </c>
      <c r="H115" s="56">
        <f>SUM(H111:H112) - H114</f>
        <v>0</v>
      </c>
    </row>
    <row r="116" spans="5:8" x14ac:dyDescent="0.25">
      <c r="F116" s="34" t="s">
        <v>86</v>
      </c>
      <c r="G116" s="13" t="s">
        <v>94</v>
      </c>
      <c r="H116" s="154">
        <f>H113</f>
        <v>0</v>
      </c>
    </row>
    <row r="117" spans="5:8" x14ac:dyDescent="0.25">
      <c r="F117" s="73"/>
      <c r="G117" s="12"/>
    </row>
    <row r="118" spans="5:8" x14ac:dyDescent="0.25">
      <c r="E118" s="52" t="s">
        <v>581</v>
      </c>
      <c r="G118" s="12"/>
    </row>
    <row r="119" spans="5:8" x14ac:dyDescent="0.25">
      <c r="F119" s="38" t="s">
        <v>243</v>
      </c>
      <c r="G119" s="14" t="s">
        <v>94</v>
      </c>
      <c r="H119" s="114">
        <f>'Inputs by network level'!M43</f>
        <v>0</v>
      </c>
    </row>
    <row r="120" spans="5:8" x14ac:dyDescent="0.25">
      <c r="F120" s="92" t="s">
        <v>244</v>
      </c>
      <c r="G120" s="12" t="s">
        <v>94</v>
      </c>
      <c r="H120" s="120">
        <f>'Inputs by network level'!M44</f>
        <v>0</v>
      </c>
    </row>
    <row r="121" spans="5:8" x14ac:dyDescent="0.25">
      <c r="F121" s="34" t="s">
        <v>86</v>
      </c>
      <c r="G121" s="13" t="s">
        <v>94</v>
      </c>
      <c r="H121" s="337">
        <f>'Inputs by network level'!M45</f>
        <v>0</v>
      </c>
    </row>
    <row r="122" spans="5:8" x14ac:dyDescent="0.25">
      <c r="F122" s="38" t="s">
        <v>87</v>
      </c>
      <c r="G122" s="14" t="s">
        <v>94</v>
      </c>
      <c r="H122" s="114">
        <f>'Inputs by network level'!M46</f>
        <v>0</v>
      </c>
    </row>
    <row r="123" spans="5:8" x14ac:dyDescent="0.25">
      <c r="F123" s="92" t="s">
        <v>88</v>
      </c>
      <c r="G123" s="12" t="s">
        <v>94</v>
      </c>
      <c r="H123" s="56">
        <f>SUM(H119:H120) - H122</f>
        <v>0</v>
      </c>
    </row>
    <row r="124" spans="5:8" x14ac:dyDescent="0.25">
      <c r="F124" s="34" t="s">
        <v>86</v>
      </c>
      <c r="G124" s="13" t="s">
        <v>94</v>
      </c>
      <c r="H124" s="154">
        <f>H121</f>
        <v>0</v>
      </c>
    </row>
    <row r="125" spans="5:8" x14ac:dyDescent="0.25">
      <c r="F125" s="73"/>
      <c r="G125" s="12"/>
    </row>
    <row r="126" spans="5:8" x14ac:dyDescent="0.25">
      <c r="E126" s="52" t="s">
        <v>582</v>
      </c>
      <c r="G126" s="12"/>
    </row>
    <row r="127" spans="5:8" x14ac:dyDescent="0.25">
      <c r="F127" s="38" t="s">
        <v>243</v>
      </c>
      <c r="G127" s="14" t="s">
        <v>94</v>
      </c>
      <c r="H127" s="114">
        <f>'Inputs by network level'!N43</f>
        <v>0.73908767276423848</v>
      </c>
    </row>
    <row r="128" spans="5:8" x14ac:dyDescent="0.25">
      <c r="F128" s="92" t="s">
        <v>244</v>
      </c>
      <c r="G128" s="12" t="s">
        <v>94</v>
      </c>
      <c r="H128" s="120">
        <f>'Inputs by network level'!N44</f>
        <v>0.25617846550417606</v>
      </c>
    </row>
    <row r="129" spans="5:8" x14ac:dyDescent="0.25">
      <c r="F129" s="34" t="s">
        <v>86</v>
      </c>
      <c r="G129" s="13" t="s">
        <v>94</v>
      </c>
      <c r="H129" s="337">
        <f>'Inputs by network level'!N45</f>
        <v>4.7341428587617208E-3</v>
      </c>
    </row>
    <row r="130" spans="5:8" x14ac:dyDescent="0.25">
      <c r="F130" s="38" t="s">
        <v>87</v>
      </c>
      <c r="G130" s="14" t="s">
        <v>94</v>
      </c>
      <c r="H130" s="114">
        <f>'Inputs by network level'!N46</f>
        <v>0.66927169570754697</v>
      </c>
    </row>
    <row r="131" spans="5:8" x14ac:dyDescent="0.25">
      <c r="F131" s="92" t="s">
        <v>88</v>
      </c>
      <c r="G131" s="12" t="s">
        <v>94</v>
      </c>
      <c r="H131" s="56">
        <f>SUM(H127:H128) - H130</f>
        <v>0.32599444256086751</v>
      </c>
    </row>
    <row r="132" spans="5:8" x14ac:dyDescent="0.25">
      <c r="F132" s="34" t="s">
        <v>86</v>
      </c>
      <c r="G132" s="13" t="s">
        <v>94</v>
      </c>
      <c r="H132" s="154">
        <f>H129</f>
        <v>4.7341428587617208E-3</v>
      </c>
    </row>
    <row r="133" spans="5:8" x14ac:dyDescent="0.25">
      <c r="F133" s="73"/>
      <c r="G133" s="12"/>
    </row>
    <row r="134" spans="5:8" x14ac:dyDescent="0.25">
      <c r="E134" s="52" t="s">
        <v>583</v>
      </c>
      <c r="G134" s="12"/>
    </row>
    <row r="135" spans="5:8" x14ac:dyDescent="0.25">
      <c r="F135" s="38" t="s">
        <v>243</v>
      </c>
      <c r="G135" s="14" t="s">
        <v>94</v>
      </c>
      <c r="H135" s="114">
        <f>'Inputs by network level'!O43</f>
        <v>0.59550355516188336</v>
      </c>
    </row>
    <row r="136" spans="5:8" x14ac:dyDescent="0.25">
      <c r="F136" s="92" t="s">
        <v>244</v>
      </c>
      <c r="G136" s="12" t="s">
        <v>94</v>
      </c>
      <c r="H136" s="120">
        <f>'Inputs by network level'!O44</f>
        <v>0.39398042542826833</v>
      </c>
    </row>
    <row r="137" spans="5:8" x14ac:dyDescent="0.25">
      <c r="F137" s="34" t="s">
        <v>86</v>
      </c>
      <c r="G137" s="13" t="s">
        <v>94</v>
      </c>
      <c r="H137" s="337">
        <f>'Inputs by network level'!O45</f>
        <v>1.051601940984799E-2</v>
      </c>
    </row>
    <row r="138" spans="5:8" x14ac:dyDescent="0.25">
      <c r="F138" s="38" t="s">
        <v>87</v>
      </c>
      <c r="G138" s="14" t="s">
        <v>94</v>
      </c>
      <c r="H138" s="114">
        <f>'Inputs by network level'!O46</f>
        <v>0.56487110652622663</v>
      </c>
    </row>
    <row r="139" spans="5:8" x14ac:dyDescent="0.25">
      <c r="F139" s="92" t="s">
        <v>88</v>
      </c>
      <c r="G139" s="12" t="s">
        <v>94</v>
      </c>
      <c r="H139" s="56">
        <f>SUM(H135:H136) - H138</f>
        <v>0.42461287406392501</v>
      </c>
    </row>
    <row r="140" spans="5:8" x14ac:dyDescent="0.25">
      <c r="F140" s="34" t="s">
        <v>86</v>
      </c>
      <c r="G140" s="13" t="s">
        <v>94</v>
      </c>
      <c r="H140" s="154">
        <f>H137</f>
        <v>1.051601940984799E-2</v>
      </c>
    </row>
    <row r="141" spans="5:8" x14ac:dyDescent="0.25">
      <c r="F141" s="73"/>
      <c r="G141" s="12"/>
    </row>
    <row r="142" spans="5:8" x14ac:dyDescent="0.25">
      <c r="E142" s="52" t="s">
        <v>584</v>
      </c>
      <c r="G142" s="12"/>
    </row>
    <row r="143" spans="5:8" x14ac:dyDescent="0.25">
      <c r="F143" s="38" t="s">
        <v>243</v>
      </c>
      <c r="G143" s="14" t="s">
        <v>94</v>
      </c>
      <c r="H143" s="114">
        <f>'Inputs by network level'!P43</f>
        <v>0</v>
      </c>
    </row>
    <row r="144" spans="5:8" x14ac:dyDescent="0.25">
      <c r="F144" s="92" t="s">
        <v>244</v>
      </c>
      <c r="G144" s="12" t="s">
        <v>94</v>
      </c>
      <c r="H144" s="120">
        <f>'Inputs by network level'!P44</f>
        <v>0</v>
      </c>
    </row>
    <row r="145" spans="5:8" x14ac:dyDescent="0.25">
      <c r="F145" s="34" t="s">
        <v>86</v>
      </c>
      <c r="G145" s="13" t="s">
        <v>94</v>
      </c>
      <c r="H145" s="337">
        <f>'Inputs by network level'!P45</f>
        <v>0</v>
      </c>
    </row>
    <row r="146" spans="5:8" x14ac:dyDescent="0.25">
      <c r="F146" s="38" t="s">
        <v>87</v>
      </c>
      <c r="G146" s="14" t="s">
        <v>94</v>
      </c>
      <c r="H146" s="114">
        <f>'Inputs by network level'!P46</f>
        <v>0</v>
      </c>
    </row>
    <row r="147" spans="5:8" x14ac:dyDescent="0.25">
      <c r="F147" s="92" t="s">
        <v>88</v>
      </c>
      <c r="G147" s="12" t="s">
        <v>94</v>
      </c>
      <c r="H147" s="56">
        <f>SUM(H143:H144) - H146</f>
        <v>0</v>
      </c>
    </row>
    <row r="148" spans="5:8" x14ac:dyDescent="0.25">
      <c r="F148" s="34" t="s">
        <v>86</v>
      </c>
      <c r="G148" s="13" t="s">
        <v>94</v>
      </c>
      <c r="H148" s="154">
        <f>H145</f>
        <v>0</v>
      </c>
    </row>
    <row r="149" spans="5:8" x14ac:dyDescent="0.25">
      <c r="F149" s="73"/>
      <c r="G149" s="12"/>
    </row>
    <row r="150" spans="5:8" x14ac:dyDescent="0.25">
      <c r="E150" s="52" t="s">
        <v>585</v>
      </c>
      <c r="G150" s="12"/>
    </row>
    <row r="151" spans="5:8" x14ac:dyDescent="0.25">
      <c r="F151" s="38" t="s">
        <v>243</v>
      </c>
      <c r="G151" s="14" t="s">
        <v>94</v>
      </c>
      <c r="H151" s="114">
        <f>'Inputs by network level'!Q43</f>
        <v>0.59550355516188336</v>
      </c>
    </row>
    <row r="152" spans="5:8" x14ac:dyDescent="0.25">
      <c r="F152" s="92" t="s">
        <v>244</v>
      </c>
      <c r="G152" s="12" t="s">
        <v>94</v>
      </c>
      <c r="H152" s="120">
        <f>'Inputs by network level'!Q44</f>
        <v>0.39398042542826833</v>
      </c>
    </row>
    <row r="153" spans="5:8" x14ac:dyDescent="0.25">
      <c r="F153" s="34" t="s">
        <v>86</v>
      </c>
      <c r="G153" s="13" t="s">
        <v>94</v>
      </c>
      <c r="H153" s="337">
        <f>'Inputs by network level'!Q45</f>
        <v>1.051601940984799E-2</v>
      </c>
    </row>
    <row r="154" spans="5:8" x14ac:dyDescent="0.25">
      <c r="F154" s="38" t="s">
        <v>87</v>
      </c>
      <c r="G154" s="14" t="s">
        <v>94</v>
      </c>
      <c r="H154" s="114">
        <f>'Inputs by network level'!Q46</f>
        <v>0.56487110652622663</v>
      </c>
    </row>
    <row r="155" spans="5:8" x14ac:dyDescent="0.25">
      <c r="F155" s="92" t="s">
        <v>88</v>
      </c>
      <c r="G155" s="12" t="s">
        <v>94</v>
      </c>
      <c r="H155" s="56">
        <f>SUM(H151:H152) - H154</f>
        <v>0.42461287406392501</v>
      </c>
    </row>
    <row r="156" spans="5:8" x14ac:dyDescent="0.25">
      <c r="F156" s="34" t="s">
        <v>86</v>
      </c>
      <c r="G156" s="13" t="s">
        <v>94</v>
      </c>
      <c r="H156" s="154">
        <f>H153</f>
        <v>1.051601940984799E-2</v>
      </c>
    </row>
    <row r="157" spans="5:8" x14ac:dyDescent="0.25">
      <c r="F157" s="73"/>
      <c r="G157" s="12"/>
    </row>
    <row r="158" spans="5:8" x14ac:dyDescent="0.25">
      <c r="E158" s="52" t="s">
        <v>586</v>
      </c>
      <c r="G158" s="12"/>
    </row>
    <row r="159" spans="5:8" x14ac:dyDescent="0.25">
      <c r="F159" s="38" t="s">
        <v>243</v>
      </c>
      <c r="G159" s="14" t="s">
        <v>94</v>
      </c>
      <c r="H159" s="114">
        <f>'Inputs by network level'!R43</f>
        <v>0.59550355516188336</v>
      </c>
    </row>
    <row r="160" spans="5:8" x14ac:dyDescent="0.25">
      <c r="F160" s="92" t="s">
        <v>244</v>
      </c>
      <c r="G160" s="12" t="s">
        <v>94</v>
      </c>
      <c r="H160" s="120">
        <f>'Inputs by network level'!R44</f>
        <v>0.39398042542826833</v>
      </c>
    </row>
    <row r="161" spans="3:27" x14ac:dyDescent="0.25">
      <c r="F161" s="34" t="s">
        <v>86</v>
      </c>
      <c r="G161" s="13" t="s">
        <v>94</v>
      </c>
      <c r="H161" s="337">
        <f>'Inputs by network level'!R45</f>
        <v>1.051601940984799E-2</v>
      </c>
    </row>
    <row r="162" spans="3:27" x14ac:dyDescent="0.25">
      <c r="F162" s="38" t="s">
        <v>87</v>
      </c>
      <c r="G162" s="14" t="s">
        <v>94</v>
      </c>
      <c r="H162" s="114">
        <f>'Inputs by network level'!R46</f>
        <v>0.56487110652622663</v>
      </c>
    </row>
    <row r="163" spans="3:27" x14ac:dyDescent="0.25">
      <c r="F163" s="92" t="s">
        <v>88</v>
      </c>
      <c r="G163" s="12" t="s">
        <v>94</v>
      </c>
      <c r="H163" s="56">
        <f>SUM(H159:H160) - H162</f>
        <v>0.42461287406392501</v>
      </c>
    </row>
    <row r="164" spans="3:27" x14ac:dyDescent="0.25">
      <c r="F164" s="34" t="s">
        <v>86</v>
      </c>
      <c r="G164" s="13" t="s">
        <v>94</v>
      </c>
      <c r="H164" s="154">
        <f>H161</f>
        <v>1.051601940984799E-2</v>
      </c>
    </row>
    <row r="165" spans="3:27" x14ac:dyDescent="0.25">
      <c r="F165" s="73"/>
      <c r="G165" s="12"/>
    </row>
    <row r="166" spans="3:27" x14ac:dyDescent="0.25">
      <c r="E166" s="52" t="s">
        <v>587</v>
      </c>
      <c r="G166" s="12"/>
    </row>
    <row r="167" spans="3:27" x14ac:dyDescent="0.25">
      <c r="F167" s="38" t="s">
        <v>243</v>
      </c>
      <c r="G167" s="14" t="s">
        <v>94</v>
      </c>
      <c r="H167" s="114">
        <f>'Inputs by network level'!S43</f>
        <v>0.59550355516188336</v>
      </c>
    </row>
    <row r="168" spans="3:27" x14ac:dyDescent="0.25">
      <c r="F168" s="92" t="s">
        <v>244</v>
      </c>
      <c r="G168" s="12" t="s">
        <v>94</v>
      </c>
      <c r="H168" s="120">
        <f>'Inputs by network level'!S44</f>
        <v>0.39398042542826833</v>
      </c>
    </row>
    <row r="169" spans="3:27" x14ac:dyDescent="0.25">
      <c r="F169" s="34" t="s">
        <v>86</v>
      </c>
      <c r="G169" s="13" t="s">
        <v>94</v>
      </c>
      <c r="H169" s="337">
        <f>'Inputs by network level'!S45</f>
        <v>1.051601940984799E-2</v>
      </c>
    </row>
    <row r="170" spans="3:27" x14ac:dyDescent="0.25">
      <c r="F170" s="38" t="s">
        <v>87</v>
      </c>
      <c r="G170" s="14" t="s">
        <v>94</v>
      </c>
      <c r="H170" s="114">
        <f>'Inputs by network level'!S46</f>
        <v>0.56487110652622663</v>
      </c>
    </row>
    <row r="171" spans="3:27" x14ac:dyDescent="0.25">
      <c r="F171" s="92" t="s">
        <v>88</v>
      </c>
      <c r="G171" s="12" t="s">
        <v>94</v>
      </c>
      <c r="H171" s="56">
        <f>SUM(H167:H168) - H170</f>
        <v>0.42461287406392501</v>
      </c>
    </row>
    <row r="172" spans="3:27" x14ac:dyDescent="0.25">
      <c r="F172" s="34" t="s">
        <v>86</v>
      </c>
      <c r="G172" s="13" t="s">
        <v>94</v>
      </c>
      <c r="H172" s="154">
        <f>H169</f>
        <v>1.051601940984799E-2</v>
      </c>
    </row>
    <row r="173" spans="3:27" x14ac:dyDescent="0.25">
      <c r="E173" s="73"/>
      <c r="F173" s="12"/>
      <c r="G173" s="12"/>
    </row>
    <row r="174" spans="3:27" x14ac:dyDescent="0.25">
      <c r="C174" s="5" t="str">
        <f ca="1">INDEX('Version control'!$H$36:$H$62,MATCH($A$1,'Version control'!$F$36:$F$62,0),1)&amp;"-I: Peaking probabilities, by network level and customer type"</f>
        <v>Section 508-I: Peaking probabilities, by network level and customer type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</row>
    <row r="176" spans="3:27" x14ac:dyDescent="0.25">
      <c r="E176" s="52" t="s">
        <v>579</v>
      </c>
      <c r="G176" s="12"/>
    </row>
    <row r="177" spans="5:25" x14ac:dyDescent="0.25">
      <c r="E177" s="73"/>
      <c r="F177" s="38" t="s">
        <v>243</v>
      </c>
      <c r="G177" s="14" t="s">
        <v>94</v>
      </c>
      <c r="H177" s="114"/>
      <c r="I177" s="80"/>
      <c r="J177" s="152">
        <f t="shared" ref="J177:Y179" si="15">IF(J$20, $H106, $H103)</f>
        <v>0.73908767276423848</v>
      </c>
      <c r="K177" s="152">
        <f t="shared" si="15"/>
        <v>0.73908767276423848</v>
      </c>
      <c r="L177" s="152">
        <f t="shared" si="15"/>
        <v>0.73908767276423848</v>
      </c>
      <c r="M177" s="152">
        <f t="shared" si="15"/>
        <v>0.73908767276423848</v>
      </c>
      <c r="N177" s="152">
        <f t="shared" si="15"/>
        <v>0.73908767276423848</v>
      </c>
      <c r="O177" s="152">
        <f t="shared" si="15"/>
        <v>0.73908767276423848</v>
      </c>
      <c r="P177" s="152">
        <f t="shared" si="15"/>
        <v>0.73908767276423848</v>
      </c>
      <c r="Q177" s="152">
        <f t="shared" si="15"/>
        <v>0.66927169570754697</v>
      </c>
      <c r="R177" s="152">
        <f t="shared" si="15"/>
        <v>0.73908767276423848</v>
      </c>
      <c r="S177" s="152">
        <f t="shared" si="15"/>
        <v>0.73908767276423848</v>
      </c>
      <c r="T177" s="152">
        <f t="shared" si="15"/>
        <v>0.73908767276423848</v>
      </c>
      <c r="U177" s="152">
        <f t="shared" si="15"/>
        <v>0.73908767276423848</v>
      </c>
      <c r="V177" s="152">
        <f t="shared" si="15"/>
        <v>0.73908767276423848</v>
      </c>
      <c r="W177" s="152">
        <f t="shared" si="15"/>
        <v>0.73908767276423848</v>
      </c>
      <c r="X177" s="152">
        <f t="shared" si="15"/>
        <v>0.73908767276423848</v>
      </c>
      <c r="Y177" s="152">
        <f t="shared" si="15"/>
        <v>0.73908767276423848</v>
      </c>
    </row>
    <row r="178" spans="5:25" x14ac:dyDescent="0.25">
      <c r="E178" s="73"/>
      <c r="F178" s="92" t="s">
        <v>244</v>
      </c>
      <c r="G178" s="12" t="s">
        <v>94</v>
      </c>
      <c r="H178" s="120"/>
      <c r="J178" s="338">
        <f t="shared" si="15"/>
        <v>0.25617846550417606</v>
      </c>
      <c r="K178" s="338">
        <f t="shared" si="15"/>
        <v>0.25617846550417606</v>
      </c>
      <c r="L178" s="338">
        <f t="shared" si="15"/>
        <v>0.25617846550417606</v>
      </c>
      <c r="M178" s="338">
        <f t="shared" si="15"/>
        <v>0.25617846550417606</v>
      </c>
      <c r="N178" s="338">
        <f t="shared" si="15"/>
        <v>0.25617846550417606</v>
      </c>
      <c r="O178" s="338">
        <f t="shared" si="15"/>
        <v>0.25617846550417606</v>
      </c>
      <c r="P178" s="338">
        <f t="shared" si="15"/>
        <v>0.25617846550417606</v>
      </c>
      <c r="Q178" s="338">
        <f t="shared" si="15"/>
        <v>0.32599444256086751</v>
      </c>
      <c r="R178" s="338">
        <f t="shared" si="15"/>
        <v>0.25617846550417606</v>
      </c>
      <c r="S178" s="338">
        <f t="shared" si="15"/>
        <v>0.25617846550417606</v>
      </c>
      <c r="T178" s="338">
        <f t="shared" si="15"/>
        <v>0.25617846550417606</v>
      </c>
      <c r="U178" s="338">
        <f t="shared" si="15"/>
        <v>0.25617846550417606</v>
      </c>
      <c r="V178" s="338">
        <f t="shared" si="15"/>
        <v>0.25617846550417606</v>
      </c>
      <c r="W178" s="338">
        <f t="shared" si="15"/>
        <v>0.25617846550417606</v>
      </c>
      <c r="X178" s="338">
        <f t="shared" si="15"/>
        <v>0.25617846550417606</v>
      </c>
      <c r="Y178" s="338">
        <f t="shared" si="15"/>
        <v>0.25617846550417606</v>
      </c>
    </row>
    <row r="179" spans="5:25" x14ac:dyDescent="0.25">
      <c r="E179" s="73"/>
      <c r="F179" s="34" t="s">
        <v>86</v>
      </c>
      <c r="G179" s="13" t="s">
        <v>94</v>
      </c>
      <c r="H179" s="337"/>
      <c r="I179" s="17"/>
      <c r="J179" s="153">
        <f t="shared" si="15"/>
        <v>4.7341428587617208E-3</v>
      </c>
      <c r="K179" s="153">
        <f t="shared" si="15"/>
        <v>4.7341428587617208E-3</v>
      </c>
      <c r="L179" s="153">
        <f t="shared" si="15"/>
        <v>4.7341428587617208E-3</v>
      </c>
      <c r="M179" s="153">
        <f t="shared" si="15"/>
        <v>4.7341428587617208E-3</v>
      </c>
      <c r="N179" s="153">
        <f t="shared" si="15"/>
        <v>4.7341428587617208E-3</v>
      </c>
      <c r="O179" s="153">
        <f t="shared" si="15"/>
        <v>4.7341428587617208E-3</v>
      </c>
      <c r="P179" s="153">
        <f t="shared" si="15"/>
        <v>4.7341428587617208E-3</v>
      </c>
      <c r="Q179" s="153">
        <f t="shared" si="15"/>
        <v>4.7341428587617208E-3</v>
      </c>
      <c r="R179" s="153">
        <f t="shared" si="15"/>
        <v>4.7341428587617208E-3</v>
      </c>
      <c r="S179" s="153">
        <f t="shared" si="15"/>
        <v>4.7341428587617208E-3</v>
      </c>
      <c r="T179" s="153">
        <f t="shared" si="15"/>
        <v>4.7341428587617208E-3</v>
      </c>
      <c r="U179" s="153">
        <f t="shared" si="15"/>
        <v>4.7341428587617208E-3</v>
      </c>
      <c r="V179" s="153">
        <f t="shared" si="15"/>
        <v>4.7341428587617208E-3</v>
      </c>
      <c r="W179" s="153">
        <f t="shared" si="15"/>
        <v>4.7341428587617208E-3</v>
      </c>
      <c r="X179" s="153">
        <f t="shared" si="15"/>
        <v>4.7341428587617208E-3</v>
      </c>
      <c r="Y179" s="153">
        <f t="shared" si="15"/>
        <v>4.7341428587617208E-3</v>
      </c>
    </row>
    <row r="180" spans="5:25" x14ac:dyDescent="0.25">
      <c r="E180" s="73"/>
      <c r="F180" s="92"/>
      <c r="G180" s="12"/>
      <c r="H180" s="120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</row>
    <row r="181" spans="5:25" x14ac:dyDescent="0.25">
      <c r="E181" s="52" t="s">
        <v>580</v>
      </c>
      <c r="G181" s="12"/>
    </row>
    <row r="182" spans="5:25" x14ac:dyDescent="0.25">
      <c r="E182" s="73"/>
      <c r="F182" s="38" t="s">
        <v>243</v>
      </c>
      <c r="G182" s="14" t="s">
        <v>94</v>
      </c>
      <c r="H182" s="114"/>
      <c r="I182" s="80"/>
      <c r="J182" s="152">
        <f t="shared" ref="J182:Y184" si="16">IF(J$20, $H114, $H111)</f>
        <v>0</v>
      </c>
      <c r="K182" s="152">
        <f t="shared" si="16"/>
        <v>0</v>
      </c>
      <c r="L182" s="152">
        <f t="shared" si="16"/>
        <v>0</v>
      </c>
      <c r="M182" s="152">
        <f t="shared" si="16"/>
        <v>0</v>
      </c>
      <c r="N182" s="152">
        <f t="shared" si="16"/>
        <v>0</v>
      </c>
      <c r="O182" s="152">
        <f t="shared" si="16"/>
        <v>0</v>
      </c>
      <c r="P182" s="152">
        <f t="shared" si="16"/>
        <v>0</v>
      </c>
      <c r="Q182" s="152">
        <f t="shared" si="16"/>
        <v>0</v>
      </c>
      <c r="R182" s="152">
        <f t="shared" si="16"/>
        <v>0</v>
      </c>
      <c r="S182" s="152">
        <f t="shared" si="16"/>
        <v>0</v>
      </c>
      <c r="T182" s="152">
        <f t="shared" si="16"/>
        <v>0</v>
      </c>
      <c r="U182" s="152">
        <f t="shared" si="16"/>
        <v>0</v>
      </c>
      <c r="V182" s="152">
        <f t="shared" si="16"/>
        <v>0</v>
      </c>
      <c r="W182" s="152">
        <f t="shared" si="16"/>
        <v>0</v>
      </c>
      <c r="X182" s="152">
        <f t="shared" si="16"/>
        <v>0</v>
      </c>
      <c r="Y182" s="152">
        <f t="shared" si="16"/>
        <v>0</v>
      </c>
    </row>
    <row r="183" spans="5:25" x14ac:dyDescent="0.25">
      <c r="E183" s="73"/>
      <c r="F183" s="92" t="s">
        <v>244</v>
      </c>
      <c r="G183" s="12" t="s">
        <v>94</v>
      </c>
      <c r="H183" s="120"/>
      <c r="J183" s="338">
        <f t="shared" si="16"/>
        <v>0</v>
      </c>
      <c r="K183" s="338">
        <f t="shared" si="16"/>
        <v>0</v>
      </c>
      <c r="L183" s="338">
        <f t="shared" si="16"/>
        <v>0</v>
      </c>
      <c r="M183" s="338">
        <f t="shared" si="16"/>
        <v>0</v>
      </c>
      <c r="N183" s="338">
        <f t="shared" si="16"/>
        <v>0</v>
      </c>
      <c r="O183" s="338">
        <f t="shared" si="16"/>
        <v>0</v>
      </c>
      <c r="P183" s="338">
        <f t="shared" si="16"/>
        <v>0</v>
      </c>
      <c r="Q183" s="338">
        <f t="shared" si="16"/>
        <v>0</v>
      </c>
      <c r="R183" s="338">
        <f t="shared" si="16"/>
        <v>0</v>
      </c>
      <c r="S183" s="338">
        <f t="shared" si="16"/>
        <v>0</v>
      </c>
      <c r="T183" s="338">
        <f t="shared" si="16"/>
        <v>0</v>
      </c>
      <c r="U183" s="338">
        <f t="shared" si="16"/>
        <v>0</v>
      </c>
      <c r="V183" s="338">
        <f t="shared" si="16"/>
        <v>0</v>
      </c>
      <c r="W183" s="338">
        <f t="shared" si="16"/>
        <v>0</v>
      </c>
      <c r="X183" s="338">
        <f t="shared" si="16"/>
        <v>0</v>
      </c>
      <c r="Y183" s="338">
        <f t="shared" si="16"/>
        <v>0</v>
      </c>
    </row>
    <row r="184" spans="5:25" x14ac:dyDescent="0.25">
      <c r="E184" s="73"/>
      <c r="F184" s="34" t="s">
        <v>86</v>
      </c>
      <c r="G184" s="13" t="s">
        <v>94</v>
      </c>
      <c r="H184" s="337"/>
      <c r="I184" s="17"/>
      <c r="J184" s="153">
        <f t="shared" si="16"/>
        <v>0</v>
      </c>
      <c r="K184" s="153">
        <f t="shared" si="16"/>
        <v>0</v>
      </c>
      <c r="L184" s="153">
        <f t="shared" si="16"/>
        <v>0</v>
      </c>
      <c r="M184" s="153">
        <f t="shared" si="16"/>
        <v>0</v>
      </c>
      <c r="N184" s="153">
        <f t="shared" si="16"/>
        <v>0</v>
      </c>
      <c r="O184" s="153">
        <f t="shared" si="16"/>
        <v>0</v>
      </c>
      <c r="P184" s="153">
        <f t="shared" si="16"/>
        <v>0</v>
      </c>
      <c r="Q184" s="153">
        <f t="shared" si="16"/>
        <v>0</v>
      </c>
      <c r="R184" s="153">
        <f t="shared" si="16"/>
        <v>0</v>
      </c>
      <c r="S184" s="153">
        <f t="shared" si="16"/>
        <v>0</v>
      </c>
      <c r="T184" s="153">
        <f t="shared" si="16"/>
        <v>0</v>
      </c>
      <c r="U184" s="153">
        <f t="shared" si="16"/>
        <v>0</v>
      </c>
      <c r="V184" s="153">
        <f t="shared" si="16"/>
        <v>0</v>
      </c>
      <c r="W184" s="153">
        <f t="shared" si="16"/>
        <v>0</v>
      </c>
      <c r="X184" s="153">
        <f t="shared" si="16"/>
        <v>0</v>
      </c>
      <c r="Y184" s="153">
        <f t="shared" si="16"/>
        <v>0</v>
      </c>
    </row>
    <row r="185" spans="5:25" x14ac:dyDescent="0.25">
      <c r="E185" s="73"/>
      <c r="F185" s="92"/>
      <c r="G185" s="12"/>
      <c r="H185" s="120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</row>
    <row r="186" spans="5:25" x14ac:dyDescent="0.25">
      <c r="E186" s="52" t="s">
        <v>581</v>
      </c>
      <c r="G186" s="12"/>
    </row>
    <row r="187" spans="5:25" x14ac:dyDescent="0.25">
      <c r="E187" s="73"/>
      <c r="F187" s="38" t="s">
        <v>243</v>
      </c>
      <c r="G187" s="14" t="s">
        <v>94</v>
      </c>
      <c r="H187" s="114"/>
      <c r="I187" s="80"/>
      <c r="J187" s="152">
        <f t="shared" ref="J187:Y189" si="17">IF(J$20, $H122, $H119)</f>
        <v>0</v>
      </c>
      <c r="K187" s="152">
        <f t="shared" si="17"/>
        <v>0</v>
      </c>
      <c r="L187" s="152">
        <f t="shared" si="17"/>
        <v>0</v>
      </c>
      <c r="M187" s="152">
        <f t="shared" si="17"/>
        <v>0</v>
      </c>
      <c r="N187" s="152">
        <f t="shared" si="17"/>
        <v>0</v>
      </c>
      <c r="O187" s="152">
        <f t="shared" si="17"/>
        <v>0</v>
      </c>
      <c r="P187" s="152">
        <f t="shared" si="17"/>
        <v>0</v>
      </c>
      <c r="Q187" s="152">
        <f t="shared" si="17"/>
        <v>0</v>
      </c>
      <c r="R187" s="152">
        <f t="shared" si="17"/>
        <v>0</v>
      </c>
      <c r="S187" s="152">
        <f t="shared" si="17"/>
        <v>0</v>
      </c>
      <c r="T187" s="152">
        <f t="shared" si="17"/>
        <v>0</v>
      </c>
      <c r="U187" s="152">
        <f t="shared" si="17"/>
        <v>0</v>
      </c>
      <c r="V187" s="152">
        <f t="shared" si="17"/>
        <v>0</v>
      </c>
      <c r="W187" s="152">
        <f t="shared" si="17"/>
        <v>0</v>
      </c>
      <c r="X187" s="152">
        <f t="shared" si="17"/>
        <v>0</v>
      </c>
      <c r="Y187" s="152">
        <f t="shared" si="17"/>
        <v>0</v>
      </c>
    </row>
    <row r="188" spans="5:25" x14ac:dyDescent="0.25">
      <c r="E188" s="73"/>
      <c r="F188" s="92" t="s">
        <v>244</v>
      </c>
      <c r="G188" s="12" t="s">
        <v>94</v>
      </c>
      <c r="H188" s="120"/>
      <c r="J188" s="338">
        <f t="shared" si="17"/>
        <v>0</v>
      </c>
      <c r="K188" s="338">
        <f t="shared" si="17"/>
        <v>0</v>
      </c>
      <c r="L188" s="338">
        <f t="shared" si="17"/>
        <v>0</v>
      </c>
      <c r="M188" s="338">
        <f t="shared" si="17"/>
        <v>0</v>
      </c>
      <c r="N188" s="338">
        <f t="shared" si="17"/>
        <v>0</v>
      </c>
      <c r="O188" s="338">
        <f t="shared" si="17"/>
        <v>0</v>
      </c>
      <c r="P188" s="338">
        <f t="shared" si="17"/>
        <v>0</v>
      </c>
      <c r="Q188" s="338">
        <f t="shared" si="17"/>
        <v>0</v>
      </c>
      <c r="R188" s="338">
        <f t="shared" si="17"/>
        <v>0</v>
      </c>
      <c r="S188" s="338">
        <f t="shared" si="17"/>
        <v>0</v>
      </c>
      <c r="T188" s="338">
        <f t="shared" si="17"/>
        <v>0</v>
      </c>
      <c r="U188" s="338">
        <f t="shared" si="17"/>
        <v>0</v>
      </c>
      <c r="V188" s="338">
        <f t="shared" si="17"/>
        <v>0</v>
      </c>
      <c r="W188" s="338">
        <f t="shared" si="17"/>
        <v>0</v>
      </c>
      <c r="X188" s="338">
        <f t="shared" si="17"/>
        <v>0</v>
      </c>
      <c r="Y188" s="338">
        <f t="shared" si="17"/>
        <v>0</v>
      </c>
    </row>
    <row r="189" spans="5:25" x14ac:dyDescent="0.25">
      <c r="E189" s="73"/>
      <c r="F189" s="34" t="s">
        <v>86</v>
      </c>
      <c r="G189" s="13" t="s">
        <v>94</v>
      </c>
      <c r="H189" s="337"/>
      <c r="I189" s="17"/>
      <c r="J189" s="153">
        <f t="shared" si="17"/>
        <v>0</v>
      </c>
      <c r="K189" s="153">
        <f t="shared" si="17"/>
        <v>0</v>
      </c>
      <c r="L189" s="153">
        <f t="shared" si="17"/>
        <v>0</v>
      </c>
      <c r="M189" s="153">
        <f t="shared" si="17"/>
        <v>0</v>
      </c>
      <c r="N189" s="153">
        <f t="shared" si="17"/>
        <v>0</v>
      </c>
      <c r="O189" s="153">
        <f t="shared" si="17"/>
        <v>0</v>
      </c>
      <c r="P189" s="153">
        <f t="shared" si="17"/>
        <v>0</v>
      </c>
      <c r="Q189" s="153">
        <f t="shared" si="17"/>
        <v>0</v>
      </c>
      <c r="R189" s="153">
        <f t="shared" si="17"/>
        <v>0</v>
      </c>
      <c r="S189" s="153">
        <f t="shared" si="17"/>
        <v>0</v>
      </c>
      <c r="T189" s="153">
        <f t="shared" si="17"/>
        <v>0</v>
      </c>
      <c r="U189" s="153">
        <f t="shared" si="17"/>
        <v>0</v>
      </c>
      <c r="V189" s="153">
        <f t="shared" si="17"/>
        <v>0</v>
      </c>
      <c r="W189" s="153">
        <f t="shared" si="17"/>
        <v>0</v>
      </c>
      <c r="X189" s="153">
        <f t="shared" si="17"/>
        <v>0</v>
      </c>
      <c r="Y189" s="153">
        <f t="shared" si="17"/>
        <v>0</v>
      </c>
    </row>
    <row r="190" spans="5:25" x14ac:dyDescent="0.25">
      <c r="E190" s="73"/>
      <c r="F190" s="92"/>
      <c r="G190" s="12"/>
      <c r="H190" s="120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</row>
    <row r="191" spans="5:25" x14ac:dyDescent="0.25">
      <c r="E191" s="52" t="s">
        <v>582</v>
      </c>
      <c r="G191" s="12"/>
    </row>
    <row r="192" spans="5:25" x14ac:dyDescent="0.25">
      <c r="E192" s="73"/>
      <c r="F192" s="38" t="s">
        <v>243</v>
      </c>
      <c r="G192" s="14" t="s">
        <v>94</v>
      </c>
      <c r="H192" s="114"/>
      <c r="I192" s="80"/>
      <c r="J192" s="152">
        <f t="shared" ref="J192:Y194" si="18">IF(J$20, $H130, $H127)</f>
        <v>0.73908767276423848</v>
      </c>
      <c r="K192" s="152">
        <f t="shared" si="18"/>
        <v>0.73908767276423848</v>
      </c>
      <c r="L192" s="152">
        <f t="shared" si="18"/>
        <v>0.73908767276423848</v>
      </c>
      <c r="M192" s="152">
        <f t="shared" si="18"/>
        <v>0.73908767276423848</v>
      </c>
      <c r="N192" s="152">
        <f t="shared" si="18"/>
        <v>0.73908767276423848</v>
      </c>
      <c r="O192" s="152">
        <f t="shared" si="18"/>
        <v>0.73908767276423848</v>
      </c>
      <c r="P192" s="152">
        <f t="shared" si="18"/>
        <v>0.73908767276423848</v>
      </c>
      <c r="Q192" s="152">
        <f t="shared" si="18"/>
        <v>0.66927169570754697</v>
      </c>
      <c r="R192" s="152">
        <f t="shared" si="18"/>
        <v>0.73908767276423848</v>
      </c>
      <c r="S192" s="152">
        <f t="shared" si="18"/>
        <v>0.73908767276423848</v>
      </c>
      <c r="T192" s="152">
        <f t="shared" si="18"/>
        <v>0.73908767276423848</v>
      </c>
      <c r="U192" s="152">
        <f t="shared" si="18"/>
        <v>0.73908767276423848</v>
      </c>
      <c r="V192" s="152">
        <f t="shared" si="18"/>
        <v>0.73908767276423848</v>
      </c>
      <c r="W192" s="152">
        <f t="shared" si="18"/>
        <v>0.73908767276423848</v>
      </c>
      <c r="X192" s="152">
        <f t="shared" si="18"/>
        <v>0.73908767276423848</v>
      </c>
      <c r="Y192" s="152">
        <f t="shared" si="18"/>
        <v>0.73908767276423848</v>
      </c>
    </row>
    <row r="193" spans="5:25" x14ac:dyDescent="0.25">
      <c r="E193" s="73"/>
      <c r="F193" s="92" t="s">
        <v>244</v>
      </c>
      <c r="G193" s="12" t="s">
        <v>94</v>
      </c>
      <c r="H193" s="120"/>
      <c r="J193" s="338">
        <f t="shared" si="18"/>
        <v>0.25617846550417606</v>
      </c>
      <c r="K193" s="338">
        <f t="shared" si="18"/>
        <v>0.25617846550417606</v>
      </c>
      <c r="L193" s="338">
        <f t="shared" si="18"/>
        <v>0.25617846550417606</v>
      </c>
      <c r="M193" s="338">
        <f t="shared" si="18"/>
        <v>0.25617846550417606</v>
      </c>
      <c r="N193" s="338">
        <f t="shared" si="18"/>
        <v>0.25617846550417606</v>
      </c>
      <c r="O193" s="338">
        <f t="shared" si="18"/>
        <v>0.25617846550417606</v>
      </c>
      <c r="P193" s="338">
        <f t="shared" si="18"/>
        <v>0.25617846550417606</v>
      </c>
      <c r="Q193" s="338">
        <f t="shared" si="18"/>
        <v>0.32599444256086751</v>
      </c>
      <c r="R193" s="338">
        <f t="shared" si="18"/>
        <v>0.25617846550417606</v>
      </c>
      <c r="S193" s="338">
        <f t="shared" si="18"/>
        <v>0.25617846550417606</v>
      </c>
      <c r="T193" s="338">
        <f t="shared" si="18"/>
        <v>0.25617846550417606</v>
      </c>
      <c r="U193" s="338">
        <f t="shared" si="18"/>
        <v>0.25617846550417606</v>
      </c>
      <c r="V193" s="338">
        <f t="shared" si="18"/>
        <v>0.25617846550417606</v>
      </c>
      <c r="W193" s="338">
        <f t="shared" si="18"/>
        <v>0.25617846550417606</v>
      </c>
      <c r="X193" s="338">
        <f t="shared" si="18"/>
        <v>0.25617846550417606</v>
      </c>
      <c r="Y193" s="338">
        <f t="shared" si="18"/>
        <v>0.25617846550417606</v>
      </c>
    </row>
    <row r="194" spans="5:25" x14ac:dyDescent="0.25">
      <c r="E194" s="73"/>
      <c r="F194" s="34" t="s">
        <v>86</v>
      </c>
      <c r="G194" s="13" t="s">
        <v>94</v>
      </c>
      <c r="H194" s="337"/>
      <c r="I194" s="17"/>
      <c r="J194" s="153">
        <f t="shared" si="18"/>
        <v>4.7341428587617208E-3</v>
      </c>
      <c r="K194" s="153">
        <f t="shared" si="18"/>
        <v>4.7341428587617208E-3</v>
      </c>
      <c r="L194" s="153">
        <f t="shared" si="18"/>
        <v>4.7341428587617208E-3</v>
      </c>
      <c r="M194" s="153">
        <f t="shared" si="18"/>
        <v>4.7341428587617208E-3</v>
      </c>
      <c r="N194" s="153">
        <f t="shared" si="18"/>
        <v>4.7341428587617208E-3</v>
      </c>
      <c r="O194" s="153">
        <f t="shared" si="18"/>
        <v>4.7341428587617208E-3</v>
      </c>
      <c r="P194" s="153">
        <f t="shared" si="18"/>
        <v>4.7341428587617208E-3</v>
      </c>
      <c r="Q194" s="153">
        <f t="shared" si="18"/>
        <v>4.7341428587617208E-3</v>
      </c>
      <c r="R194" s="153">
        <f t="shared" si="18"/>
        <v>4.7341428587617208E-3</v>
      </c>
      <c r="S194" s="153">
        <f t="shared" si="18"/>
        <v>4.7341428587617208E-3</v>
      </c>
      <c r="T194" s="153">
        <f t="shared" si="18"/>
        <v>4.7341428587617208E-3</v>
      </c>
      <c r="U194" s="153">
        <f t="shared" si="18"/>
        <v>4.7341428587617208E-3</v>
      </c>
      <c r="V194" s="153">
        <f t="shared" si="18"/>
        <v>4.7341428587617208E-3</v>
      </c>
      <c r="W194" s="153">
        <f t="shared" si="18"/>
        <v>4.7341428587617208E-3</v>
      </c>
      <c r="X194" s="153">
        <f t="shared" si="18"/>
        <v>4.7341428587617208E-3</v>
      </c>
      <c r="Y194" s="153">
        <f t="shared" si="18"/>
        <v>4.7341428587617208E-3</v>
      </c>
    </row>
    <row r="195" spans="5:25" x14ac:dyDescent="0.25">
      <c r="E195" s="73"/>
      <c r="F195" s="92"/>
      <c r="G195" s="12"/>
      <c r="H195" s="120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</row>
    <row r="196" spans="5:25" x14ac:dyDescent="0.25">
      <c r="E196" s="52" t="s">
        <v>583</v>
      </c>
      <c r="G196" s="12"/>
    </row>
    <row r="197" spans="5:25" x14ac:dyDescent="0.25">
      <c r="E197" s="73"/>
      <c r="F197" s="38" t="s">
        <v>243</v>
      </c>
      <c r="G197" s="14" t="s">
        <v>94</v>
      </c>
      <c r="H197" s="114"/>
      <c r="I197" s="80"/>
      <c r="J197" s="152">
        <f t="shared" ref="J197:Y199" si="19">IF(J$20, $H138, $H135)</f>
        <v>0.59550355516188336</v>
      </c>
      <c r="K197" s="152">
        <f t="shared" si="19"/>
        <v>0.59550355516188336</v>
      </c>
      <c r="L197" s="152">
        <f t="shared" si="19"/>
        <v>0.59550355516188336</v>
      </c>
      <c r="M197" s="152">
        <f t="shared" si="19"/>
        <v>0.59550355516188336</v>
      </c>
      <c r="N197" s="152">
        <f t="shared" si="19"/>
        <v>0.59550355516188336</v>
      </c>
      <c r="O197" s="152">
        <f t="shared" si="19"/>
        <v>0.59550355516188336</v>
      </c>
      <c r="P197" s="152">
        <f t="shared" si="19"/>
        <v>0.59550355516188336</v>
      </c>
      <c r="Q197" s="152">
        <f t="shared" si="19"/>
        <v>0.56487110652622663</v>
      </c>
      <c r="R197" s="152">
        <f t="shared" si="19"/>
        <v>0.59550355516188336</v>
      </c>
      <c r="S197" s="152">
        <f t="shared" si="19"/>
        <v>0.59550355516188336</v>
      </c>
      <c r="T197" s="152">
        <f t="shared" si="19"/>
        <v>0.59550355516188336</v>
      </c>
      <c r="U197" s="152">
        <f t="shared" si="19"/>
        <v>0.59550355516188336</v>
      </c>
      <c r="V197" s="152">
        <f t="shared" si="19"/>
        <v>0.59550355516188336</v>
      </c>
      <c r="W197" s="152">
        <f t="shared" si="19"/>
        <v>0.59550355516188336</v>
      </c>
      <c r="X197" s="152">
        <f t="shared" si="19"/>
        <v>0.59550355516188336</v>
      </c>
      <c r="Y197" s="152">
        <f t="shared" si="19"/>
        <v>0.59550355516188336</v>
      </c>
    </row>
    <row r="198" spans="5:25" x14ac:dyDescent="0.25">
      <c r="E198" s="73"/>
      <c r="F198" s="92" t="s">
        <v>244</v>
      </c>
      <c r="G198" s="12" t="s">
        <v>94</v>
      </c>
      <c r="H198" s="120"/>
      <c r="J198" s="338">
        <f t="shared" si="19"/>
        <v>0.39398042542826833</v>
      </c>
      <c r="K198" s="338">
        <f t="shared" si="19"/>
        <v>0.39398042542826833</v>
      </c>
      <c r="L198" s="338">
        <f t="shared" si="19"/>
        <v>0.39398042542826833</v>
      </c>
      <c r="M198" s="338">
        <f t="shared" si="19"/>
        <v>0.39398042542826833</v>
      </c>
      <c r="N198" s="338">
        <f t="shared" si="19"/>
        <v>0.39398042542826833</v>
      </c>
      <c r="O198" s="338">
        <f t="shared" si="19"/>
        <v>0.39398042542826833</v>
      </c>
      <c r="P198" s="338">
        <f t="shared" si="19"/>
        <v>0.39398042542826833</v>
      </c>
      <c r="Q198" s="338">
        <f t="shared" si="19"/>
        <v>0.42461287406392501</v>
      </c>
      <c r="R198" s="338">
        <f t="shared" si="19"/>
        <v>0.39398042542826833</v>
      </c>
      <c r="S198" s="338">
        <f t="shared" si="19"/>
        <v>0.39398042542826833</v>
      </c>
      <c r="T198" s="338">
        <f t="shared" si="19"/>
        <v>0.39398042542826833</v>
      </c>
      <c r="U198" s="338">
        <f t="shared" si="19"/>
        <v>0.39398042542826833</v>
      </c>
      <c r="V198" s="338">
        <f t="shared" si="19"/>
        <v>0.39398042542826833</v>
      </c>
      <c r="W198" s="338">
        <f t="shared" si="19"/>
        <v>0.39398042542826833</v>
      </c>
      <c r="X198" s="338">
        <f t="shared" si="19"/>
        <v>0.39398042542826833</v>
      </c>
      <c r="Y198" s="338">
        <f t="shared" si="19"/>
        <v>0.39398042542826833</v>
      </c>
    </row>
    <row r="199" spans="5:25" x14ac:dyDescent="0.25">
      <c r="E199" s="73"/>
      <c r="F199" s="34" t="s">
        <v>86</v>
      </c>
      <c r="G199" s="13" t="s">
        <v>94</v>
      </c>
      <c r="H199" s="337"/>
      <c r="I199" s="17"/>
      <c r="J199" s="153">
        <f t="shared" si="19"/>
        <v>1.051601940984799E-2</v>
      </c>
      <c r="K199" s="153">
        <f t="shared" si="19"/>
        <v>1.051601940984799E-2</v>
      </c>
      <c r="L199" s="153">
        <f t="shared" si="19"/>
        <v>1.051601940984799E-2</v>
      </c>
      <c r="M199" s="153">
        <f t="shared" si="19"/>
        <v>1.051601940984799E-2</v>
      </c>
      <c r="N199" s="153">
        <f t="shared" si="19"/>
        <v>1.051601940984799E-2</v>
      </c>
      <c r="O199" s="153">
        <f t="shared" si="19"/>
        <v>1.051601940984799E-2</v>
      </c>
      <c r="P199" s="153">
        <f t="shared" si="19"/>
        <v>1.051601940984799E-2</v>
      </c>
      <c r="Q199" s="153">
        <f t="shared" si="19"/>
        <v>1.051601940984799E-2</v>
      </c>
      <c r="R199" s="153">
        <f t="shared" si="19"/>
        <v>1.051601940984799E-2</v>
      </c>
      <c r="S199" s="153">
        <f t="shared" si="19"/>
        <v>1.051601940984799E-2</v>
      </c>
      <c r="T199" s="153">
        <f t="shared" si="19"/>
        <v>1.051601940984799E-2</v>
      </c>
      <c r="U199" s="153">
        <f t="shared" si="19"/>
        <v>1.051601940984799E-2</v>
      </c>
      <c r="V199" s="153">
        <f t="shared" si="19"/>
        <v>1.051601940984799E-2</v>
      </c>
      <c r="W199" s="153">
        <f t="shared" si="19"/>
        <v>1.051601940984799E-2</v>
      </c>
      <c r="X199" s="153">
        <f t="shared" si="19"/>
        <v>1.051601940984799E-2</v>
      </c>
      <c r="Y199" s="153">
        <f t="shared" si="19"/>
        <v>1.051601940984799E-2</v>
      </c>
    </row>
    <row r="200" spans="5:25" x14ac:dyDescent="0.25">
      <c r="E200" s="73"/>
      <c r="F200" s="92"/>
      <c r="G200" s="12"/>
      <c r="H200" s="120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</row>
    <row r="201" spans="5:25" x14ac:dyDescent="0.25">
      <c r="E201" s="52" t="s">
        <v>584</v>
      </c>
      <c r="G201" s="12"/>
    </row>
    <row r="202" spans="5:25" x14ac:dyDescent="0.25">
      <c r="E202" s="73"/>
      <c r="F202" s="38" t="s">
        <v>243</v>
      </c>
      <c r="G202" s="14" t="s">
        <v>94</v>
      </c>
      <c r="H202" s="114"/>
      <c r="I202" s="80"/>
      <c r="J202" s="152">
        <f t="shared" ref="J202:Y204" si="20">IF(J$20, $H146, $H143)</f>
        <v>0</v>
      </c>
      <c r="K202" s="152">
        <f t="shared" si="20"/>
        <v>0</v>
      </c>
      <c r="L202" s="152">
        <f t="shared" si="20"/>
        <v>0</v>
      </c>
      <c r="M202" s="152">
        <f t="shared" si="20"/>
        <v>0</v>
      </c>
      <c r="N202" s="152">
        <f t="shared" si="20"/>
        <v>0</v>
      </c>
      <c r="O202" s="152">
        <f t="shared" si="20"/>
        <v>0</v>
      </c>
      <c r="P202" s="152">
        <f t="shared" si="20"/>
        <v>0</v>
      </c>
      <c r="Q202" s="152">
        <f t="shared" si="20"/>
        <v>0</v>
      </c>
      <c r="R202" s="152">
        <f t="shared" si="20"/>
        <v>0</v>
      </c>
      <c r="S202" s="152">
        <f t="shared" si="20"/>
        <v>0</v>
      </c>
      <c r="T202" s="152">
        <f t="shared" si="20"/>
        <v>0</v>
      </c>
      <c r="U202" s="152">
        <f t="shared" si="20"/>
        <v>0</v>
      </c>
      <c r="V202" s="152">
        <f t="shared" si="20"/>
        <v>0</v>
      </c>
      <c r="W202" s="152">
        <f t="shared" si="20"/>
        <v>0</v>
      </c>
      <c r="X202" s="152">
        <f t="shared" si="20"/>
        <v>0</v>
      </c>
      <c r="Y202" s="152">
        <f t="shared" si="20"/>
        <v>0</v>
      </c>
    </row>
    <row r="203" spans="5:25" x14ac:dyDescent="0.25">
      <c r="E203" s="73"/>
      <c r="F203" s="92" t="s">
        <v>244</v>
      </c>
      <c r="G203" s="12" t="s">
        <v>94</v>
      </c>
      <c r="H203" s="120"/>
      <c r="J203" s="338">
        <f t="shared" si="20"/>
        <v>0</v>
      </c>
      <c r="K203" s="338">
        <f t="shared" si="20"/>
        <v>0</v>
      </c>
      <c r="L203" s="338">
        <f t="shared" si="20"/>
        <v>0</v>
      </c>
      <c r="M203" s="338">
        <f t="shared" si="20"/>
        <v>0</v>
      </c>
      <c r="N203" s="338">
        <f t="shared" si="20"/>
        <v>0</v>
      </c>
      <c r="O203" s="338">
        <f t="shared" si="20"/>
        <v>0</v>
      </c>
      <c r="P203" s="338">
        <f t="shared" si="20"/>
        <v>0</v>
      </c>
      <c r="Q203" s="338">
        <f t="shared" si="20"/>
        <v>0</v>
      </c>
      <c r="R203" s="338">
        <f t="shared" si="20"/>
        <v>0</v>
      </c>
      <c r="S203" s="338">
        <f t="shared" si="20"/>
        <v>0</v>
      </c>
      <c r="T203" s="338">
        <f t="shared" si="20"/>
        <v>0</v>
      </c>
      <c r="U203" s="338">
        <f t="shared" si="20"/>
        <v>0</v>
      </c>
      <c r="V203" s="338">
        <f t="shared" si="20"/>
        <v>0</v>
      </c>
      <c r="W203" s="338">
        <f t="shared" si="20"/>
        <v>0</v>
      </c>
      <c r="X203" s="338">
        <f t="shared" si="20"/>
        <v>0</v>
      </c>
      <c r="Y203" s="338">
        <f t="shared" si="20"/>
        <v>0</v>
      </c>
    </row>
    <row r="204" spans="5:25" x14ac:dyDescent="0.25">
      <c r="E204" s="73"/>
      <c r="F204" s="34" t="s">
        <v>86</v>
      </c>
      <c r="G204" s="13" t="s">
        <v>94</v>
      </c>
      <c r="H204" s="337"/>
      <c r="I204" s="17"/>
      <c r="J204" s="153">
        <f t="shared" si="20"/>
        <v>0</v>
      </c>
      <c r="K204" s="153">
        <f t="shared" si="20"/>
        <v>0</v>
      </c>
      <c r="L204" s="153">
        <f t="shared" si="20"/>
        <v>0</v>
      </c>
      <c r="M204" s="153">
        <f t="shared" si="20"/>
        <v>0</v>
      </c>
      <c r="N204" s="153">
        <f t="shared" si="20"/>
        <v>0</v>
      </c>
      <c r="O204" s="153">
        <f t="shared" si="20"/>
        <v>0</v>
      </c>
      <c r="P204" s="153">
        <f t="shared" si="20"/>
        <v>0</v>
      </c>
      <c r="Q204" s="153">
        <f t="shared" si="20"/>
        <v>0</v>
      </c>
      <c r="R204" s="153">
        <f t="shared" si="20"/>
        <v>0</v>
      </c>
      <c r="S204" s="153">
        <f t="shared" si="20"/>
        <v>0</v>
      </c>
      <c r="T204" s="153">
        <f t="shared" si="20"/>
        <v>0</v>
      </c>
      <c r="U204" s="153">
        <f t="shared" si="20"/>
        <v>0</v>
      </c>
      <c r="V204" s="153">
        <f t="shared" si="20"/>
        <v>0</v>
      </c>
      <c r="W204" s="153">
        <f t="shared" si="20"/>
        <v>0</v>
      </c>
      <c r="X204" s="153">
        <f t="shared" si="20"/>
        <v>0</v>
      </c>
      <c r="Y204" s="153">
        <f t="shared" si="20"/>
        <v>0</v>
      </c>
    </row>
    <row r="205" spans="5:25" x14ac:dyDescent="0.25">
      <c r="E205" s="73"/>
      <c r="F205" s="92"/>
      <c r="G205" s="12"/>
      <c r="H205" s="120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</row>
    <row r="206" spans="5:25" x14ac:dyDescent="0.25">
      <c r="E206" s="52" t="s">
        <v>585</v>
      </c>
      <c r="G206" s="12"/>
    </row>
    <row r="207" spans="5:25" x14ac:dyDescent="0.25">
      <c r="E207" s="73"/>
      <c r="F207" s="38" t="s">
        <v>243</v>
      </c>
      <c r="G207" s="14" t="s">
        <v>94</v>
      </c>
      <c r="H207" s="114"/>
      <c r="I207" s="80"/>
      <c r="J207" s="152">
        <f t="shared" ref="J207:Y209" si="21">IF(J$20, $H154, $H151)</f>
        <v>0.59550355516188336</v>
      </c>
      <c r="K207" s="152">
        <f t="shared" si="21"/>
        <v>0.59550355516188336</v>
      </c>
      <c r="L207" s="152">
        <f t="shared" si="21"/>
        <v>0.59550355516188336</v>
      </c>
      <c r="M207" s="152">
        <f t="shared" si="21"/>
        <v>0.59550355516188336</v>
      </c>
      <c r="N207" s="152">
        <f t="shared" si="21"/>
        <v>0.59550355516188336</v>
      </c>
      <c r="O207" s="152">
        <f t="shared" si="21"/>
        <v>0.59550355516188336</v>
      </c>
      <c r="P207" s="152">
        <f t="shared" si="21"/>
        <v>0.59550355516188336</v>
      </c>
      <c r="Q207" s="152">
        <f t="shared" si="21"/>
        <v>0.56487110652622663</v>
      </c>
      <c r="R207" s="152">
        <f t="shared" si="21"/>
        <v>0.59550355516188336</v>
      </c>
      <c r="S207" s="152">
        <f t="shared" si="21"/>
        <v>0.59550355516188336</v>
      </c>
      <c r="T207" s="152">
        <f t="shared" si="21"/>
        <v>0.59550355516188336</v>
      </c>
      <c r="U207" s="152">
        <f t="shared" si="21"/>
        <v>0.59550355516188336</v>
      </c>
      <c r="V207" s="152">
        <f t="shared" si="21"/>
        <v>0.59550355516188336</v>
      </c>
      <c r="W207" s="152">
        <f t="shared" si="21"/>
        <v>0.59550355516188336</v>
      </c>
      <c r="X207" s="152">
        <f t="shared" si="21"/>
        <v>0.59550355516188336</v>
      </c>
      <c r="Y207" s="152">
        <f t="shared" si="21"/>
        <v>0.59550355516188336</v>
      </c>
    </row>
    <row r="208" spans="5:25" x14ac:dyDescent="0.25">
      <c r="E208" s="73"/>
      <c r="F208" s="92" t="s">
        <v>244</v>
      </c>
      <c r="G208" s="12" t="s">
        <v>94</v>
      </c>
      <c r="H208" s="120"/>
      <c r="J208" s="338">
        <f t="shared" si="21"/>
        <v>0.39398042542826833</v>
      </c>
      <c r="K208" s="338">
        <f t="shared" si="21"/>
        <v>0.39398042542826833</v>
      </c>
      <c r="L208" s="338">
        <f t="shared" si="21"/>
        <v>0.39398042542826833</v>
      </c>
      <c r="M208" s="338">
        <f t="shared" si="21"/>
        <v>0.39398042542826833</v>
      </c>
      <c r="N208" s="338">
        <f t="shared" si="21"/>
        <v>0.39398042542826833</v>
      </c>
      <c r="O208" s="338">
        <f t="shared" si="21"/>
        <v>0.39398042542826833</v>
      </c>
      <c r="P208" s="338">
        <f t="shared" si="21"/>
        <v>0.39398042542826833</v>
      </c>
      <c r="Q208" s="338">
        <f t="shared" si="21"/>
        <v>0.42461287406392501</v>
      </c>
      <c r="R208" s="338">
        <f t="shared" si="21"/>
        <v>0.39398042542826833</v>
      </c>
      <c r="S208" s="338">
        <f t="shared" si="21"/>
        <v>0.39398042542826833</v>
      </c>
      <c r="T208" s="338">
        <f t="shared" si="21"/>
        <v>0.39398042542826833</v>
      </c>
      <c r="U208" s="338">
        <f t="shared" si="21"/>
        <v>0.39398042542826833</v>
      </c>
      <c r="V208" s="338">
        <f t="shared" si="21"/>
        <v>0.39398042542826833</v>
      </c>
      <c r="W208" s="338">
        <f t="shared" si="21"/>
        <v>0.39398042542826833</v>
      </c>
      <c r="X208" s="338">
        <f t="shared" si="21"/>
        <v>0.39398042542826833</v>
      </c>
      <c r="Y208" s="338">
        <f t="shared" si="21"/>
        <v>0.39398042542826833</v>
      </c>
    </row>
    <row r="209" spans="3:27" x14ac:dyDescent="0.25">
      <c r="E209" s="73"/>
      <c r="F209" s="34" t="s">
        <v>86</v>
      </c>
      <c r="G209" s="13" t="s">
        <v>94</v>
      </c>
      <c r="H209" s="337"/>
      <c r="I209" s="17"/>
      <c r="J209" s="153">
        <f t="shared" si="21"/>
        <v>1.051601940984799E-2</v>
      </c>
      <c r="K209" s="153">
        <f t="shared" si="21"/>
        <v>1.051601940984799E-2</v>
      </c>
      <c r="L209" s="153">
        <f t="shared" si="21"/>
        <v>1.051601940984799E-2</v>
      </c>
      <c r="M209" s="153">
        <f t="shared" si="21"/>
        <v>1.051601940984799E-2</v>
      </c>
      <c r="N209" s="153">
        <f t="shared" si="21"/>
        <v>1.051601940984799E-2</v>
      </c>
      <c r="O209" s="153">
        <f t="shared" si="21"/>
        <v>1.051601940984799E-2</v>
      </c>
      <c r="P209" s="153">
        <f t="shared" si="21"/>
        <v>1.051601940984799E-2</v>
      </c>
      <c r="Q209" s="153">
        <f t="shared" si="21"/>
        <v>1.051601940984799E-2</v>
      </c>
      <c r="R209" s="153">
        <f t="shared" si="21"/>
        <v>1.051601940984799E-2</v>
      </c>
      <c r="S209" s="153">
        <f t="shared" si="21"/>
        <v>1.051601940984799E-2</v>
      </c>
      <c r="T209" s="153">
        <f t="shared" si="21"/>
        <v>1.051601940984799E-2</v>
      </c>
      <c r="U209" s="153">
        <f t="shared" si="21"/>
        <v>1.051601940984799E-2</v>
      </c>
      <c r="V209" s="153">
        <f t="shared" si="21"/>
        <v>1.051601940984799E-2</v>
      </c>
      <c r="W209" s="153">
        <f t="shared" si="21"/>
        <v>1.051601940984799E-2</v>
      </c>
      <c r="X209" s="153">
        <f t="shared" si="21"/>
        <v>1.051601940984799E-2</v>
      </c>
      <c r="Y209" s="153">
        <f t="shared" si="21"/>
        <v>1.051601940984799E-2</v>
      </c>
    </row>
    <row r="210" spans="3:27" x14ac:dyDescent="0.25">
      <c r="E210" s="73"/>
      <c r="F210" s="92"/>
      <c r="G210" s="12"/>
      <c r="H210" s="120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</row>
    <row r="211" spans="3:27" x14ac:dyDescent="0.25">
      <c r="E211" s="52" t="s">
        <v>586</v>
      </c>
      <c r="G211" s="12"/>
    </row>
    <row r="212" spans="3:27" x14ac:dyDescent="0.25">
      <c r="E212" s="73"/>
      <c r="F212" s="38" t="s">
        <v>243</v>
      </c>
      <c r="G212" s="14" t="s">
        <v>94</v>
      </c>
      <c r="H212" s="114"/>
      <c r="I212" s="80"/>
      <c r="J212" s="152">
        <f t="shared" ref="J212:Y214" si="22">IF(J$20, $H162, $H159)</f>
        <v>0.59550355516188336</v>
      </c>
      <c r="K212" s="152">
        <f t="shared" si="22"/>
        <v>0.59550355516188336</v>
      </c>
      <c r="L212" s="152">
        <f t="shared" si="22"/>
        <v>0.59550355516188336</v>
      </c>
      <c r="M212" s="152">
        <f t="shared" si="22"/>
        <v>0.59550355516188336</v>
      </c>
      <c r="N212" s="152">
        <f t="shared" si="22"/>
        <v>0.59550355516188336</v>
      </c>
      <c r="O212" s="152">
        <f t="shared" si="22"/>
        <v>0.59550355516188336</v>
      </c>
      <c r="P212" s="152">
        <f t="shared" si="22"/>
        <v>0.59550355516188336</v>
      </c>
      <c r="Q212" s="152">
        <f t="shared" si="22"/>
        <v>0.56487110652622663</v>
      </c>
      <c r="R212" s="152">
        <f t="shared" si="22"/>
        <v>0.59550355516188336</v>
      </c>
      <c r="S212" s="152">
        <f t="shared" si="22"/>
        <v>0.59550355516188336</v>
      </c>
      <c r="T212" s="152">
        <f t="shared" si="22"/>
        <v>0.59550355516188336</v>
      </c>
      <c r="U212" s="152">
        <f t="shared" si="22"/>
        <v>0.59550355516188336</v>
      </c>
      <c r="V212" s="152">
        <f t="shared" si="22"/>
        <v>0.59550355516188336</v>
      </c>
      <c r="W212" s="152">
        <f t="shared" si="22"/>
        <v>0.59550355516188336</v>
      </c>
      <c r="X212" s="152">
        <f t="shared" si="22"/>
        <v>0.59550355516188336</v>
      </c>
      <c r="Y212" s="152">
        <f t="shared" si="22"/>
        <v>0.59550355516188336</v>
      </c>
    </row>
    <row r="213" spans="3:27" x14ac:dyDescent="0.25">
      <c r="E213" s="73"/>
      <c r="F213" s="92" t="s">
        <v>244</v>
      </c>
      <c r="G213" s="12" t="s">
        <v>94</v>
      </c>
      <c r="H213" s="120"/>
      <c r="J213" s="338">
        <f t="shared" si="22"/>
        <v>0.39398042542826833</v>
      </c>
      <c r="K213" s="338">
        <f t="shared" si="22"/>
        <v>0.39398042542826833</v>
      </c>
      <c r="L213" s="338">
        <f t="shared" si="22"/>
        <v>0.39398042542826833</v>
      </c>
      <c r="M213" s="338">
        <f t="shared" si="22"/>
        <v>0.39398042542826833</v>
      </c>
      <c r="N213" s="338">
        <f t="shared" si="22"/>
        <v>0.39398042542826833</v>
      </c>
      <c r="O213" s="338">
        <f t="shared" si="22"/>
        <v>0.39398042542826833</v>
      </c>
      <c r="P213" s="338">
        <f t="shared" si="22"/>
        <v>0.39398042542826833</v>
      </c>
      <c r="Q213" s="338">
        <f t="shared" si="22"/>
        <v>0.42461287406392501</v>
      </c>
      <c r="R213" s="338">
        <f t="shared" si="22"/>
        <v>0.39398042542826833</v>
      </c>
      <c r="S213" s="338">
        <f t="shared" si="22"/>
        <v>0.39398042542826833</v>
      </c>
      <c r="T213" s="338">
        <f t="shared" si="22"/>
        <v>0.39398042542826833</v>
      </c>
      <c r="U213" s="338">
        <f t="shared" si="22"/>
        <v>0.39398042542826833</v>
      </c>
      <c r="V213" s="338">
        <f t="shared" si="22"/>
        <v>0.39398042542826833</v>
      </c>
      <c r="W213" s="338">
        <f t="shared" si="22"/>
        <v>0.39398042542826833</v>
      </c>
      <c r="X213" s="338">
        <f t="shared" si="22"/>
        <v>0.39398042542826833</v>
      </c>
      <c r="Y213" s="338">
        <f t="shared" si="22"/>
        <v>0.39398042542826833</v>
      </c>
    </row>
    <row r="214" spans="3:27" x14ac:dyDescent="0.25">
      <c r="E214" s="73"/>
      <c r="F214" s="34" t="s">
        <v>86</v>
      </c>
      <c r="G214" s="13" t="s">
        <v>94</v>
      </c>
      <c r="H214" s="337"/>
      <c r="I214" s="17"/>
      <c r="J214" s="153">
        <f t="shared" si="22"/>
        <v>1.051601940984799E-2</v>
      </c>
      <c r="K214" s="153">
        <f t="shared" si="22"/>
        <v>1.051601940984799E-2</v>
      </c>
      <c r="L214" s="153">
        <f t="shared" si="22"/>
        <v>1.051601940984799E-2</v>
      </c>
      <c r="M214" s="153">
        <f t="shared" si="22"/>
        <v>1.051601940984799E-2</v>
      </c>
      <c r="N214" s="153">
        <f t="shared" si="22"/>
        <v>1.051601940984799E-2</v>
      </c>
      <c r="O214" s="153">
        <f t="shared" si="22"/>
        <v>1.051601940984799E-2</v>
      </c>
      <c r="P214" s="153">
        <f t="shared" si="22"/>
        <v>1.051601940984799E-2</v>
      </c>
      <c r="Q214" s="153">
        <f t="shared" si="22"/>
        <v>1.051601940984799E-2</v>
      </c>
      <c r="R214" s="153">
        <f t="shared" si="22"/>
        <v>1.051601940984799E-2</v>
      </c>
      <c r="S214" s="153">
        <f t="shared" si="22"/>
        <v>1.051601940984799E-2</v>
      </c>
      <c r="T214" s="153">
        <f t="shared" si="22"/>
        <v>1.051601940984799E-2</v>
      </c>
      <c r="U214" s="153">
        <f t="shared" si="22"/>
        <v>1.051601940984799E-2</v>
      </c>
      <c r="V214" s="153">
        <f t="shared" si="22"/>
        <v>1.051601940984799E-2</v>
      </c>
      <c r="W214" s="153">
        <f t="shared" si="22"/>
        <v>1.051601940984799E-2</v>
      </c>
      <c r="X214" s="153">
        <f t="shared" si="22"/>
        <v>1.051601940984799E-2</v>
      </c>
      <c r="Y214" s="153">
        <f t="shared" si="22"/>
        <v>1.051601940984799E-2</v>
      </c>
    </row>
    <row r="215" spans="3:27" x14ac:dyDescent="0.25">
      <c r="E215" s="73"/>
      <c r="F215" s="92"/>
      <c r="G215" s="12"/>
      <c r="H215" s="120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</row>
    <row r="216" spans="3:27" x14ac:dyDescent="0.25">
      <c r="E216" s="52" t="s">
        <v>587</v>
      </c>
      <c r="G216" s="12"/>
    </row>
    <row r="217" spans="3:27" x14ac:dyDescent="0.25">
      <c r="E217" s="73"/>
      <c r="F217" s="38" t="s">
        <v>243</v>
      </c>
      <c r="G217" s="14" t="s">
        <v>94</v>
      </c>
      <c r="H217" s="114"/>
      <c r="I217" s="80"/>
      <c r="J217" s="152">
        <f t="shared" ref="J217:Y219" si="23">IF(J$20, $H170, $H167)</f>
        <v>0.59550355516188336</v>
      </c>
      <c r="K217" s="152">
        <f t="shared" si="23"/>
        <v>0.59550355516188336</v>
      </c>
      <c r="L217" s="152">
        <f t="shared" si="23"/>
        <v>0.59550355516188336</v>
      </c>
      <c r="M217" s="152">
        <f t="shared" si="23"/>
        <v>0.59550355516188336</v>
      </c>
      <c r="N217" s="152">
        <f t="shared" si="23"/>
        <v>0.59550355516188336</v>
      </c>
      <c r="O217" s="152">
        <f t="shared" si="23"/>
        <v>0.59550355516188336</v>
      </c>
      <c r="P217" s="152">
        <f t="shared" si="23"/>
        <v>0.59550355516188336</v>
      </c>
      <c r="Q217" s="152">
        <f t="shared" si="23"/>
        <v>0.56487110652622663</v>
      </c>
      <c r="R217" s="152">
        <f t="shared" si="23"/>
        <v>0.59550355516188336</v>
      </c>
      <c r="S217" s="152">
        <f t="shared" si="23"/>
        <v>0.59550355516188336</v>
      </c>
      <c r="T217" s="152">
        <f t="shared" si="23"/>
        <v>0.59550355516188336</v>
      </c>
      <c r="U217" s="152">
        <f t="shared" si="23"/>
        <v>0.59550355516188336</v>
      </c>
      <c r="V217" s="152">
        <f t="shared" si="23"/>
        <v>0.59550355516188336</v>
      </c>
      <c r="W217" s="152">
        <f t="shared" si="23"/>
        <v>0.59550355516188336</v>
      </c>
      <c r="X217" s="152">
        <f t="shared" si="23"/>
        <v>0.59550355516188336</v>
      </c>
      <c r="Y217" s="152">
        <f t="shared" si="23"/>
        <v>0.59550355516188336</v>
      </c>
    </row>
    <row r="218" spans="3:27" x14ac:dyDescent="0.25">
      <c r="E218" s="73"/>
      <c r="F218" s="92" t="s">
        <v>244</v>
      </c>
      <c r="G218" s="12" t="s">
        <v>94</v>
      </c>
      <c r="H218" s="120"/>
      <c r="J218" s="338">
        <f t="shared" si="23"/>
        <v>0.39398042542826833</v>
      </c>
      <c r="K218" s="338">
        <f t="shared" si="23"/>
        <v>0.39398042542826833</v>
      </c>
      <c r="L218" s="338">
        <f t="shared" si="23"/>
        <v>0.39398042542826833</v>
      </c>
      <c r="M218" s="338">
        <f t="shared" si="23"/>
        <v>0.39398042542826833</v>
      </c>
      <c r="N218" s="338">
        <f t="shared" si="23"/>
        <v>0.39398042542826833</v>
      </c>
      <c r="O218" s="338">
        <f t="shared" si="23"/>
        <v>0.39398042542826833</v>
      </c>
      <c r="P218" s="338">
        <f t="shared" si="23"/>
        <v>0.39398042542826833</v>
      </c>
      <c r="Q218" s="338">
        <f t="shared" si="23"/>
        <v>0.42461287406392501</v>
      </c>
      <c r="R218" s="338">
        <f t="shared" si="23"/>
        <v>0.39398042542826833</v>
      </c>
      <c r="S218" s="338">
        <f t="shared" si="23"/>
        <v>0.39398042542826833</v>
      </c>
      <c r="T218" s="338">
        <f t="shared" si="23"/>
        <v>0.39398042542826833</v>
      </c>
      <c r="U218" s="338">
        <f t="shared" si="23"/>
        <v>0.39398042542826833</v>
      </c>
      <c r="V218" s="338">
        <f t="shared" si="23"/>
        <v>0.39398042542826833</v>
      </c>
      <c r="W218" s="338">
        <f t="shared" si="23"/>
        <v>0.39398042542826833</v>
      </c>
      <c r="X218" s="338">
        <f t="shared" si="23"/>
        <v>0.39398042542826833</v>
      </c>
      <c r="Y218" s="338">
        <f t="shared" si="23"/>
        <v>0.39398042542826833</v>
      </c>
    </row>
    <row r="219" spans="3:27" x14ac:dyDescent="0.25">
      <c r="E219" s="73"/>
      <c r="F219" s="34" t="s">
        <v>86</v>
      </c>
      <c r="G219" s="13" t="s">
        <v>94</v>
      </c>
      <c r="H219" s="337"/>
      <c r="I219" s="17"/>
      <c r="J219" s="153">
        <f t="shared" si="23"/>
        <v>1.051601940984799E-2</v>
      </c>
      <c r="K219" s="153">
        <f t="shared" si="23"/>
        <v>1.051601940984799E-2</v>
      </c>
      <c r="L219" s="153">
        <f t="shared" si="23"/>
        <v>1.051601940984799E-2</v>
      </c>
      <c r="M219" s="153">
        <f t="shared" si="23"/>
        <v>1.051601940984799E-2</v>
      </c>
      <c r="N219" s="153">
        <f t="shared" si="23"/>
        <v>1.051601940984799E-2</v>
      </c>
      <c r="O219" s="153">
        <f t="shared" si="23"/>
        <v>1.051601940984799E-2</v>
      </c>
      <c r="P219" s="153">
        <f t="shared" si="23"/>
        <v>1.051601940984799E-2</v>
      </c>
      <c r="Q219" s="153">
        <f t="shared" si="23"/>
        <v>1.051601940984799E-2</v>
      </c>
      <c r="R219" s="153">
        <f t="shared" si="23"/>
        <v>1.051601940984799E-2</v>
      </c>
      <c r="S219" s="153">
        <f t="shared" si="23"/>
        <v>1.051601940984799E-2</v>
      </c>
      <c r="T219" s="153">
        <f t="shared" si="23"/>
        <v>1.051601940984799E-2</v>
      </c>
      <c r="U219" s="153">
        <f t="shared" si="23"/>
        <v>1.051601940984799E-2</v>
      </c>
      <c r="V219" s="153">
        <f t="shared" si="23"/>
        <v>1.051601940984799E-2</v>
      </c>
      <c r="W219" s="153">
        <f t="shared" si="23"/>
        <v>1.051601940984799E-2</v>
      </c>
      <c r="X219" s="153">
        <f t="shared" si="23"/>
        <v>1.051601940984799E-2</v>
      </c>
      <c r="Y219" s="153">
        <f t="shared" si="23"/>
        <v>1.051601940984799E-2</v>
      </c>
    </row>
    <row r="220" spans="3:27" x14ac:dyDescent="0.25">
      <c r="D220" s="73"/>
      <c r="E220" s="92"/>
      <c r="G220" s="12"/>
      <c r="H220" s="120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</row>
    <row r="221" spans="3:27" x14ac:dyDescent="0.25">
      <c r="C221" s="5" t="str">
        <f ca="1">INDEX('Version control'!$H$36:$H$62,MATCH($A$1,'Version control'!$F$36:$F$62,0),1)&amp;"-J: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</row>
    <row r="222" spans="3:27" x14ac:dyDescent="0.25">
      <c r="D222" s="73"/>
      <c r="E222" s="92"/>
      <c r="G222" s="12"/>
      <c r="H222" s="120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</row>
    <row r="223" spans="3:27" x14ac:dyDescent="0.25">
      <c r="E223" s="52" t="s">
        <v>321</v>
      </c>
      <c r="G223" s="12"/>
    </row>
    <row r="224" spans="3:27" x14ac:dyDescent="0.25">
      <c r="F224" s="14" t="s">
        <v>243</v>
      </c>
      <c r="G224" s="14" t="s">
        <v>522</v>
      </c>
      <c r="H224" s="80"/>
      <c r="I224" s="80"/>
      <c r="J224" s="223">
        <f t="shared" ref="J224:Y226" si="24">1 / J24</f>
        <v>1.277139208173691E-3</v>
      </c>
      <c r="K224" s="223">
        <f t="shared" si="24"/>
        <v>1.277139208173691E-3</v>
      </c>
      <c r="L224" s="223">
        <f t="shared" si="24"/>
        <v>1.277139208173691E-3</v>
      </c>
      <c r="M224" s="223">
        <f t="shared" si="24"/>
        <v>1.277139208173691E-3</v>
      </c>
      <c r="N224" s="223">
        <f t="shared" si="24"/>
        <v>1.277139208173691E-3</v>
      </c>
      <c r="O224" s="223">
        <f t="shared" si="24"/>
        <v>1.277139208173691E-3</v>
      </c>
      <c r="P224" s="223">
        <f t="shared" si="24"/>
        <v>1.277139208173691E-3</v>
      </c>
      <c r="Q224" s="223">
        <f t="shared" si="24"/>
        <v>3.875968992248062E-3</v>
      </c>
      <c r="R224" s="223">
        <f t="shared" si="24"/>
        <v>1.277139208173691E-3</v>
      </c>
      <c r="S224" s="223">
        <f t="shared" si="24"/>
        <v>1.277139208173691E-3</v>
      </c>
      <c r="T224" s="223">
        <f t="shared" si="24"/>
        <v>1.277139208173691E-3</v>
      </c>
      <c r="U224" s="223">
        <f t="shared" si="24"/>
        <v>1.277139208173691E-3</v>
      </c>
      <c r="V224" s="223">
        <f t="shared" si="24"/>
        <v>1.277139208173691E-3</v>
      </c>
      <c r="W224" s="223">
        <f t="shared" si="24"/>
        <v>1.277139208173691E-3</v>
      </c>
      <c r="X224" s="223">
        <f t="shared" si="24"/>
        <v>1.277139208173691E-3</v>
      </c>
      <c r="Y224" s="223">
        <f t="shared" si="24"/>
        <v>1.277139208173691E-3</v>
      </c>
    </row>
    <row r="225" spans="5:25" x14ac:dyDescent="0.25">
      <c r="F225" s="12" t="s">
        <v>244</v>
      </c>
      <c r="G225" s="12" t="s">
        <v>522</v>
      </c>
      <c r="J225" s="211">
        <f t="shared" si="24"/>
        <v>2.9261155815654721E-4</v>
      </c>
      <c r="K225" s="211">
        <f t="shared" si="24"/>
        <v>2.9261155815654721E-4</v>
      </c>
      <c r="L225" s="211">
        <f t="shared" si="24"/>
        <v>2.9261155815654721E-4</v>
      </c>
      <c r="M225" s="211">
        <f t="shared" si="24"/>
        <v>2.9261155815654721E-4</v>
      </c>
      <c r="N225" s="211">
        <f t="shared" si="24"/>
        <v>2.9261155815654721E-4</v>
      </c>
      <c r="O225" s="211">
        <f t="shared" si="24"/>
        <v>2.9261155815654721E-4</v>
      </c>
      <c r="P225" s="211">
        <f t="shared" si="24"/>
        <v>2.9261155815654721E-4</v>
      </c>
      <c r="Q225" s="211">
        <f t="shared" si="24"/>
        <v>2.5364616360177552E-4</v>
      </c>
      <c r="R225" s="211">
        <f t="shared" si="24"/>
        <v>2.9261155815654721E-4</v>
      </c>
      <c r="S225" s="211">
        <f t="shared" si="24"/>
        <v>2.9261155815654721E-4</v>
      </c>
      <c r="T225" s="211">
        <f t="shared" si="24"/>
        <v>2.9261155815654721E-4</v>
      </c>
      <c r="U225" s="211">
        <f t="shared" si="24"/>
        <v>2.9261155815654721E-4</v>
      </c>
      <c r="V225" s="211">
        <f t="shared" si="24"/>
        <v>2.9261155815654721E-4</v>
      </c>
      <c r="W225" s="211">
        <f t="shared" si="24"/>
        <v>2.9261155815654721E-4</v>
      </c>
      <c r="X225" s="211">
        <f t="shared" si="24"/>
        <v>2.9261155815654721E-4</v>
      </c>
      <c r="Y225" s="211">
        <f t="shared" si="24"/>
        <v>2.9261155815654721E-4</v>
      </c>
    </row>
    <row r="226" spans="5:25" x14ac:dyDescent="0.25">
      <c r="F226" s="13" t="s">
        <v>86</v>
      </c>
      <c r="G226" s="13" t="s">
        <v>522</v>
      </c>
      <c r="H226" s="17"/>
      <c r="I226" s="17"/>
      <c r="J226" s="220">
        <f t="shared" si="24"/>
        <v>2.193222941111964E-4</v>
      </c>
      <c r="K226" s="220">
        <f t="shared" si="24"/>
        <v>2.193222941111964E-4</v>
      </c>
      <c r="L226" s="220">
        <f t="shared" si="24"/>
        <v>2.193222941111964E-4</v>
      </c>
      <c r="M226" s="220">
        <f t="shared" si="24"/>
        <v>2.193222941111964E-4</v>
      </c>
      <c r="N226" s="220">
        <f t="shared" si="24"/>
        <v>2.193222941111964E-4</v>
      </c>
      <c r="O226" s="220">
        <f t="shared" si="24"/>
        <v>2.193222941111964E-4</v>
      </c>
      <c r="P226" s="220">
        <f t="shared" si="24"/>
        <v>2.193222941111964E-4</v>
      </c>
      <c r="Q226" s="220">
        <f t="shared" si="24"/>
        <v>2.193222941111964E-4</v>
      </c>
      <c r="R226" s="220">
        <f t="shared" si="24"/>
        <v>2.193222941111964E-4</v>
      </c>
      <c r="S226" s="220">
        <f t="shared" si="24"/>
        <v>2.193222941111964E-4</v>
      </c>
      <c r="T226" s="220">
        <f t="shared" si="24"/>
        <v>2.193222941111964E-4</v>
      </c>
      <c r="U226" s="220">
        <f t="shared" si="24"/>
        <v>2.193222941111964E-4</v>
      </c>
      <c r="V226" s="220">
        <f t="shared" si="24"/>
        <v>2.193222941111964E-4</v>
      </c>
      <c r="W226" s="220">
        <f t="shared" si="24"/>
        <v>2.193222941111964E-4</v>
      </c>
      <c r="X226" s="220">
        <f t="shared" si="24"/>
        <v>2.193222941111964E-4</v>
      </c>
      <c r="Y226" s="220">
        <f t="shared" si="24"/>
        <v>2.193222941111964E-4</v>
      </c>
    </row>
    <row r="227" spans="5:25" x14ac:dyDescent="0.25">
      <c r="G227" s="12"/>
      <c r="J227" s="211"/>
      <c r="K227" s="211"/>
      <c r="L227" s="211"/>
      <c r="M227" s="211"/>
      <c r="N227" s="211"/>
      <c r="O227" s="211"/>
      <c r="P227" s="211"/>
      <c r="Q227" s="211"/>
      <c r="R227" s="211"/>
      <c r="S227" s="211"/>
      <c r="T227" s="211"/>
      <c r="U227" s="211"/>
      <c r="V227" s="211"/>
      <c r="W227" s="211"/>
      <c r="X227" s="211"/>
      <c r="Y227" s="211"/>
    </row>
    <row r="228" spans="5:25" x14ac:dyDescent="0.25">
      <c r="E228" s="52" t="s">
        <v>134</v>
      </c>
      <c r="G228" s="12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T228" s="211"/>
      <c r="U228" s="211"/>
      <c r="V228" s="211"/>
      <c r="W228" s="211"/>
      <c r="X228" s="211"/>
      <c r="Y228" s="211"/>
    </row>
    <row r="229" spans="5:25" x14ac:dyDescent="0.25">
      <c r="F229" s="90" t="s">
        <v>43</v>
      </c>
      <c r="G229" s="14" t="s">
        <v>427</v>
      </c>
      <c r="H229" s="80"/>
      <c r="I229" s="80"/>
      <c r="J229" s="227">
        <f>J177 * J$224 * hours_in_year</f>
        <v>8.268720323645887</v>
      </c>
      <c r="K229" s="227">
        <f t="shared" ref="K229:Y229" si="25">K177 * K$224 * hours_in_year</f>
        <v>8.268720323645887</v>
      </c>
      <c r="L229" s="227">
        <f t="shared" si="25"/>
        <v>8.268720323645887</v>
      </c>
      <c r="M229" s="227">
        <f t="shared" si="25"/>
        <v>8.268720323645887</v>
      </c>
      <c r="N229" s="227">
        <f t="shared" si="25"/>
        <v>8.268720323645887</v>
      </c>
      <c r="O229" s="227">
        <f t="shared" si="25"/>
        <v>8.268720323645887</v>
      </c>
      <c r="P229" s="227">
        <f t="shared" si="25"/>
        <v>8.268720323645887</v>
      </c>
      <c r="Q229" s="227">
        <f t="shared" si="25"/>
        <v>22.724108737977176</v>
      </c>
      <c r="R229" s="227">
        <f t="shared" si="25"/>
        <v>8.268720323645887</v>
      </c>
      <c r="S229" s="227">
        <f t="shared" si="25"/>
        <v>8.268720323645887</v>
      </c>
      <c r="T229" s="227">
        <f t="shared" si="25"/>
        <v>8.268720323645887</v>
      </c>
      <c r="U229" s="227">
        <f t="shared" si="25"/>
        <v>8.268720323645887</v>
      </c>
      <c r="V229" s="227">
        <f t="shared" si="25"/>
        <v>8.268720323645887</v>
      </c>
      <c r="W229" s="227">
        <f t="shared" si="25"/>
        <v>8.268720323645887</v>
      </c>
      <c r="X229" s="227">
        <f t="shared" si="25"/>
        <v>8.268720323645887</v>
      </c>
      <c r="Y229" s="227">
        <f t="shared" si="25"/>
        <v>8.268720323645887</v>
      </c>
    </row>
    <row r="230" spans="5:25" x14ac:dyDescent="0.25">
      <c r="F230" s="343" t="s">
        <v>44</v>
      </c>
      <c r="G230" s="12" t="s">
        <v>427</v>
      </c>
      <c r="J230" s="227">
        <f t="shared" ref="J230:Y230" si="26">J182 * J224 * hours_in_year</f>
        <v>0</v>
      </c>
      <c r="K230" s="227">
        <f t="shared" si="26"/>
        <v>0</v>
      </c>
      <c r="L230" s="227">
        <f t="shared" si="26"/>
        <v>0</v>
      </c>
      <c r="M230" s="227">
        <f t="shared" si="26"/>
        <v>0</v>
      </c>
      <c r="N230" s="227">
        <f t="shared" si="26"/>
        <v>0</v>
      </c>
      <c r="O230" s="227">
        <f t="shared" si="26"/>
        <v>0</v>
      </c>
      <c r="P230" s="227">
        <f t="shared" si="26"/>
        <v>0</v>
      </c>
      <c r="Q230" s="227">
        <f t="shared" si="26"/>
        <v>0</v>
      </c>
      <c r="R230" s="227">
        <f t="shared" si="26"/>
        <v>0</v>
      </c>
      <c r="S230" s="227">
        <f t="shared" si="26"/>
        <v>0</v>
      </c>
      <c r="T230" s="227">
        <f t="shared" si="26"/>
        <v>0</v>
      </c>
      <c r="U230" s="227">
        <f t="shared" si="26"/>
        <v>0</v>
      </c>
      <c r="V230" s="227">
        <f t="shared" si="26"/>
        <v>0</v>
      </c>
      <c r="W230" s="227">
        <f t="shared" si="26"/>
        <v>0</v>
      </c>
      <c r="X230" s="227">
        <f t="shared" si="26"/>
        <v>0</v>
      </c>
      <c r="Y230" s="227">
        <f t="shared" si="26"/>
        <v>0</v>
      </c>
    </row>
    <row r="231" spans="5:25" x14ac:dyDescent="0.25">
      <c r="F231" s="343" t="s">
        <v>45</v>
      </c>
      <c r="G231" s="12" t="s">
        <v>427</v>
      </c>
      <c r="J231" s="227">
        <f t="shared" ref="J231:Y231" si="27">J187 * J224 * hours_in_year</f>
        <v>0</v>
      </c>
      <c r="K231" s="227">
        <f t="shared" si="27"/>
        <v>0</v>
      </c>
      <c r="L231" s="227">
        <f t="shared" si="27"/>
        <v>0</v>
      </c>
      <c r="M231" s="227">
        <f t="shared" si="27"/>
        <v>0</v>
      </c>
      <c r="N231" s="227">
        <f t="shared" si="27"/>
        <v>0</v>
      </c>
      <c r="O231" s="227">
        <f t="shared" si="27"/>
        <v>0</v>
      </c>
      <c r="P231" s="227">
        <f t="shared" si="27"/>
        <v>0</v>
      </c>
      <c r="Q231" s="227">
        <f t="shared" si="27"/>
        <v>0</v>
      </c>
      <c r="R231" s="227">
        <f t="shared" si="27"/>
        <v>0</v>
      </c>
      <c r="S231" s="227">
        <f t="shared" si="27"/>
        <v>0</v>
      </c>
      <c r="T231" s="227">
        <f t="shared" si="27"/>
        <v>0</v>
      </c>
      <c r="U231" s="227">
        <f t="shared" si="27"/>
        <v>0</v>
      </c>
      <c r="V231" s="227">
        <f t="shared" si="27"/>
        <v>0</v>
      </c>
      <c r="W231" s="227">
        <f t="shared" si="27"/>
        <v>0</v>
      </c>
      <c r="X231" s="227">
        <f t="shared" si="27"/>
        <v>0</v>
      </c>
      <c r="Y231" s="227">
        <f t="shared" si="27"/>
        <v>0</v>
      </c>
    </row>
    <row r="232" spans="5:25" x14ac:dyDescent="0.25">
      <c r="F232" s="343" t="s">
        <v>46</v>
      </c>
      <c r="G232" s="12" t="s">
        <v>427</v>
      </c>
      <c r="J232" s="227">
        <f t="shared" ref="J232:Y232" si="28">J192 * J224 * hours_in_year</f>
        <v>8.268720323645887</v>
      </c>
      <c r="K232" s="227">
        <f t="shared" si="28"/>
        <v>8.268720323645887</v>
      </c>
      <c r="L232" s="227">
        <f t="shared" si="28"/>
        <v>8.268720323645887</v>
      </c>
      <c r="M232" s="227">
        <f t="shared" si="28"/>
        <v>8.268720323645887</v>
      </c>
      <c r="N232" s="227">
        <f t="shared" si="28"/>
        <v>8.268720323645887</v>
      </c>
      <c r="O232" s="227">
        <f t="shared" si="28"/>
        <v>8.268720323645887</v>
      </c>
      <c r="P232" s="227">
        <f t="shared" si="28"/>
        <v>8.268720323645887</v>
      </c>
      <c r="Q232" s="227">
        <f t="shared" si="28"/>
        <v>22.724108737977176</v>
      </c>
      <c r="R232" s="227">
        <f t="shared" si="28"/>
        <v>8.268720323645887</v>
      </c>
      <c r="S232" s="227">
        <f t="shared" si="28"/>
        <v>8.268720323645887</v>
      </c>
      <c r="T232" s="227">
        <f t="shared" si="28"/>
        <v>8.268720323645887</v>
      </c>
      <c r="U232" s="227">
        <f t="shared" si="28"/>
        <v>8.268720323645887</v>
      </c>
      <c r="V232" s="227">
        <f t="shared" si="28"/>
        <v>8.268720323645887</v>
      </c>
      <c r="W232" s="227">
        <f t="shared" si="28"/>
        <v>8.268720323645887</v>
      </c>
      <c r="X232" s="227">
        <f t="shared" si="28"/>
        <v>8.268720323645887</v>
      </c>
      <c r="Y232" s="227">
        <f t="shared" si="28"/>
        <v>8.268720323645887</v>
      </c>
    </row>
    <row r="233" spans="5:25" x14ac:dyDescent="0.25">
      <c r="F233" s="343" t="s">
        <v>47</v>
      </c>
      <c r="G233" s="12" t="s">
        <v>427</v>
      </c>
      <c r="J233" s="227">
        <f t="shared" ref="J233:Y233" si="29">J197 * J224 * hours_in_year</f>
        <v>6.6623386247996148</v>
      </c>
      <c r="K233" s="227">
        <f t="shared" si="29"/>
        <v>6.6623386247996148</v>
      </c>
      <c r="L233" s="227">
        <f t="shared" si="29"/>
        <v>6.6623386247996148</v>
      </c>
      <c r="M233" s="227">
        <f t="shared" si="29"/>
        <v>6.6623386247996148</v>
      </c>
      <c r="N233" s="227">
        <f t="shared" si="29"/>
        <v>6.6623386247996148</v>
      </c>
      <c r="O233" s="227">
        <f t="shared" si="29"/>
        <v>6.6623386247996148</v>
      </c>
      <c r="P233" s="227">
        <f t="shared" si="29"/>
        <v>6.6623386247996148</v>
      </c>
      <c r="Q233" s="227">
        <f t="shared" si="29"/>
        <v>19.179344547169556</v>
      </c>
      <c r="R233" s="227">
        <f t="shared" si="29"/>
        <v>6.6623386247996148</v>
      </c>
      <c r="S233" s="227">
        <f t="shared" si="29"/>
        <v>6.6623386247996148</v>
      </c>
      <c r="T233" s="227">
        <f t="shared" si="29"/>
        <v>6.6623386247996148</v>
      </c>
      <c r="U233" s="227">
        <f t="shared" si="29"/>
        <v>6.6623386247996148</v>
      </c>
      <c r="V233" s="227">
        <f t="shared" si="29"/>
        <v>6.6623386247996148</v>
      </c>
      <c r="W233" s="227">
        <f t="shared" si="29"/>
        <v>6.6623386247996148</v>
      </c>
      <c r="X233" s="227">
        <f t="shared" si="29"/>
        <v>6.6623386247996148</v>
      </c>
      <c r="Y233" s="227">
        <f t="shared" si="29"/>
        <v>6.6623386247996148</v>
      </c>
    </row>
    <row r="234" spans="5:25" x14ac:dyDescent="0.25">
      <c r="F234" s="343" t="s">
        <v>51</v>
      </c>
      <c r="G234" s="12" t="s">
        <v>427</v>
      </c>
      <c r="J234" s="227">
        <f t="shared" ref="J234:Y234" si="30">J202 * J224 * hours_in_year</f>
        <v>0</v>
      </c>
      <c r="K234" s="227">
        <f t="shared" si="30"/>
        <v>0</v>
      </c>
      <c r="L234" s="227">
        <f t="shared" si="30"/>
        <v>0</v>
      </c>
      <c r="M234" s="227">
        <f t="shared" si="30"/>
        <v>0</v>
      </c>
      <c r="N234" s="227">
        <f t="shared" si="30"/>
        <v>0</v>
      </c>
      <c r="O234" s="227">
        <f t="shared" si="30"/>
        <v>0</v>
      </c>
      <c r="P234" s="227">
        <f t="shared" si="30"/>
        <v>0</v>
      </c>
      <c r="Q234" s="227">
        <f t="shared" si="30"/>
        <v>0</v>
      </c>
      <c r="R234" s="227">
        <f t="shared" si="30"/>
        <v>0</v>
      </c>
      <c r="S234" s="227">
        <f t="shared" si="30"/>
        <v>0</v>
      </c>
      <c r="T234" s="227">
        <f t="shared" si="30"/>
        <v>0</v>
      </c>
      <c r="U234" s="227">
        <f t="shared" si="30"/>
        <v>0</v>
      </c>
      <c r="V234" s="227">
        <f t="shared" si="30"/>
        <v>0</v>
      </c>
      <c r="W234" s="227">
        <f t="shared" si="30"/>
        <v>0</v>
      </c>
      <c r="X234" s="227">
        <f t="shared" si="30"/>
        <v>0</v>
      </c>
      <c r="Y234" s="227">
        <f t="shared" si="30"/>
        <v>0</v>
      </c>
    </row>
    <row r="235" spans="5:25" x14ac:dyDescent="0.25">
      <c r="F235" s="343" t="s">
        <v>48</v>
      </c>
      <c r="G235" s="12" t="s">
        <v>427</v>
      </c>
      <c r="J235" s="227">
        <f t="shared" ref="J235:Y235" si="31">J207 * J224 * hours_in_year</f>
        <v>6.6623386247996148</v>
      </c>
      <c r="K235" s="227">
        <f t="shared" si="31"/>
        <v>6.6623386247996148</v>
      </c>
      <c r="L235" s="227">
        <f t="shared" si="31"/>
        <v>6.6623386247996148</v>
      </c>
      <c r="M235" s="227">
        <f t="shared" si="31"/>
        <v>6.6623386247996148</v>
      </c>
      <c r="N235" s="227">
        <f t="shared" si="31"/>
        <v>6.6623386247996148</v>
      </c>
      <c r="O235" s="227">
        <f t="shared" si="31"/>
        <v>6.6623386247996148</v>
      </c>
      <c r="P235" s="227">
        <f t="shared" si="31"/>
        <v>6.6623386247996148</v>
      </c>
      <c r="Q235" s="227">
        <f t="shared" si="31"/>
        <v>19.179344547169556</v>
      </c>
      <c r="R235" s="227">
        <f t="shared" si="31"/>
        <v>6.6623386247996148</v>
      </c>
      <c r="S235" s="227">
        <f t="shared" si="31"/>
        <v>6.6623386247996148</v>
      </c>
      <c r="T235" s="227">
        <f t="shared" si="31"/>
        <v>6.6623386247996148</v>
      </c>
      <c r="U235" s="227">
        <f t="shared" si="31"/>
        <v>6.6623386247996148</v>
      </c>
      <c r="V235" s="227">
        <f t="shared" si="31"/>
        <v>6.6623386247996148</v>
      </c>
      <c r="W235" s="227">
        <f t="shared" si="31"/>
        <v>6.6623386247996148</v>
      </c>
      <c r="X235" s="227">
        <f t="shared" si="31"/>
        <v>6.6623386247996148</v>
      </c>
      <c r="Y235" s="227">
        <f t="shared" si="31"/>
        <v>6.6623386247996148</v>
      </c>
    </row>
    <row r="236" spans="5:25" x14ac:dyDescent="0.25">
      <c r="F236" s="343" t="s">
        <v>49</v>
      </c>
      <c r="G236" s="12" t="s">
        <v>427</v>
      </c>
      <c r="J236" s="227">
        <f t="shared" ref="J236:Y236" si="32">J212 * J224 * hours_in_year</f>
        <v>6.6623386247996148</v>
      </c>
      <c r="K236" s="227">
        <f t="shared" si="32"/>
        <v>6.6623386247996148</v>
      </c>
      <c r="L236" s="227">
        <f t="shared" si="32"/>
        <v>6.6623386247996148</v>
      </c>
      <c r="M236" s="227">
        <f t="shared" si="32"/>
        <v>6.6623386247996148</v>
      </c>
      <c r="N236" s="227">
        <f t="shared" si="32"/>
        <v>6.6623386247996148</v>
      </c>
      <c r="O236" s="227">
        <f t="shared" si="32"/>
        <v>6.6623386247996148</v>
      </c>
      <c r="P236" s="227">
        <f t="shared" si="32"/>
        <v>6.6623386247996148</v>
      </c>
      <c r="Q236" s="227">
        <f t="shared" si="32"/>
        <v>19.179344547169556</v>
      </c>
      <c r="R236" s="227">
        <f t="shared" si="32"/>
        <v>6.6623386247996148</v>
      </c>
      <c r="S236" s="227">
        <f t="shared" si="32"/>
        <v>6.6623386247996148</v>
      </c>
      <c r="T236" s="227">
        <f t="shared" si="32"/>
        <v>6.6623386247996148</v>
      </c>
      <c r="U236" s="227">
        <f t="shared" si="32"/>
        <v>6.6623386247996148</v>
      </c>
      <c r="V236" s="227">
        <f t="shared" si="32"/>
        <v>6.6623386247996148</v>
      </c>
      <c r="W236" s="227">
        <f t="shared" si="32"/>
        <v>6.6623386247996148</v>
      </c>
      <c r="X236" s="227">
        <f t="shared" si="32"/>
        <v>6.6623386247996148</v>
      </c>
      <c r="Y236" s="227">
        <f t="shared" si="32"/>
        <v>6.6623386247996148</v>
      </c>
    </row>
    <row r="237" spans="5:25" x14ac:dyDescent="0.25">
      <c r="F237" s="98" t="s">
        <v>50</v>
      </c>
      <c r="G237" s="13" t="s">
        <v>427</v>
      </c>
      <c r="H237" s="17"/>
      <c r="I237" s="17"/>
      <c r="J237" s="227">
        <f t="shared" ref="J237:Y237" si="33">J217 * J224 * hours_in_year</f>
        <v>6.6623386247996148</v>
      </c>
      <c r="K237" s="227">
        <f t="shared" si="33"/>
        <v>6.6623386247996148</v>
      </c>
      <c r="L237" s="227">
        <f t="shared" si="33"/>
        <v>6.6623386247996148</v>
      </c>
      <c r="M237" s="227">
        <f t="shared" si="33"/>
        <v>6.6623386247996148</v>
      </c>
      <c r="N237" s="227">
        <f t="shared" si="33"/>
        <v>6.6623386247996148</v>
      </c>
      <c r="O237" s="227">
        <f t="shared" si="33"/>
        <v>6.6623386247996148</v>
      </c>
      <c r="P237" s="227">
        <f t="shared" si="33"/>
        <v>6.6623386247996148</v>
      </c>
      <c r="Q237" s="227">
        <f t="shared" si="33"/>
        <v>19.179344547169556</v>
      </c>
      <c r="R237" s="227">
        <f t="shared" si="33"/>
        <v>6.6623386247996148</v>
      </c>
      <c r="S237" s="227">
        <f t="shared" si="33"/>
        <v>6.6623386247996148</v>
      </c>
      <c r="T237" s="227">
        <f t="shared" si="33"/>
        <v>6.6623386247996148</v>
      </c>
      <c r="U237" s="227">
        <f t="shared" si="33"/>
        <v>6.6623386247996148</v>
      </c>
      <c r="V237" s="227">
        <f t="shared" si="33"/>
        <v>6.6623386247996148</v>
      </c>
      <c r="W237" s="227">
        <f t="shared" si="33"/>
        <v>6.6623386247996148</v>
      </c>
      <c r="X237" s="227">
        <f t="shared" si="33"/>
        <v>6.6623386247996148</v>
      </c>
      <c r="Y237" s="227">
        <f t="shared" si="33"/>
        <v>6.6623386247996148</v>
      </c>
    </row>
    <row r="238" spans="5:25" x14ac:dyDescent="0.25">
      <c r="G238" s="12"/>
      <c r="J238" s="231"/>
      <c r="K238" s="231"/>
      <c r="L238" s="231"/>
      <c r="M238" s="231"/>
      <c r="N238" s="231"/>
      <c r="O238" s="231"/>
      <c r="P238" s="231"/>
      <c r="Q238" s="231"/>
      <c r="R238" s="231"/>
      <c r="S238" s="231"/>
      <c r="T238" s="231"/>
      <c r="U238" s="231"/>
      <c r="V238" s="231"/>
      <c r="W238" s="231"/>
      <c r="X238" s="231"/>
      <c r="Y238" s="231"/>
    </row>
    <row r="239" spans="5:25" x14ac:dyDescent="0.25">
      <c r="E239" s="52" t="s">
        <v>135</v>
      </c>
      <c r="G239" s="12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</row>
    <row r="240" spans="5:25" x14ac:dyDescent="0.25">
      <c r="F240" s="14" t="s">
        <v>43</v>
      </c>
      <c r="G240" s="14" t="s">
        <v>427</v>
      </c>
      <c r="H240" s="80"/>
      <c r="I240" s="80"/>
      <c r="J240" s="227">
        <f t="shared" ref="J240:Y240" si="34">J178 * J225 * hours_in_year</f>
        <v>0.65665643242621285</v>
      </c>
      <c r="K240" s="227">
        <f t="shared" si="34"/>
        <v>0.65665643242621285</v>
      </c>
      <c r="L240" s="227">
        <f t="shared" si="34"/>
        <v>0.65665643242621285</v>
      </c>
      <c r="M240" s="227">
        <f t="shared" si="34"/>
        <v>0.65665643242621285</v>
      </c>
      <c r="N240" s="227">
        <f t="shared" si="34"/>
        <v>0.65665643242621285</v>
      </c>
      <c r="O240" s="227">
        <f t="shared" si="34"/>
        <v>0.65665643242621285</v>
      </c>
      <c r="P240" s="227">
        <f t="shared" si="34"/>
        <v>0.65665643242621285</v>
      </c>
      <c r="Q240" s="227">
        <f t="shared" si="34"/>
        <v>0.72434021986891561</v>
      </c>
      <c r="R240" s="227">
        <f t="shared" si="34"/>
        <v>0.65665643242621285</v>
      </c>
      <c r="S240" s="227">
        <f t="shared" si="34"/>
        <v>0.65665643242621285</v>
      </c>
      <c r="T240" s="227">
        <f t="shared" si="34"/>
        <v>0.65665643242621285</v>
      </c>
      <c r="U240" s="227">
        <f t="shared" si="34"/>
        <v>0.65665643242621285</v>
      </c>
      <c r="V240" s="227">
        <f t="shared" si="34"/>
        <v>0.65665643242621285</v>
      </c>
      <c r="W240" s="227">
        <f t="shared" si="34"/>
        <v>0.65665643242621285</v>
      </c>
      <c r="X240" s="227">
        <f t="shared" si="34"/>
        <v>0.65665643242621285</v>
      </c>
      <c r="Y240" s="227">
        <f t="shared" si="34"/>
        <v>0.65665643242621285</v>
      </c>
    </row>
    <row r="241" spans="5:25" x14ac:dyDescent="0.25">
      <c r="F241" s="12" t="s">
        <v>44</v>
      </c>
      <c r="G241" s="12" t="s">
        <v>427</v>
      </c>
      <c r="J241" s="227">
        <f t="shared" ref="J241:Y241" si="35">J183 * J225 * hours_in_year</f>
        <v>0</v>
      </c>
      <c r="K241" s="227">
        <f t="shared" si="35"/>
        <v>0</v>
      </c>
      <c r="L241" s="227">
        <f t="shared" si="35"/>
        <v>0</v>
      </c>
      <c r="M241" s="227">
        <f t="shared" si="35"/>
        <v>0</v>
      </c>
      <c r="N241" s="227">
        <f t="shared" si="35"/>
        <v>0</v>
      </c>
      <c r="O241" s="227">
        <f t="shared" si="35"/>
        <v>0</v>
      </c>
      <c r="P241" s="227">
        <f t="shared" si="35"/>
        <v>0</v>
      </c>
      <c r="Q241" s="227">
        <f t="shared" si="35"/>
        <v>0</v>
      </c>
      <c r="R241" s="227">
        <f t="shared" si="35"/>
        <v>0</v>
      </c>
      <c r="S241" s="227">
        <f t="shared" si="35"/>
        <v>0</v>
      </c>
      <c r="T241" s="227">
        <f t="shared" si="35"/>
        <v>0</v>
      </c>
      <c r="U241" s="227">
        <f t="shared" si="35"/>
        <v>0</v>
      </c>
      <c r="V241" s="227">
        <f t="shared" si="35"/>
        <v>0</v>
      </c>
      <c r="W241" s="227">
        <f t="shared" si="35"/>
        <v>0</v>
      </c>
      <c r="X241" s="227">
        <f t="shared" si="35"/>
        <v>0</v>
      </c>
      <c r="Y241" s="227">
        <f t="shared" si="35"/>
        <v>0</v>
      </c>
    </row>
    <row r="242" spans="5:25" x14ac:dyDescent="0.25">
      <c r="F242" s="12" t="s">
        <v>45</v>
      </c>
      <c r="G242" s="12" t="s">
        <v>427</v>
      </c>
      <c r="J242" s="227">
        <f t="shared" ref="J242:Y242" si="36">J188 * J225 * hours_in_year</f>
        <v>0</v>
      </c>
      <c r="K242" s="227">
        <f t="shared" si="36"/>
        <v>0</v>
      </c>
      <c r="L242" s="227">
        <f t="shared" si="36"/>
        <v>0</v>
      </c>
      <c r="M242" s="227">
        <f t="shared" si="36"/>
        <v>0</v>
      </c>
      <c r="N242" s="227">
        <f t="shared" si="36"/>
        <v>0</v>
      </c>
      <c r="O242" s="227">
        <f t="shared" si="36"/>
        <v>0</v>
      </c>
      <c r="P242" s="227">
        <f t="shared" si="36"/>
        <v>0</v>
      </c>
      <c r="Q242" s="227">
        <f t="shared" si="36"/>
        <v>0</v>
      </c>
      <c r="R242" s="227">
        <f t="shared" si="36"/>
        <v>0</v>
      </c>
      <c r="S242" s="227">
        <f t="shared" si="36"/>
        <v>0</v>
      </c>
      <c r="T242" s="227">
        <f t="shared" si="36"/>
        <v>0</v>
      </c>
      <c r="U242" s="227">
        <f t="shared" si="36"/>
        <v>0</v>
      </c>
      <c r="V242" s="227">
        <f t="shared" si="36"/>
        <v>0</v>
      </c>
      <c r="W242" s="227">
        <f t="shared" si="36"/>
        <v>0</v>
      </c>
      <c r="X242" s="227">
        <f t="shared" si="36"/>
        <v>0</v>
      </c>
      <c r="Y242" s="227">
        <f t="shared" si="36"/>
        <v>0</v>
      </c>
    </row>
    <row r="243" spans="5:25" x14ac:dyDescent="0.25">
      <c r="F243" s="12" t="s">
        <v>46</v>
      </c>
      <c r="G243" s="12" t="s">
        <v>427</v>
      </c>
      <c r="J243" s="227">
        <f t="shared" ref="J243:Y243" si="37">J193 * J225 * hours_in_year</f>
        <v>0.65665643242621285</v>
      </c>
      <c r="K243" s="227">
        <f t="shared" si="37"/>
        <v>0.65665643242621285</v>
      </c>
      <c r="L243" s="227">
        <f t="shared" si="37"/>
        <v>0.65665643242621285</v>
      </c>
      <c r="M243" s="227">
        <f t="shared" si="37"/>
        <v>0.65665643242621285</v>
      </c>
      <c r="N243" s="227">
        <f t="shared" si="37"/>
        <v>0.65665643242621285</v>
      </c>
      <c r="O243" s="227">
        <f t="shared" si="37"/>
        <v>0.65665643242621285</v>
      </c>
      <c r="P243" s="227">
        <f t="shared" si="37"/>
        <v>0.65665643242621285</v>
      </c>
      <c r="Q243" s="227">
        <f t="shared" si="37"/>
        <v>0.72434021986891561</v>
      </c>
      <c r="R243" s="227">
        <f t="shared" si="37"/>
        <v>0.65665643242621285</v>
      </c>
      <c r="S243" s="227">
        <f t="shared" si="37"/>
        <v>0.65665643242621285</v>
      </c>
      <c r="T243" s="227">
        <f t="shared" si="37"/>
        <v>0.65665643242621285</v>
      </c>
      <c r="U243" s="227">
        <f t="shared" si="37"/>
        <v>0.65665643242621285</v>
      </c>
      <c r="V243" s="227">
        <f t="shared" si="37"/>
        <v>0.65665643242621285</v>
      </c>
      <c r="W243" s="227">
        <f t="shared" si="37"/>
        <v>0.65665643242621285</v>
      </c>
      <c r="X243" s="227">
        <f t="shared" si="37"/>
        <v>0.65665643242621285</v>
      </c>
      <c r="Y243" s="227">
        <f t="shared" si="37"/>
        <v>0.65665643242621285</v>
      </c>
    </row>
    <row r="244" spans="5:25" x14ac:dyDescent="0.25">
      <c r="F244" s="12" t="s">
        <v>47</v>
      </c>
      <c r="G244" s="12" t="s">
        <v>427</v>
      </c>
      <c r="J244" s="227">
        <f t="shared" ref="J244:Y244" si="38">J198 * J225 * hours_in_year</f>
        <v>1.0098810612294458</v>
      </c>
      <c r="K244" s="227">
        <f t="shared" si="38"/>
        <v>1.0098810612294458</v>
      </c>
      <c r="L244" s="227">
        <f t="shared" si="38"/>
        <v>1.0098810612294458</v>
      </c>
      <c r="M244" s="227">
        <f t="shared" si="38"/>
        <v>1.0098810612294458</v>
      </c>
      <c r="N244" s="227">
        <f t="shared" si="38"/>
        <v>1.0098810612294458</v>
      </c>
      <c r="O244" s="227">
        <f t="shared" si="38"/>
        <v>1.0098810612294458</v>
      </c>
      <c r="P244" s="227">
        <f t="shared" si="38"/>
        <v>1.0098810612294458</v>
      </c>
      <c r="Q244" s="227">
        <f t="shared" si="38"/>
        <v>0.94346449633480867</v>
      </c>
      <c r="R244" s="227">
        <f t="shared" si="38"/>
        <v>1.0098810612294458</v>
      </c>
      <c r="S244" s="227">
        <f t="shared" si="38"/>
        <v>1.0098810612294458</v>
      </c>
      <c r="T244" s="227">
        <f t="shared" si="38"/>
        <v>1.0098810612294458</v>
      </c>
      <c r="U244" s="227">
        <f t="shared" si="38"/>
        <v>1.0098810612294458</v>
      </c>
      <c r="V244" s="227">
        <f t="shared" si="38"/>
        <v>1.0098810612294458</v>
      </c>
      <c r="W244" s="227">
        <f t="shared" si="38"/>
        <v>1.0098810612294458</v>
      </c>
      <c r="X244" s="227">
        <f t="shared" si="38"/>
        <v>1.0098810612294458</v>
      </c>
      <c r="Y244" s="227">
        <f t="shared" si="38"/>
        <v>1.0098810612294458</v>
      </c>
    </row>
    <row r="245" spans="5:25" x14ac:dyDescent="0.25">
      <c r="F245" s="12" t="s">
        <v>51</v>
      </c>
      <c r="G245" s="12" t="s">
        <v>427</v>
      </c>
      <c r="J245" s="227">
        <f t="shared" ref="J245:Y245" si="39">J203 * J225 * hours_in_year</f>
        <v>0</v>
      </c>
      <c r="K245" s="227">
        <f t="shared" si="39"/>
        <v>0</v>
      </c>
      <c r="L245" s="227">
        <f t="shared" si="39"/>
        <v>0</v>
      </c>
      <c r="M245" s="227">
        <f t="shared" si="39"/>
        <v>0</v>
      </c>
      <c r="N245" s="227">
        <f t="shared" si="39"/>
        <v>0</v>
      </c>
      <c r="O245" s="227">
        <f t="shared" si="39"/>
        <v>0</v>
      </c>
      <c r="P245" s="227">
        <f t="shared" si="39"/>
        <v>0</v>
      </c>
      <c r="Q245" s="227">
        <f t="shared" si="39"/>
        <v>0</v>
      </c>
      <c r="R245" s="227">
        <f t="shared" si="39"/>
        <v>0</v>
      </c>
      <c r="S245" s="227">
        <f t="shared" si="39"/>
        <v>0</v>
      </c>
      <c r="T245" s="227">
        <f t="shared" si="39"/>
        <v>0</v>
      </c>
      <c r="U245" s="227">
        <f t="shared" si="39"/>
        <v>0</v>
      </c>
      <c r="V245" s="227">
        <f t="shared" si="39"/>
        <v>0</v>
      </c>
      <c r="W245" s="227">
        <f t="shared" si="39"/>
        <v>0</v>
      </c>
      <c r="X245" s="227">
        <f t="shared" si="39"/>
        <v>0</v>
      </c>
      <c r="Y245" s="227">
        <f t="shared" si="39"/>
        <v>0</v>
      </c>
    </row>
    <row r="246" spans="5:25" x14ac:dyDescent="0.25">
      <c r="F246" s="12" t="s">
        <v>48</v>
      </c>
      <c r="G246" s="12" t="s">
        <v>427</v>
      </c>
      <c r="J246" s="227">
        <f t="shared" ref="J246:Y246" si="40">J208 * J225 * hours_in_year</f>
        <v>1.0098810612294458</v>
      </c>
      <c r="K246" s="227">
        <f t="shared" si="40"/>
        <v>1.0098810612294458</v>
      </c>
      <c r="L246" s="227">
        <f t="shared" si="40"/>
        <v>1.0098810612294458</v>
      </c>
      <c r="M246" s="227">
        <f t="shared" si="40"/>
        <v>1.0098810612294458</v>
      </c>
      <c r="N246" s="227">
        <f t="shared" si="40"/>
        <v>1.0098810612294458</v>
      </c>
      <c r="O246" s="227">
        <f t="shared" si="40"/>
        <v>1.0098810612294458</v>
      </c>
      <c r="P246" s="227">
        <f t="shared" si="40"/>
        <v>1.0098810612294458</v>
      </c>
      <c r="Q246" s="227">
        <f t="shared" si="40"/>
        <v>0.94346449633480867</v>
      </c>
      <c r="R246" s="227">
        <f t="shared" si="40"/>
        <v>1.0098810612294458</v>
      </c>
      <c r="S246" s="227">
        <f t="shared" si="40"/>
        <v>1.0098810612294458</v>
      </c>
      <c r="T246" s="227">
        <f t="shared" si="40"/>
        <v>1.0098810612294458</v>
      </c>
      <c r="U246" s="227">
        <f t="shared" si="40"/>
        <v>1.0098810612294458</v>
      </c>
      <c r="V246" s="227">
        <f t="shared" si="40"/>
        <v>1.0098810612294458</v>
      </c>
      <c r="W246" s="227">
        <f t="shared" si="40"/>
        <v>1.0098810612294458</v>
      </c>
      <c r="X246" s="227">
        <f t="shared" si="40"/>
        <v>1.0098810612294458</v>
      </c>
      <c r="Y246" s="227">
        <f t="shared" si="40"/>
        <v>1.0098810612294458</v>
      </c>
    </row>
    <row r="247" spans="5:25" x14ac:dyDescent="0.25">
      <c r="F247" s="12" t="s">
        <v>49</v>
      </c>
      <c r="G247" s="12" t="s">
        <v>427</v>
      </c>
      <c r="J247" s="227">
        <f t="shared" ref="J247:Y247" si="41">J213 * J225 * hours_in_year</f>
        <v>1.0098810612294458</v>
      </c>
      <c r="K247" s="227">
        <f t="shared" si="41"/>
        <v>1.0098810612294458</v>
      </c>
      <c r="L247" s="227">
        <f t="shared" si="41"/>
        <v>1.0098810612294458</v>
      </c>
      <c r="M247" s="227">
        <f t="shared" si="41"/>
        <v>1.0098810612294458</v>
      </c>
      <c r="N247" s="227">
        <f t="shared" si="41"/>
        <v>1.0098810612294458</v>
      </c>
      <c r="O247" s="227">
        <f t="shared" si="41"/>
        <v>1.0098810612294458</v>
      </c>
      <c r="P247" s="227">
        <f t="shared" si="41"/>
        <v>1.0098810612294458</v>
      </c>
      <c r="Q247" s="227">
        <f t="shared" si="41"/>
        <v>0.94346449633480867</v>
      </c>
      <c r="R247" s="227">
        <f t="shared" si="41"/>
        <v>1.0098810612294458</v>
      </c>
      <c r="S247" s="227">
        <f t="shared" si="41"/>
        <v>1.0098810612294458</v>
      </c>
      <c r="T247" s="227">
        <f t="shared" si="41"/>
        <v>1.0098810612294458</v>
      </c>
      <c r="U247" s="227">
        <f t="shared" si="41"/>
        <v>1.0098810612294458</v>
      </c>
      <c r="V247" s="227">
        <f t="shared" si="41"/>
        <v>1.0098810612294458</v>
      </c>
      <c r="W247" s="227">
        <f t="shared" si="41"/>
        <v>1.0098810612294458</v>
      </c>
      <c r="X247" s="227">
        <f t="shared" si="41"/>
        <v>1.0098810612294458</v>
      </c>
      <c r="Y247" s="227">
        <f t="shared" si="41"/>
        <v>1.0098810612294458</v>
      </c>
    </row>
    <row r="248" spans="5:25" x14ac:dyDescent="0.25">
      <c r="F248" s="13" t="s">
        <v>50</v>
      </c>
      <c r="G248" s="13" t="s">
        <v>427</v>
      </c>
      <c r="H248" s="17"/>
      <c r="I248" s="17"/>
      <c r="J248" s="227">
        <f t="shared" ref="J248:Y248" si="42">J218 * J225 * hours_in_year</f>
        <v>1.0098810612294458</v>
      </c>
      <c r="K248" s="227">
        <f t="shared" si="42"/>
        <v>1.0098810612294458</v>
      </c>
      <c r="L248" s="227">
        <f t="shared" si="42"/>
        <v>1.0098810612294458</v>
      </c>
      <c r="M248" s="227">
        <f t="shared" si="42"/>
        <v>1.0098810612294458</v>
      </c>
      <c r="N248" s="227">
        <f t="shared" si="42"/>
        <v>1.0098810612294458</v>
      </c>
      <c r="O248" s="227">
        <f t="shared" si="42"/>
        <v>1.0098810612294458</v>
      </c>
      <c r="P248" s="227">
        <f t="shared" si="42"/>
        <v>1.0098810612294458</v>
      </c>
      <c r="Q248" s="227">
        <f t="shared" si="42"/>
        <v>0.94346449633480867</v>
      </c>
      <c r="R248" s="227">
        <f t="shared" si="42"/>
        <v>1.0098810612294458</v>
      </c>
      <c r="S248" s="227">
        <f t="shared" si="42"/>
        <v>1.0098810612294458</v>
      </c>
      <c r="T248" s="227">
        <f t="shared" si="42"/>
        <v>1.0098810612294458</v>
      </c>
      <c r="U248" s="227">
        <f t="shared" si="42"/>
        <v>1.0098810612294458</v>
      </c>
      <c r="V248" s="227">
        <f t="shared" si="42"/>
        <v>1.0098810612294458</v>
      </c>
      <c r="W248" s="227">
        <f t="shared" si="42"/>
        <v>1.0098810612294458</v>
      </c>
      <c r="X248" s="227">
        <f t="shared" si="42"/>
        <v>1.0098810612294458</v>
      </c>
      <c r="Y248" s="227">
        <f t="shared" si="42"/>
        <v>1.0098810612294458</v>
      </c>
    </row>
    <row r="249" spans="5:25" x14ac:dyDescent="0.25"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</row>
    <row r="250" spans="5:25" x14ac:dyDescent="0.25">
      <c r="E250" s="52" t="s">
        <v>136</v>
      </c>
      <c r="G250" s="12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</row>
    <row r="251" spans="5:25" x14ac:dyDescent="0.25">
      <c r="F251" s="14" t="s">
        <v>43</v>
      </c>
      <c r="G251" s="14" t="s">
        <v>427</v>
      </c>
      <c r="H251" s="80"/>
      <c r="I251" s="80"/>
      <c r="J251" s="227">
        <f t="shared" ref="J251:Y251" si="43">J179 * J226 * hours_in_year</f>
        <v>9.095534914519721E-3</v>
      </c>
      <c r="K251" s="227">
        <f t="shared" si="43"/>
        <v>9.095534914519721E-3</v>
      </c>
      <c r="L251" s="227">
        <f t="shared" si="43"/>
        <v>9.095534914519721E-3</v>
      </c>
      <c r="M251" s="227">
        <f t="shared" si="43"/>
        <v>9.095534914519721E-3</v>
      </c>
      <c r="N251" s="227">
        <f t="shared" si="43"/>
        <v>9.095534914519721E-3</v>
      </c>
      <c r="O251" s="227">
        <f t="shared" si="43"/>
        <v>9.095534914519721E-3</v>
      </c>
      <c r="P251" s="227">
        <f t="shared" si="43"/>
        <v>9.095534914519721E-3</v>
      </c>
      <c r="Q251" s="227">
        <f t="shared" si="43"/>
        <v>9.095534914519721E-3</v>
      </c>
      <c r="R251" s="227">
        <f t="shared" si="43"/>
        <v>9.095534914519721E-3</v>
      </c>
      <c r="S251" s="227">
        <f t="shared" si="43"/>
        <v>9.095534914519721E-3</v>
      </c>
      <c r="T251" s="227">
        <f t="shared" si="43"/>
        <v>9.095534914519721E-3</v>
      </c>
      <c r="U251" s="227">
        <f t="shared" si="43"/>
        <v>9.095534914519721E-3</v>
      </c>
      <c r="V251" s="227">
        <f t="shared" si="43"/>
        <v>9.095534914519721E-3</v>
      </c>
      <c r="W251" s="227">
        <f t="shared" si="43"/>
        <v>9.095534914519721E-3</v>
      </c>
      <c r="X251" s="227">
        <f t="shared" si="43"/>
        <v>9.095534914519721E-3</v>
      </c>
      <c r="Y251" s="227">
        <f t="shared" si="43"/>
        <v>9.095534914519721E-3</v>
      </c>
    </row>
    <row r="252" spans="5:25" x14ac:dyDescent="0.25">
      <c r="F252" s="12" t="s">
        <v>44</v>
      </c>
      <c r="G252" s="12" t="s">
        <v>427</v>
      </c>
      <c r="J252" s="227">
        <f t="shared" ref="J252:Y252" si="44">J184 * J226 * hours_in_year</f>
        <v>0</v>
      </c>
      <c r="K252" s="227">
        <f t="shared" si="44"/>
        <v>0</v>
      </c>
      <c r="L252" s="227">
        <f t="shared" si="44"/>
        <v>0</v>
      </c>
      <c r="M252" s="227">
        <f t="shared" si="44"/>
        <v>0</v>
      </c>
      <c r="N252" s="227">
        <f t="shared" si="44"/>
        <v>0</v>
      </c>
      <c r="O252" s="227">
        <f t="shared" si="44"/>
        <v>0</v>
      </c>
      <c r="P252" s="227">
        <f t="shared" si="44"/>
        <v>0</v>
      </c>
      <c r="Q252" s="227">
        <f t="shared" si="44"/>
        <v>0</v>
      </c>
      <c r="R252" s="227">
        <f t="shared" si="44"/>
        <v>0</v>
      </c>
      <c r="S252" s="227">
        <f t="shared" si="44"/>
        <v>0</v>
      </c>
      <c r="T252" s="227">
        <f t="shared" si="44"/>
        <v>0</v>
      </c>
      <c r="U252" s="227">
        <f t="shared" si="44"/>
        <v>0</v>
      </c>
      <c r="V252" s="227">
        <f t="shared" si="44"/>
        <v>0</v>
      </c>
      <c r="W252" s="227">
        <f t="shared" si="44"/>
        <v>0</v>
      </c>
      <c r="X252" s="227">
        <f t="shared" si="44"/>
        <v>0</v>
      </c>
      <c r="Y252" s="227">
        <f t="shared" si="44"/>
        <v>0</v>
      </c>
    </row>
    <row r="253" spans="5:25" x14ac:dyDescent="0.25">
      <c r="F253" s="12" t="s">
        <v>45</v>
      </c>
      <c r="G253" s="12" t="s">
        <v>427</v>
      </c>
      <c r="J253" s="227">
        <f t="shared" ref="J253:Y253" si="45">J189 * J226 * hours_in_year</f>
        <v>0</v>
      </c>
      <c r="K253" s="227">
        <f t="shared" si="45"/>
        <v>0</v>
      </c>
      <c r="L253" s="227">
        <f t="shared" si="45"/>
        <v>0</v>
      </c>
      <c r="M253" s="227">
        <f t="shared" si="45"/>
        <v>0</v>
      </c>
      <c r="N253" s="227">
        <f t="shared" si="45"/>
        <v>0</v>
      </c>
      <c r="O253" s="227">
        <f t="shared" si="45"/>
        <v>0</v>
      </c>
      <c r="P253" s="227">
        <f t="shared" si="45"/>
        <v>0</v>
      </c>
      <c r="Q253" s="227">
        <f t="shared" si="45"/>
        <v>0</v>
      </c>
      <c r="R253" s="227">
        <f t="shared" si="45"/>
        <v>0</v>
      </c>
      <c r="S253" s="227">
        <f t="shared" si="45"/>
        <v>0</v>
      </c>
      <c r="T253" s="227">
        <f t="shared" si="45"/>
        <v>0</v>
      </c>
      <c r="U253" s="227">
        <f t="shared" si="45"/>
        <v>0</v>
      </c>
      <c r="V253" s="227">
        <f t="shared" si="45"/>
        <v>0</v>
      </c>
      <c r="W253" s="227">
        <f t="shared" si="45"/>
        <v>0</v>
      </c>
      <c r="X253" s="227">
        <f t="shared" si="45"/>
        <v>0</v>
      </c>
      <c r="Y253" s="227">
        <f t="shared" si="45"/>
        <v>0</v>
      </c>
    </row>
    <row r="254" spans="5:25" x14ac:dyDescent="0.25">
      <c r="F254" s="12" t="s">
        <v>46</v>
      </c>
      <c r="G254" s="12" t="s">
        <v>427</v>
      </c>
      <c r="J254" s="227">
        <f t="shared" ref="J254:Y254" si="46">J194 * J226 * hours_in_year</f>
        <v>9.095534914519721E-3</v>
      </c>
      <c r="K254" s="227">
        <f t="shared" si="46"/>
        <v>9.095534914519721E-3</v>
      </c>
      <c r="L254" s="227">
        <f t="shared" si="46"/>
        <v>9.095534914519721E-3</v>
      </c>
      <c r="M254" s="227">
        <f t="shared" si="46"/>
        <v>9.095534914519721E-3</v>
      </c>
      <c r="N254" s="227">
        <f t="shared" si="46"/>
        <v>9.095534914519721E-3</v>
      </c>
      <c r="O254" s="227">
        <f t="shared" si="46"/>
        <v>9.095534914519721E-3</v>
      </c>
      <c r="P254" s="227">
        <f t="shared" si="46"/>
        <v>9.095534914519721E-3</v>
      </c>
      <c r="Q254" s="227">
        <f t="shared" si="46"/>
        <v>9.095534914519721E-3</v>
      </c>
      <c r="R254" s="227">
        <f t="shared" si="46"/>
        <v>9.095534914519721E-3</v>
      </c>
      <c r="S254" s="227">
        <f t="shared" si="46"/>
        <v>9.095534914519721E-3</v>
      </c>
      <c r="T254" s="227">
        <f t="shared" si="46"/>
        <v>9.095534914519721E-3</v>
      </c>
      <c r="U254" s="227">
        <f t="shared" si="46"/>
        <v>9.095534914519721E-3</v>
      </c>
      <c r="V254" s="227">
        <f t="shared" si="46"/>
        <v>9.095534914519721E-3</v>
      </c>
      <c r="W254" s="227">
        <f t="shared" si="46"/>
        <v>9.095534914519721E-3</v>
      </c>
      <c r="X254" s="227">
        <f t="shared" si="46"/>
        <v>9.095534914519721E-3</v>
      </c>
      <c r="Y254" s="227">
        <f t="shared" si="46"/>
        <v>9.095534914519721E-3</v>
      </c>
    </row>
    <row r="255" spans="5:25" x14ac:dyDescent="0.25">
      <c r="F255" s="12" t="s">
        <v>47</v>
      </c>
      <c r="G255" s="12" t="s">
        <v>427</v>
      </c>
      <c r="J255" s="227">
        <f t="shared" ref="J255:Y255" si="47">J199 * J226 * hours_in_year</f>
        <v>2.0204042116519005E-2</v>
      </c>
      <c r="K255" s="227">
        <f t="shared" si="47"/>
        <v>2.0204042116519005E-2</v>
      </c>
      <c r="L255" s="227">
        <f t="shared" si="47"/>
        <v>2.0204042116519005E-2</v>
      </c>
      <c r="M255" s="227">
        <f t="shared" si="47"/>
        <v>2.0204042116519005E-2</v>
      </c>
      <c r="N255" s="227">
        <f t="shared" si="47"/>
        <v>2.0204042116519005E-2</v>
      </c>
      <c r="O255" s="227">
        <f t="shared" si="47"/>
        <v>2.0204042116519005E-2</v>
      </c>
      <c r="P255" s="227">
        <f t="shared" si="47"/>
        <v>2.0204042116519005E-2</v>
      </c>
      <c r="Q255" s="227">
        <f t="shared" si="47"/>
        <v>2.0204042116519005E-2</v>
      </c>
      <c r="R255" s="227">
        <f t="shared" si="47"/>
        <v>2.0204042116519005E-2</v>
      </c>
      <c r="S255" s="227">
        <f t="shared" si="47"/>
        <v>2.0204042116519005E-2</v>
      </c>
      <c r="T255" s="227">
        <f t="shared" si="47"/>
        <v>2.0204042116519005E-2</v>
      </c>
      <c r="U255" s="227">
        <f t="shared" si="47"/>
        <v>2.0204042116519005E-2</v>
      </c>
      <c r="V255" s="227">
        <f t="shared" si="47"/>
        <v>2.0204042116519005E-2</v>
      </c>
      <c r="W255" s="227">
        <f t="shared" si="47"/>
        <v>2.0204042116519005E-2</v>
      </c>
      <c r="X255" s="227">
        <f t="shared" si="47"/>
        <v>2.0204042116519005E-2</v>
      </c>
      <c r="Y255" s="227">
        <f t="shared" si="47"/>
        <v>2.0204042116519005E-2</v>
      </c>
    </row>
    <row r="256" spans="5:25" x14ac:dyDescent="0.25">
      <c r="F256" s="12" t="s">
        <v>51</v>
      </c>
      <c r="G256" s="12" t="s">
        <v>427</v>
      </c>
      <c r="J256" s="227">
        <f t="shared" ref="J256:Y256" si="48">J204 * J226 * hours_in_year</f>
        <v>0</v>
      </c>
      <c r="K256" s="227">
        <f t="shared" si="48"/>
        <v>0</v>
      </c>
      <c r="L256" s="227">
        <f t="shared" si="48"/>
        <v>0</v>
      </c>
      <c r="M256" s="227">
        <f t="shared" si="48"/>
        <v>0</v>
      </c>
      <c r="N256" s="227">
        <f t="shared" si="48"/>
        <v>0</v>
      </c>
      <c r="O256" s="227">
        <f t="shared" si="48"/>
        <v>0</v>
      </c>
      <c r="P256" s="227">
        <f t="shared" si="48"/>
        <v>0</v>
      </c>
      <c r="Q256" s="227">
        <f t="shared" si="48"/>
        <v>0</v>
      </c>
      <c r="R256" s="227">
        <f t="shared" si="48"/>
        <v>0</v>
      </c>
      <c r="S256" s="227">
        <f t="shared" si="48"/>
        <v>0</v>
      </c>
      <c r="T256" s="227">
        <f t="shared" si="48"/>
        <v>0</v>
      </c>
      <c r="U256" s="227">
        <f t="shared" si="48"/>
        <v>0</v>
      </c>
      <c r="V256" s="227">
        <f t="shared" si="48"/>
        <v>0</v>
      </c>
      <c r="W256" s="227">
        <f t="shared" si="48"/>
        <v>0</v>
      </c>
      <c r="X256" s="227">
        <f t="shared" si="48"/>
        <v>0</v>
      </c>
      <c r="Y256" s="227">
        <f t="shared" si="48"/>
        <v>0</v>
      </c>
    </row>
    <row r="257" spans="2:27" x14ac:dyDescent="0.25">
      <c r="F257" s="12" t="s">
        <v>48</v>
      </c>
      <c r="G257" s="12" t="s">
        <v>427</v>
      </c>
      <c r="J257" s="227">
        <f t="shared" ref="J257:Y257" si="49">J209 * J226 * hours_in_year</f>
        <v>2.0204042116519005E-2</v>
      </c>
      <c r="K257" s="227">
        <f t="shared" si="49"/>
        <v>2.0204042116519005E-2</v>
      </c>
      <c r="L257" s="227">
        <f t="shared" si="49"/>
        <v>2.0204042116519005E-2</v>
      </c>
      <c r="M257" s="227">
        <f t="shared" si="49"/>
        <v>2.0204042116519005E-2</v>
      </c>
      <c r="N257" s="227">
        <f t="shared" si="49"/>
        <v>2.0204042116519005E-2</v>
      </c>
      <c r="O257" s="227">
        <f t="shared" si="49"/>
        <v>2.0204042116519005E-2</v>
      </c>
      <c r="P257" s="227">
        <f t="shared" si="49"/>
        <v>2.0204042116519005E-2</v>
      </c>
      <c r="Q257" s="227">
        <f t="shared" si="49"/>
        <v>2.0204042116519005E-2</v>
      </c>
      <c r="R257" s="227">
        <f t="shared" si="49"/>
        <v>2.0204042116519005E-2</v>
      </c>
      <c r="S257" s="227">
        <f t="shared" si="49"/>
        <v>2.0204042116519005E-2</v>
      </c>
      <c r="T257" s="227">
        <f t="shared" si="49"/>
        <v>2.0204042116519005E-2</v>
      </c>
      <c r="U257" s="227">
        <f t="shared" si="49"/>
        <v>2.0204042116519005E-2</v>
      </c>
      <c r="V257" s="227">
        <f t="shared" si="49"/>
        <v>2.0204042116519005E-2</v>
      </c>
      <c r="W257" s="227">
        <f t="shared" si="49"/>
        <v>2.0204042116519005E-2</v>
      </c>
      <c r="X257" s="227">
        <f t="shared" si="49"/>
        <v>2.0204042116519005E-2</v>
      </c>
      <c r="Y257" s="227">
        <f t="shared" si="49"/>
        <v>2.0204042116519005E-2</v>
      </c>
    </row>
    <row r="258" spans="2:27" x14ac:dyDescent="0.25">
      <c r="F258" s="12" t="s">
        <v>49</v>
      </c>
      <c r="G258" s="12" t="s">
        <v>427</v>
      </c>
      <c r="J258" s="227">
        <f t="shared" ref="J258:Y258" si="50">J214 * J226 * hours_in_year</f>
        <v>2.0204042116519005E-2</v>
      </c>
      <c r="K258" s="227">
        <f t="shared" si="50"/>
        <v>2.0204042116519005E-2</v>
      </c>
      <c r="L258" s="227">
        <f t="shared" si="50"/>
        <v>2.0204042116519005E-2</v>
      </c>
      <c r="M258" s="227">
        <f t="shared" si="50"/>
        <v>2.0204042116519005E-2</v>
      </c>
      <c r="N258" s="227">
        <f t="shared" si="50"/>
        <v>2.0204042116519005E-2</v>
      </c>
      <c r="O258" s="227">
        <f t="shared" si="50"/>
        <v>2.0204042116519005E-2</v>
      </c>
      <c r="P258" s="227">
        <f t="shared" si="50"/>
        <v>2.0204042116519005E-2</v>
      </c>
      <c r="Q258" s="227">
        <f t="shared" si="50"/>
        <v>2.0204042116519005E-2</v>
      </c>
      <c r="R258" s="227">
        <f t="shared" si="50"/>
        <v>2.0204042116519005E-2</v>
      </c>
      <c r="S258" s="227">
        <f t="shared" si="50"/>
        <v>2.0204042116519005E-2</v>
      </c>
      <c r="T258" s="227">
        <f t="shared" si="50"/>
        <v>2.0204042116519005E-2</v>
      </c>
      <c r="U258" s="227">
        <f t="shared" si="50"/>
        <v>2.0204042116519005E-2</v>
      </c>
      <c r="V258" s="227">
        <f t="shared" si="50"/>
        <v>2.0204042116519005E-2</v>
      </c>
      <c r="W258" s="227">
        <f t="shared" si="50"/>
        <v>2.0204042116519005E-2</v>
      </c>
      <c r="X258" s="227">
        <f t="shared" si="50"/>
        <v>2.0204042116519005E-2</v>
      </c>
      <c r="Y258" s="227">
        <f t="shared" si="50"/>
        <v>2.0204042116519005E-2</v>
      </c>
    </row>
    <row r="259" spans="2:27" x14ac:dyDescent="0.25">
      <c r="F259" s="13" t="s">
        <v>50</v>
      </c>
      <c r="G259" s="13" t="s">
        <v>427</v>
      </c>
      <c r="H259" s="17"/>
      <c r="I259" s="17"/>
      <c r="J259" s="227">
        <f t="shared" ref="J259:Y259" si="51">J219 * J226 * hours_in_year</f>
        <v>2.0204042116519005E-2</v>
      </c>
      <c r="K259" s="227">
        <f t="shared" si="51"/>
        <v>2.0204042116519005E-2</v>
      </c>
      <c r="L259" s="227">
        <f t="shared" si="51"/>
        <v>2.0204042116519005E-2</v>
      </c>
      <c r="M259" s="227">
        <f t="shared" si="51"/>
        <v>2.0204042116519005E-2</v>
      </c>
      <c r="N259" s="227">
        <f t="shared" si="51"/>
        <v>2.0204042116519005E-2</v>
      </c>
      <c r="O259" s="227">
        <f t="shared" si="51"/>
        <v>2.0204042116519005E-2</v>
      </c>
      <c r="P259" s="227">
        <f t="shared" si="51"/>
        <v>2.0204042116519005E-2</v>
      </c>
      <c r="Q259" s="227">
        <f t="shared" si="51"/>
        <v>2.0204042116519005E-2</v>
      </c>
      <c r="R259" s="227">
        <f t="shared" si="51"/>
        <v>2.0204042116519005E-2</v>
      </c>
      <c r="S259" s="227">
        <f t="shared" si="51"/>
        <v>2.0204042116519005E-2</v>
      </c>
      <c r="T259" s="227">
        <f t="shared" si="51"/>
        <v>2.0204042116519005E-2</v>
      </c>
      <c r="U259" s="227">
        <f t="shared" si="51"/>
        <v>2.0204042116519005E-2</v>
      </c>
      <c r="V259" s="227">
        <f t="shared" si="51"/>
        <v>2.0204042116519005E-2</v>
      </c>
      <c r="W259" s="227">
        <f t="shared" si="51"/>
        <v>2.0204042116519005E-2</v>
      </c>
      <c r="X259" s="227">
        <f t="shared" si="51"/>
        <v>2.0204042116519005E-2</v>
      </c>
      <c r="Y259" s="227">
        <f t="shared" si="51"/>
        <v>2.0204042116519005E-2</v>
      </c>
    </row>
    <row r="260" spans="2:27" x14ac:dyDescent="0.25"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</row>
    <row r="261" spans="2:27" x14ac:dyDescent="0.25">
      <c r="B261" s="82" t="s">
        <v>953</v>
      </c>
      <c r="C261" s="65"/>
      <c r="D261" s="64"/>
      <c r="E261" s="64"/>
      <c r="F261" s="65"/>
      <c r="G261" s="65"/>
      <c r="H261" s="65"/>
      <c r="I261" s="65"/>
      <c r="J261" s="233"/>
      <c r="K261" s="233"/>
      <c r="L261" s="233"/>
      <c r="M261" s="233"/>
      <c r="N261" s="233"/>
      <c r="O261" s="233"/>
      <c r="P261" s="233"/>
      <c r="Q261" s="233"/>
      <c r="R261" s="233"/>
      <c r="S261" s="233"/>
      <c r="T261" s="233"/>
      <c r="U261" s="233"/>
      <c r="V261" s="233"/>
      <c r="W261" s="233"/>
      <c r="X261" s="233"/>
      <c r="Y261" s="233"/>
      <c r="Z261" s="65"/>
      <c r="AA261" s="65"/>
    </row>
    <row r="262" spans="2:27" x14ac:dyDescent="0.25">
      <c r="F262" s="12"/>
      <c r="G262" s="12"/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</row>
    <row r="263" spans="2:27" x14ac:dyDescent="0.25">
      <c r="C263" s="73" t="s">
        <v>955</v>
      </c>
      <c r="F263" s="12"/>
      <c r="G263" s="12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</row>
    <row r="264" spans="2:27" x14ac:dyDescent="0.25">
      <c r="F264" s="12"/>
      <c r="G264" s="12"/>
      <c r="J264" s="211"/>
      <c r="K264" s="211"/>
      <c r="L264" s="211"/>
      <c r="M264" s="211"/>
      <c r="N264" s="211"/>
      <c r="O264" s="211"/>
      <c r="P264" s="211"/>
      <c r="Q264" s="211"/>
      <c r="R264" s="211"/>
      <c r="S264" s="211"/>
      <c r="T264" s="211"/>
      <c r="U264" s="211"/>
      <c r="V264" s="211"/>
      <c r="W264" s="211"/>
      <c r="X264" s="211"/>
      <c r="Y264" s="211"/>
    </row>
    <row r="265" spans="2:27" x14ac:dyDescent="0.25">
      <c r="C265" s="5" t="str">
        <f ca="1">INDEX('Version control'!$H$36:$H$62,MATCH($A$1,'Version control'!$F$36:$F$62,0),1)&amp;"-K: Load coefficient"</f>
        <v>Section 508-K: Load coefficient</v>
      </c>
      <c r="D265" s="5"/>
      <c r="E265" s="5"/>
      <c r="F265" s="5"/>
      <c r="G265" s="5"/>
      <c r="H265" s="5"/>
      <c r="I265" s="5"/>
      <c r="J265" s="205"/>
      <c r="K265" s="205"/>
      <c r="L265" s="205"/>
      <c r="M265" s="205"/>
      <c r="N265" s="205"/>
      <c r="O265" s="205"/>
      <c r="P265" s="205"/>
      <c r="Q265" s="205"/>
      <c r="R265" s="205"/>
      <c r="S265" s="205"/>
      <c r="T265" s="205"/>
      <c r="U265" s="205"/>
      <c r="V265" s="205"/>
      <c r="W265" s="205"/>
      <c r="X265" s="205"/>
      <c r="Y265" s="205"/>
      <c r="Z265" s="5"/>
      <c r="AA265" s="5"/>
    </row>
    <row r="266" spans="2:27" x14ac:dyDescent="0.25">
      <c r="F266" s="12"/>
      <c r="G266" s="12"/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</row>
    <row r="267" spans="2:27" x14ac:dyDescent="0.25">
      <c r="E267" s="12" t="s">
        <v>143</v>
      </c>
      <c r="G267" s="12" t="s">
        <v>427</v>
      </c>
      <c r="J267" s="215">
        <f>J91</f>
        <v>1.7866084731825835</v>
      </c>
      <c r="K267" s="215">
        <f t="shared" ref="K267:Y267" si="52">K91</f>
        <v>1.7866084731825835</v>
      </c>
      <c r="L267" s="215">
        <f t="shared" si="52"/>
        <v>1.6390346750469593</v>
      </c>
      <c r="M267" s="215">
        <f t="shared" si="52"/>
        <v>1.6390346750469593</v>
      </c>
      <c r="N267" s="215">
        <f t="shared" si="52"/>
        <v>1.4448462929475587</v>
      </c>
      <c r="O267" s="215">
        <f t="shared" si="52"/>
        <v>1.2222222222222219</v>
      </c>
      <c r="P267" s="215">
        <f t="shared" si="52"/>
        <v>1.1830601092896176</v>
      </c>
      <c r="Q267" s="215">
        <f t="shared" si="52"/>
        <v>1.912560721721027</v>
      </c>
      <c r="R267" s="215">
        <f t="shared" si="52"/>
        <v>1</v>
      </c>
      <c r="S267" s="215">
        <f t="shared" si="52"/>
        <v>1</v>
      </c>
      <c r="T267" s="215">
        <f t="shared" si="52"/>
        <v>1</v>
      </c>
      <c r="U267" s="215">
        <f t="shared" si="52"/>
        <v>1</v>
      </c>
      <c r="V267" s="215">
        <f t="shared" si="52"/>
        <v>1</v>
      </c>
      <c r="W267" s="215">
        <f t="shared" si="52"/>
        <v>1</v>
      </c>
      <c r="X267" s="215">
        <f t="shared" si="52"/>
        <v>1</v>
      </c>
      <c r="Y267" s="215">
        <f t="shared" si="52"/>
        <v>1</v>
      </c>
    </row>
    <row r="268" spans="2:27" x14ac:dyDescent="0.25">
      <c r="F268" s="12"/>
      <c r="G268" s="12"/>
      <c r="J268" s="211"/>
      <c r="K268" s="211"/>
      <c r="L268" s="211"/>
      <c r="M268" s="211"/>
      <c r="N268" s="211"/>
      <c r="O268" s="211"/>
      <c r="P268" s="211"/>
      <c r="Q268" s="211"/>
      <c r="R268" s="211"/>
      <c r="S268" s="211"/>
      <c r="T268" s="211"/>
      <c r="U268" s="211"/>
      <c r="V268" s="211"/>
      <c r="W268" s="211"/>
      <c r="X268" s="211"/>
      <c r="Y268" s="211"/>
    </row>
    <row r="269" spans="2:27" x14ac:dyDescent="0.25">
      <c r="C269" s="5" t="str">
        <f ca="1">INDEX('Version control'!$H$36:$H$62,MATCH($A$1,'Version control'!$F$36:$F$62,0),1)&amp;"-L: Pseudo load coefficients, by unit rate"</f>
        <v>Section 508-L: Pseudo load coefficients, by unit rate</v>
      </c>
      <c r="D269" s="5"/>
      <c r="E269" s="5"/>
      <c r="F269" s="5"/>
      <c r="G269" s="5"/>
      <c r="H269" s="5"/>
      <c r="I269" s="5"/>
      <c r="J269" s="205"/>
      <c r="K269" s="205"/>
      <c r="L269" s="205"/>
      <c r="M269" s="205"/>
      <c r="N269" s="205"/>
      <c r="O269" s="205"/>
      <c r="P269" s="205"/>
      <c r="Q269" s="205"/>
      <c r="R269" s="205"/>
      <c r="S269" s="205"/>
      <c r="T269" s="205"/>
      <c r="U269" s="205"/>
      <c r="V269" s="205"/>
      <c r="W269" s="205"/>
      <c r="X269" s="205"/>
      <c r="Y269" s="205"/>
      <c r="Z269" s="5"/>
      <c r="AA269" s="5"/>
    </row>
    <row r="270" spans="2:27" x14ac:dyDescent="0.25">
      <c r="F270" s="12"/>
      <c r="G270" s="12"/>
      <c r="J270" s="211"/>
      <c r="K270" s="211"/>
      <c r="L270" s="211"/>
      <c r="M270" s="211"/>
      <c r="N270" s="211"/>
      <c r="O270" s="211"/>
      <c r="P270" s="211"/>
      <c r="Q270" s="211"/>
      <c r="R270" s="211"/>
      <c r="S270" s="211"/>
      <c r="T270" s="211"/>
      <c r="U270" s="211"/>
      <c r="V270" s="211"/>
      <c r="W270" s="211"/>
      <c r="X270" s="211"/>
      <c r="Y270" s="211"/>
    </row>
    <row r="271" spans="2:27" x14ac:dyDescent="0.25">
      <c r="E271" s="52" t="s">
        <v>134</v>
      </c>
      <c r="G271" s="12"/>
      <c r="J271" s="211"/>
      <c r="K271" s="211"/>
      <c r="L271" s="211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211"/>
      <c r="Y271" s="211"/>
    </row>
    <row r="272" spans="2:27" x14ac:dyDescent="0.25">
      <c r="F272" s="14" t="s">
        <v>43</v>
      </c>
      <c r="G272" s="14" t="s">
        <v>427</v>
      </c>
      <c r="H272" s="80"/>
      <c r="I272" s="80"/>
      <c r="J272" s="213">
        <f>J229 * J$93</f>
        <v>10.512574977414495</v>
      </c>
      <c r="K272" s="213">
        <f t="shared" ref="K272:Y272" si="53">K229 * K$93</f>
        <v>10.512574977414495</v>
      </c>
      <c r="L272" s="213">
        <f t="shared" si="53"/>
        <v>12.688461276539131</v>
      </c>
      <c r="M272" s="213">
        <f t="shared" si="53"/>
        <v>12.688461276539131</v>
      </c>
      <c r="N272" s="213">
        <f t="shared" si="53"/>
        <v>10.716365168209068</v>
      </c>
      <c r="O272" s="213">
        <f t="shared" si="53"/>
        <v>9.3924982174489706</v>
      </c>
      <c r="P272" s="213">
        <f t="shared" si="53"/>
        <v>9.3906606638031285</v>
      </c>
      <c r="Q272" s="213">
        <f t="shared" si="53"/>
        <v>25.679917661753063</v>
      </c>
      <c r="R272" s="213">
        <f t="shared" si="53"/>
        <v>8.268720323645887</v>
      </c>
      <c r="S272" s="213">
        <f t="shared" si="53"/>
        <v>8.268720323645887</v>
      </c>
      <c r="T272" s="213">
        <f t="shared" si="53"/>
        <v>8.268720323645887</v>
      </c>
      <c r="U272" s="213">
        <f t="shared" si="53"/>
        <v>8.268720323645887</v>
      </c>
      <c r="V272" s="213">
        <f t="shared" si="53"/>
        <v>8.268720323645887</v>
      </c>
      <c r="W272" s="213">
        <f t="shared" si="53"/>
        <v>8.268720323645887</v>
      </c>
      <c r="X272" s="213">
        <f t="shared" si="53"/>
        <v>8.268720323645887</v>
      </c>
      <c r="Y272" s="213">
        <f t="shared" si="53"/>
        <v>8.268720323645887</v>
      </c>
    </row>
    <row r="273" spans="5:25" x14ac:dyDescent="0.25">
      <c r="F273" s="12" t="s">
        <v>44</v>
      </c>
      <c r="G273" s="12" t="s">
        <v>427</v>
      </c>
      <c r="J273" s="215">
        <f t="shared" ref="J273:Y280" si="54">J230 * J$93</f>
        <v>0</v>
      </c>
      <c r="K273" s="215">
        <f t="shared" si="54"/>
        <v>0</v>
      </c>
      <c r="L273" s="215">
        <f t="shared" si="54"/>
        <v>0</v>
      </c>
      <c r="M273" s="215">
        <f t="shared" si="54"/>
        <v>0</v>
      </c>
      <c r="N273" s="215">
        <f t="shared" si="54"/>
        <v>0</v>
      </c>
      <c r="O273" s="215">
        <f t="shared" si="54"/>
        <v>0</v>
      </c>
      <c r="P273" s="215">
        <f t="shared" si="54"/>
        <v>0</v>
      </c>
      <c r="Q273" s="215">
        <f t="shared" si="54"/>
        <v>0</v>
      </c>
      <c r="R273" s="215">
        <f t="shared" si="54"/>
        <v>0</v>
      </c>
      <c r="S273" s="215">
        <f t="shared" si="54"/>
        <v>0</v>
      </c>
      <c r="T273" s="215">
        <f t="shared" si="54"/>
        <v>0</v>
      </c>
      <c r="U273" s="215">
        <f t="shared" si="54"/>
        <v>0</v>
      </c>
      <c r="V273" s="215">
        <f t="shared" si="54"/>
        <v>0</v>
      </c>
      <c r="W273" s="215">
        <f t="shared" si="54"/>
        <v>0</v>
      </c>
      <c r="X273" s="215">
        <f t="shared" si="54"/>
        <v>0</v>
      </c>
      <c r="Y273" s="215">
        <f t="shared" si="54"/>
        <v>0</v>
      </c>
    </row>
    <row r="274" spans="5:25" x14ac:dyDescent="0.25">
      <c r="F274" s="12" t="s">
        <v>45</v>
      </c>
      <c r="G274" s="12" t="s">
        <v>427</v>
      </c>
      <c r="J274" s="215">
        <f t="shared" si="54"/>
        <v>0</v>
      </c>
      <c r="K274" s="215">
        <f t="shared" si="54"/>
        <v>0</v>
      </c>
      <c r="L274" s="215">
        <f t="shared" si="54"/>
        <v>0</v>
      </c>
      <c r="M274" s="215">
        <f t="shared" si="54"/>
        <v>0</v>
      </c>
      <c r="N274" s="215">
        <f t="shared" si="54"/>
        <v>0</v>
      </c>
      <c r="O274" s="215">
        <f t="shared" si="54"/>
        <v>0</v>
      </c>
      <c r="P274" s="215">
        <f t="shared" si="54"/>
        <v>0</v>
      </c>
      <c r="Q274" s="215">
        <f t="shared" si="54"/>
        <v>0</v>
      </c>
      <c r="R274" s="215">
        <f t="shared" si="54"/>
        <v>0</v>
      </c>
      <c r="S274" s="215">
        <f t="shared" si="54"/>
        <v>0</v>
      </c>
      <c r="T274" s="215">
        <f t="shared" si="54"/>
        <v>0</v>
      </c>
      <c r="U274" s="215">
        <f t="shared" si="54"/>
        <v>0</v>
      </c>
      <c r="V274" s="215">
        <f t="shared" si="54"/>
        <v>0</v>
      </c>
      <c r="W274" s="215">
        <f t="shared" si="54"/>
        <v>0</v>
      </c>
      <c r="X274" s="215">
        <f t="shared" si="54"/>
        <v>0</v>
      </c>
      <c r="Y274" s="215">
        <f t="shared" si="54"/>
        <v>0</v>
      </c>
    </row>
    <row r="275" spans="5:25" x14ac:dyDescent="0.25">
      <c r="F275" s="12" t="s">
        <v>46</v>
      </c>
      <c r="G275" s="12" t="s">
        <v>427</v>
      </c>
      <c r="J275" s="215">
        <f t="shared" si="54"/>
        <v>10.512574977414495</v>
      </c>
      <c r="K275" s="215">
        <f t="shared" si="54"/>
        <v>10.512574977414495</v>
      </c>
      <c r="L275" s="215">
        <f t="shared" si="54"/>
        <v>12.688461276539131</v>
      </c>
      <c r="M275" s="215">
        <f t="shared" si="54"/>
        <v>12.688461276539131</v>
      </c>
      <c r="N275" s="215">
        <f t="shared" si="54"/>
        <v>10.716365168209068</v>
      </c>
      <c r="O275" s="215">
        <f t="shared" si="54"/>
        <v>9.3924982174489706</v>
      </c>
      <c r="P275" s="215">
        <f t="shared" si="54"/>
        <v>9.3906606638031285</v>
      </c>
      <c r="Q275" s="215">
        <f t="shared" si="54"/>
        <v>25.679917661753063</v>
      </c>
      <c r="R275" s="215">
        <f t="shared" si="54"/>
        <v>8.268720323645887</v>
      </c>
      <c r="S275" s="215">
        <f t="shared" si="54"/>
        <v>8.268720323645887</v>
      </c>
      <c r="T275" s="215">
        <f t="shared" si="54"/>
        <v>8.268720323645887</v>
      </c>
      <c r="U275" s="215">
        <f t="shared" si="54"/>
        <v>8.268720323645887</v>
      </c>
      <c r="V275" s="215">
        <f t="shared" si="54"/>
        <v>8.268720323645887</v>
      </c>
      <c r="W275" s="215">
        <f t="shared" si="54"/>
        <v>8.268720323645887</v>
      </c>
      <c r="X275" s="215">
        <f t="shared" si="54"/>
        <v>8.268720323645887</v>
      </c>
      <c r="Y275" s="215">
        <f t="shared" si="54"/>
        <v>8.268720323645887</v>
      </c>
    </row>
    <row r="276" spans="5:25" x14ac:dyDescent="0.25">
      <c r="F276" s="12" t="s">
        <v>47</v>
      </c>
      <c r="G276" s="12" t="s">
        <v>427</v>
      </c>
      <c r="J276" s="215">
        <f t="shared" si="54"/>
        <v>8.4702749127750003</v>
      </c>
      <c r="K276" s="215">
        <f t="shared" si="54"/>
        <v>8.4702749127750003</v>
      </c>
      <c r="L276" s="215">
        <f t="shared" si="54"/>
        <v>10.223447201402905</v>
      </c>
      <c r="M276" s="215">
        <f t="shared" si="54"/>
        <v>10.223447201402905</v>
      </c>
      <c r="N276" s="215">
        <f t="shared" si="54"/>
        <v>8.6344743543262297</v>
      </c>
      <c r="O276" s="215">
        <f t="shared" si="54"/>
        <v>7.5677978221762459</v>
      </c>
      <c r="P276" s="215">
        <f t="shared" si="54"/>
        <v>7.5663172539443249</v>
      </c>
      <c r="Q276" s="215">
        <f t="shared" si="54"/>
        <v>21.674072873739892</v>
      </c>
      <c r="R276" s="215">
        <f t="shared" si="54"/>
        <v>6.6623386247996148</v>
      </c>
      <c r="S276" s="215">
        <f t="shared" si="54"/>
        <v>6.6623386247996148</v>
      </c>
      <c r="T276" s="215">
        <f t="shared" si="54"/>
        <v>6.6623386247996148</v>
      </c>
      <c r="U276" s="215">
        <f t="shared" si="54"/>
        <v>6.6623386247996148</v>
      </c>
      <c r="V276" s="215">
        <f t="shared" si="54"/>
        <v>6.6623386247996148</v>
      </c>
      <c r="W276" s="215">
        <f t="shared" si="54"/>
        <v>6.6623386247996148</v>
      </c>
      <c r="X276" s="215">
        <f t="shared" si="54"/>
        <v>6.6623386247996148</v>
      </c>
      <c r="Y276" s="215">
        <f t="shared" si="54"/>
        <v>6.6623386247996148</v>
      </c>
    </row>
    <row r="277" spans="5:25" x14ac:dyDescent="0.25">
      <c r="F277" s="12" t="s">
        <v>51</v>
      </c>
      <c r="G277" s="12" t="s">
        <v>427</v>
      </c>
      <c r="J277" s="215">
        <f t="shared" si="54"/>
        <v>0</v>
      </c>
      <c r="K277" s="215">
        <f t="shared" si="54"/>
        <v>0</v>
      </c>
      <c r="L277" s="215">
        <f t="shared" si="54"/>
        <v>0</v>
      </c>
      <c r="M277" s="215">
        <f t="shared" si="54"/>
        <v>0</v>
      </c>
      <c r="N277" s="215">
        <f t="shared" si="54"/>
        <v>0</v>
      </c>
      <c r="O277" s="215">
        <f t="shared" si="54"/>
        <v>0</v>
      </c>
      <c r="P277" s="215">
        <f t="shared" si="54"/>
        <v>0</v>
      </c>
      <c r="Q277" s="215">
        <f t="shared" si="54"/>
        <v>0</v>
      </c>
      <c r="R277" s="215">
        <f t="shared" si="54"/>
        <v>0</v>
      </c>
      <c r="S277" s="215">
        <f t="shared" si="54"/>
        <v>0</v>
      </c>
      <c r="T277" s="215">
        <f t="shared" si="54"/>
        <v>0</v>
      </c>
      <c r="U277" s="215">
        <f t="shared" si="54"/>
        <v>0</v>
      </c>
      <c r="V277" s="215">
        <f t="shared" si="54"/>
        <v>0</v>
      </c>
      <c r="W277" s="215">
        <f t="shared" si="54"/>
        <v>0</v>
      </c>
      <c r="X277" s="215">
        <f t="shared" si="54"/>
        <v>0</v>
      </c>
      <c r="Y277" s="215">
        <f t="shared" si="54"/>
        <v>0</v>
      </c>
    </row>
    <row r="278" spans="5:25" x14ac:dyDescent="0.25">
      <c r="F278" s="12" t="s">
        <v>48</v>
      </c>
      <c r="G278" s="12" t="s">
        <v>427</v>
      </c>
      <c r="J278" s="215">
        <f t="shared" si="54"/>
        <v>8.4702749127750003</v>
      </c>
      <c r="K278" s="215">
        <f t="shared" si="54"/>
        <v>8.4702749127750003</v>
      </c>
      <c r="L278" s="215">
        <f t="shared" si="54"/>
        <v>10.223447201402905</v>
      </c>
      <c r="M278" s="215">
        <f t="shared" si="54"/>
        <v>10.223447201402905</v>
      </c>
      <c r="N278" s="215">
        <f t="shared" si="54"/>
        <v>8.6344743543262297</v>
      </c>
      <c r="O278" s="215">
        <f t="shared" si="54"/>
        <v>7.5677978221762459</v>
      </c>
      <c r="P278" s="215">
        <f t="shared" si="54"/>
        <v>7.5663172539443249</v>
      </c>
      <c r="Q278" s="215">
        <f t="shared" si="54"/>
        <v>21.674072873739892</v>
      </c>
      <c r="R278" s="215">
        <f t="shared" si="54"/>
        <v>6.6623386247996148</v>
      </c>
      <c r="S278" s="215">
        <f t="shared" si="54"/>
        <v>6.6623386247996148</v>
      </c>
      <c r="T278" s="215">
        <f t="shared" si="54"/>
        <v>6.6623386247996148</v>
      </c>
      <c r="U278" s="215">
        <f t="shared" si="54"/>
        <v>6.6623386247996148</v>
      </c>
      <c r="V278" s="215">
        <f t="shared" si="54"/>
        <v>6.6623386247996148</v>
      </c>
      <c r="W278" s="215">
        <f t="shared" si="54"/>
        <v>6.6623386247996148</v>
      </c>
      <c r="X278" s="215">
        <f t="shared" si="54"/>
        <v>6.6623386247996148</v>
      </c>
      <c r="Y278" s="215">
        <f t="shared" si="54"/>
        <v>6.6623386247996148</v>
      </c>
    </row>
    <row r="279" spans="5:25" x14ac:dyDescent="0.25">
      <c r="F279" s="12" t="s">
        <v>49</v>
      </c>
      <c r="G279" s="12" t="s">
        <v>427</v>
      </c>
      <c r="J279" s="215">
        <f t="shared" si="54"/>
        <v>8.4702749127750003</v>
      </c>
      <c r="K279" s="215">
        <f t="shared" si="54"/>
        <v>8.4702749127750003</v>
      </c>
      <c r="L279" s="215">
        <f t="shared" si="54"/>
        <v>10.223447201402905</v>
      </c>
      <c r="M279" s="215">
        <f t="shared" si="54"/>
        <v>10.223447201402905</v>
      </c>
      <c r="N279" s="215">
        <f t="shared" si="54"/>
        <v>8.6344743543262297</v>
      </c>
      <c r="O279" s="215">
        <f t="shared" si="54"/>
        <v>7.5677978221762459</v>
      </c>
      <c r="P279" s="215">
        <f t="shared" si="54"/>
        <v>7.5663172539443249</v>
      </c>
      <c r="Q279" s="215">
        <f t="shared" si="54"/>
        <v>21.674072873739892</v>
      </c>
      <c r="R279" s="215">
        <f t="shared" si="54"/>
        <v>6.6623386247996148</v>
      </c>
      <c r="S279" s="215">
        <f t="shared" si="54"/>
        <v>6.6623386247996148</v>
      </c>
      <c r="T279" s="215">
        <f t="shared" si="54"/>
        <v>6.6623386247996148</v>
      </c>
      <c r="U279" s="215">
        <f t="shared" si="54"/>
        <v>6.6623386247996148</v>
      </c>
      <c r="V279" s="215">
        <f t="shared" si="54"/>
        <v>6.6623386247996148</v>
      </c>
      <c r="W279" s="215">
        <f t="shared" si="54"/>
        <v>6.6623386247996148</v>
      </c>
      <c r="X279" s="215">
        <f t="shared" si="54"/>
        <v>6.6623386247996148</v>
      </c>
      <c r="Y279" s="215">
        <f t="shared" si="54"/>
        <v>6.6623386247996148</v>
      </c>
    </row>
    <row r="280" spans="5:25" x14ac:dyDescent="0.25">
      <c r="F280" s="13" t="s">
        <v>50</v>
      </c>
      <c r="G280" s="13" t="s">
        <v>427</v>
      </c>
      <c r="H280" s="17"/>
      <c r="I280" s="17"/>
      <c r="J280" s="217">
        <f t="shared" si="54"/>
        <v>8.4702749127750003</v>
      </c>
      <c r="K280" s="217">
        <f t="shared" si="54"/>
        <v>8.4702749127750003</v>
      </c>
      <c r="L280" s="217">
        <f t="shared" si="54"/>
        <v>10.223447201402905</v>
      </c>
      <c r="M280" s="217">
        <f t="shared" si="54"/>
        <v>10.223447201402905</v>
      </c>
      <c r="N280" s="217">
        <f t="shared" si="54"/>
        <v>8.6344743543262297</v>
      </c>
      <c r="O280" s="217">
        <f t="shared" si="54"/>
        <v>7.5677978221762459</v>
      </c>
      <c r="P280" s="217">
        <f t="shared" si="54"/>
        <v>7.5663172539443249</v>
      </c>
      <c r="Q280" s="217">
        <f t="shared" si="54"/>
        <v>21.674072873739892</v>
      </c>
      <c r="R280" s="217">
        <f t="shared" si="54"/>
        <v>6.6623386247996148</v>
      </c>
      <c r="S280" s="217">
        <f t="shared" si="54"/>
        <v>6.6623386247996148</v>
      </c>
      <c r="T280" s="217">
        <f t="shared" si="54"/>
        <v>6.6623386247996148</v>
      </c>
      <c r="U280" s="217">
        <f t="shared" si="54"/>
        <v>6.6623386247996148</v>
      </c>
      <c r="V280" s="217">
        <f t="shared" si="54"/>
        <v>6.6623386247996148</v>
      </c>
      <c r="W280" s="217">
        <f t="shared" si="54"/>
        <v>6.6623386247996148</v>
      </c>
      <c r="X280" s="217">
        <f t="shared" si="54"/>
        <v>6.6623386247996148</v>
      </c>
      <c r="Y280" s="217">
        <f t="shared" si="54"/>
        <v>6.6623386247996148</v>
      </c>
    </row>
    <row r="281" spans="5:25" x14ac:dyDescent="0.25">
      <c r="J281" s="211"/>
      <c r="K281" s="211"/>
      <c r="L281" s="211"/>
      <c r="M281" s="211"/>
      <c r="N281" s="211"/>
      <c r="O281" s="211"/>
      <c r="P281" s="211"/>
      <c r="Q281" s="211"/>
      <c r="R281" s="211"/>
      <c r="S281" s="211"/>
      <c r="T281" s="211"/>
      <c r="U281" s="211"/>
      <c r="V281" s="211"/>
      <c r="W281" s="211"/>
      <c r="X281" s="211"/>
      <c r="Y281" s="211"/>
    </row>
    <row r="282" spans="5:25" x14ac:dyDescent="0.25">
      <c r="E282" s="52" t="s">
        <v>135</v>
      </c>
      <c r="F282" s="12"/>
      <c r="G282" s="12"/>
      <c r="J282" s="211"/>
      <c r="K282" s="211"/>
      <c r="L282" s="211"/>
      <c r="M282" s="211"/>
      <c r="N282" s="211"/>
      <c r="O282" s="211"/>
      <c r="P282" s="211"/>
      <c r="Q282" s="211"/>
      <c r="R282" s="211"/>
      <c r="S282" s="211"/>
      <c r="T282" s="211"/>
      <c r="U282" s="211"/>
      <c r="V282" s="211"/>
      <c r="W282" s="211"/>
      <c r="X282" s="211"/>
      <c r="Y282" s="211"/>
    </row>
    <row r="283" spans="5:25" x14ac:dyDescent="0.25">
      <c r="F283" s="14" t="s">
        <v>43</v>
      </c>
      <c r="G283" s="14" t="s">
        <v>427</v>
      </c>
      <c r="H283" s="80"/>
      <c r="I283" s="80"/>
      <c r="J283" s="213">
        <f>J240 * J$93</f>
        <v>0.8348510664390576</v>
      </c>
      <c r="K283" s="213">
        <f t="shared" ref="K283:Y283" si="55">K240 * K$93</f>
        <v>0.8348510664390576</v>
      </c>
      <c r="L283" s="213">
        <f t="shared" si="55"/>
        <v>1.0076480263824628</v>
      </c>
      <c r="M283" s="213">
        <f t="shared" si="55"/>
        <v>1.0076480263824628</v>
      </c>
      <c r="N283" s="213">
        <f t="shared" si="55"/>
        <v>0.85103496605263362</v>
      </c>
      <c r="O283" s="213">
        <f t="shared" si="55"/>
        <v>0.74590071131105018</v>
      </c>
      <c r="P283" s="213">
        <f t="shared" si="55"/>
        <v>0.74575478287542285</v>
      </c>
      <c r="Q283" s="213">
        <f t="shared" si="55"/>
        <v>0.81855783299625506</v>
      </c>
      <c r="R283" s="213">
        <f t="shared" si="55"/>
        <v>0.65665643242621285</v>
      </c>
      <c r="S283" s="213">
        <f t="shared" si="55"/>
        <v>0.65665643242621285</v>
      </c>
      <c r="T283" s="213">
        <f t="shared" si="55"/>
        <v>0.65665643242621285</v>
      </c>
      <c r="U283" s="213">
        <f t="shared" si="55"/>
        <v>0.65665643242621285</v>
      </c>
      <c r="V283" s="213">
        <f t="shared" si="55"/>
        <v>0.65665643242621285</v>
      </c>
      <c r="W283" s="213">
        <f t="shared" si="55"/>
        <v>0.65665643242621285</v>
      </c>
      <c r="X283" s="213">
        <f t="shared" si="55"/>
        <v>0.65665643242621285</v>
      </c>
      <c r="Y283" s="213">
        <f t="shared" si="55"/>
        <v>0.65665643242621285</v>
      </c>
    </row>
    <row r="284" spans="5:25" x14ac:dyDescent="0.25">
      <c r="F284" s="12" t="s">
        <v>44</v>
      </c>
      <c r="G284" s="12" t="s">
        <v>427</v>
      </c>
      <c r="J284" s="215">
        <f t="shared" ref="J284:Y291" si="56">J241 * J$93</f>
        <v>0</v>
      </c>
      <c r="K284" s="215">
        <f t="shared" si="56"/>
        <v>0</v>
      </c>
      <c r="L284" s="215">
        <f t="shared" si="56"/>
        <v>0</v>
      </c>
      <c r="M284" s="215">
        <f t="shared" si="56"/>
        <v>0</v>
      </c>
      <c r="N284" s="215">
        <f t="shared" si="56"/>
        <v>0</v>
      </c>
      <c r="O284" s="215">
        <f t="shared" si="56"/>
        <v>0</v>
      </c>
      <c r="P284" s="215">
        <f t="shared" si="56"/>
        <v>0</v>
      </c>
      <c r="Q284" s="215">
        <f t="shared" si="56"/>
        <v>0</v>
      </c>
      <c r="R284" s="215">
        <f t="shared" si="56"/>
        <v>0</v>
      </c>
      <c r="S284" s="215">
        <f t="shared" si="56"/>
        <v>0</v>
      </c>
      <c r="T284" s="215">
        <f t="shared" si="56"/>
        <v>0</v>
      </c>
      <c r="U284" s="215">
        <f t="shared" si="56"/>
        <v>0</v>
      </c>
      <c r="V284" s="215">
        <f t="shared" si="56"/>
        <v>0</v>
      </c>
      <c r="W284" s="215">
        <f t="shared" si="56"/>
        <v>0</v>
      </c>
      <c r="X284" s="215">
        <f t="shared" si="56"/>
        <v>0</v>
      </c>
      <c r="Y284" s="215">
        <f t="shared" si="56"/>
        <v>0</v>
      </c>
    </row>
    <row r="285" spans="5:25" x14ac:dyDescent="0.25">
      <c r="F285" s="12" t="s">
        <v>45</v>
      </c>
      <c r="G285" s="12" t="s">
        <v>427</v>
      </c>
      <c r="J285" s="215">
        <f t="shared" si="56"/>
        <v>0</v>
      </c>
      <c r="K285" s="215">
        <f t="shared" si="56"/>
        <v>0</v>
      </c>
      <c r="L285" s="215">
        <f t="shared" si="56"/>
        <v>0</v>
      </c>
      <c r="M285" s="215">
        <f t="shared" si="56"/>
        <v>0</v>
      </c>
      <c r="N285" s="215">
        <f t="shared" si="56"/>
        <v>0</v>
      </c>
      <c r="O285" s="215">
        <f t="shared" si="56"/>
        <v>0</v>
      </c>
      <c r="P285" s="215">
        <f t="shared" si="56"/>
        <v>0</v>
      </c>
      <c r="Q285" s="215">
        <f t="shared" si="56"/>
        <v>0</v>
      </c>
      <c r="R285" s="215">
        <f t="shared" si="56"/>
        <v>0</v>
      </c>
      <c r="S285" s="215">
        <f t="shared" si="56"/>
        <v>0</v>
      </c>
      <c r="T285" s="215">
        <f t="shared" si="56"/>
        <v>0</v>
      </c>
      <c r="U285" s="215">
        <f t="shared" si="56"/>
        <v>0</v>
      </c>
      <c r="V285" s="215">
        <f t="shared" si="56"/>
        <v>0</v>
      </c>
      <c r="W285" s="215">
        <f t="shared" si="56"/>
        <v>0</v>
      </c>
      <c r="X285" s="215">
        <f t="shared" si="56"/>
        <v>0</v>
      </c>
      <c r="Y285" s="215">
        <f t="shared" si="56"/>
        <v>0</v>
      </c>
    </row>
    <row r="286" spans="5:25" x14ac:dyDescent="0.25">
      <c r="F286" s="12" t="s">
        <v>46</v>
      </c>
      <c r="G286" s="12" t="s">
        <v>427</v>
      </c>
      <c r="J286" s="215">
        <f t="shared" si="56"/>
        <v>0.8348510664390576</v>
      </c>
      <c r="K286" s="215">
        <f t="shared" si="56"/>
        <v>0.8348510664390576</v>
      </c>
      <c r="L286" s="215">
        <f t="shared" si="56"/>
        <v>1.0076480263824628</v>
      </c>
      <c r="M286" s="215">
        <f t="shared" si="56"/>
        <v>1.0076480263824628</v>
      </c>
      <c r="N286" s="215">
        <f t="shared" si="56"/>
        <v>0.85103496605263362</v>
      </c>
      <c r="O286" s="215">
        <f t="shared" si="56"/>
        <v>0.74590071131105018</v>
      </c>
      <c r="P286" s="215">
        <f t="shared" si="56"/>
        <v>0.74575478287542285</v>
      </c>
      <c r="Q286" s="215">
        <f t="shared" si="56"/>
        <v>0.81855783299625506</v>
      </c>
      <c r="R286" s="215">
        <f t="shared" si="56"/>
        <v>0.65665643242621285</v>
      </c>
      <c r="S286" s="215">
        <f t="shared" si="56"/>
        <v>0.65665643242621285</v>
      </c>
      <c r="T286" s="215">
        <f t="shared" si="56"/>
        <v>0.65665643242621285</v>
      </c>
      <c r="U286" s="215">
        <f t="shared" si="56"/>
        <v>0.65665643242621285</v>
      </c>
      <c r="V286" s="215">
        <f t="shared" si="56"/>
        <v>0.65665643242621285</v>
      </c>
      <c r="W286" s="215">
        <f t="shared" si="56"/>
        <v>0.65665643242621285</v>
      </c>
      <c r="X286" s="215">
        <f t="shared" si="56"/>
        <v>0.65665643242621285</v>
      </c>
      <c r="Y286" s="215">
        <f t="shared" si="56"/>
        <v>0.65665643242621285</v>
      </c>
    </row>
    <row r="287" spans="5:25" x14ac:dyDescent="0.25">
      <c r="F287" s="12" t="s">
        <v>47</v>
      </c>
      <c r="G287" s="12" t="s">
        <v>427</v>
      </c>
      <c r="J287" s="215">
        <f t="shared" si="56"/>
        <v>1.2839290674865163</v>
      </c>
      <c r="K287" s="215">
        <f t="shared" si="56"/>
        <v>1.2839290674865163</v>
      </c>
      <c r="L287" s="215">
        <f t="shared" si="56"/>
        <v>1.5496759157129312</v>
      </c>
      <c r="M287" s="215">
        <f t="shared" si="56"/>
        <v>1.5496759157129312</v>
      </c>
      <c r="N287" s="215">
        <f t="shared" si="56"/>
        <v>1.3088185118131359</v>
      </c>
      <c r="O287" s="215">
        <f t="shared" si="56"/>
        <v>1.1471310790749703</v>
      </c>
      <c r="P287" s="215">
        <f t="shared" si="56"/>
        <v>1.1469066537040189</v>
      </c>
      <c r="Q287" s="215">
        <f t="shared" si="56"/>
        <v>1.0661844150646287</v>
      </c>
      <c r="R287" s="215">
        <f t="shared" si="56"/>
        <v>1.0098810612294458</v>
      </c>
      <c r="S287" s="215">
        <f t="shared" si="56"/>
        <v>1.0098810612294458</v>
      </c>
      <c r="T287" s="215">
        <f t="shared" si="56"/>
        <v>1.0098810612294458</v>
      </c>
      <c r="U287" s="215">
        <f t="shared" si="56"/>
        <v>1.0098810612294458</v>
      </c>
      <c r="V287" s="215">
        <f t="shared" si="56"/>
        <v>1.0098810612294458</v>
      </c>
      <c r="W287" s="215">
        <f t="shared" si="56"/>
        <v>1.0098810612294458</v>
      </c>
      <c r="X287" s="215">
        <f t="shared" si="56"/>
        <v>1.0098810612294458</v>
      </c>
      <c r="Y287" s="215">
        <f t="shared" si="56"/>
        <v>1.0098810612294458</v>
      </c>
    </row>
    <row r="288" spans="5:25" x14ac:dyDescent="0.25">
      <c r="F288" s="12" t="s">
        <v>51</v>
      </c>
      <c r="G288" s="12" t="s">
        <v>427</v>
      </c>
      <c r="J288" s="215">
        <f t="shared" si="56"/>
        <v>0</v>
      </c>
      <c r="K288" s="215">
        <f t="shared" si="56"/>
        <v>0</v>
      </c>
      <c r="L288" s="215">
        <f t="shared" si="56"/>
        <v>0</v>
      </c>
      <c r="M288" s="215">
        <f t="shared" si="56"/>
        <v>0</v>
      </c>
      <c r="N288" s="215">
        <f t="shared" si="56"/>
        <v>0</v>
      </c>
      <c r="O288" s="215">
        <f t="shared" si="56"/>
        <v>0</v>
      </c>
      <c r="P288" s="215">
        <f t="shared" si="56"/>
        <v>0</v>
      </c>
      <c r="Q288" s="215">
        <f t="shared" si="56"/>
        <v>0</v>
      </c>
      <c r="R288" s="215">
        <f t="shared" si="56"/>
        <v>0</v>
      </c>
      <c r="S288" s="215">
        <f t="shared" si="56"/>
        <v>0</v>
      </c>
      <c r="T288" s="215">
        <f t="shared" si="56"/>
        <v>0</v>
      </c>
      <c r="U288" s="215">
        <f t="shared" si="56"/>
        <v>0</v>
      </c>
      <c r="V288" s="215">
        <f t="shared" si="56"/>
        <v>0</v>
      </c>
      <c r="W288" s="215">
        <f t="shared" si="56"/>
        <v>0</v>
      </c>
      <c r="X288" s="215">
        <f t="shared" si="56"/>
        <v>0</v>
      </c>
      <c r="Y288" s="215">
        <f t="shared" si="56"/>
        <v>0</v>
      </c>
    </row>
    <row r="289" spans="2:27" x14ac:dyDescent="0.25">
      <c r="F289" s="12" t="s">
        <v>48</v>
      </c>
      <c r="G289" s="12" t="s">
        <v>427</v>
      </c>
      <c r="J289" s="215">
        <f t="shared" si="56"/>
        <v>1.2839290674865163</v>
      </c>
      <c r="K289" s="215">
        <f t="shared" si="56"/>
        <v>1.2839290674865163</v>
      </c>
      <c r="L289" s="215">
        <f t="shared" si="56"/>
        <v>1.5496759157129312</v>
      </c>
      <c r="M289" s="215">
        <f t="shared" si="56"/>
        <v>1.5496759157129312</v>
      </c>
      <c r="N289" s="215">
        <f t="shared" si="56"/>
        <v>1.3088185118131359</v>
      </c>
      <c r="O289" s="215">
        <f t="shared" si="56"/>
        <v>1.1471310790749703</v>
      </c>
      <c r="P289" s="215">
        <f t="shared" si="56"/>
        <v>1.1469066537040189</v>
      </c>
      <c r="Q289" s="215">
        <f t="shared" si="56"/>
        <v>1.0661844150646287</v>
      </c>
      <c r="R289" s="215">
        <f t="shared" si="56"/>
        <v>1.0098810612294458</v>
      </c>
      <c r="S289" s="215">
        <f t="shared" si="56"/>
        <v>1.0098810612294458</v>
      </c>
      <c r="T289" s="215">
        <f t="shared" si="56"/>
        <v>1.0098810612294458</v>
      </c>
      <c r="U289" s="215">
        <f t="shared" si="56"/>
        <v>1.0098810612294458</v>
      </c>
      <c r="V289" s="215">
        <f t="shared" si="56"/>
        <v>1.0098810612294458</v>
      </c>
      <c r="W289" s="215">
        <f t="shared" si="56"/>
        <v>1.0098810612294458</v>
      </c>
      <c r="X289" s="215">
        <f t="shared" si="56"/>
        <v>1.0098810612294458</v>
      </c>
      <c r="Y289" s="215">
        <f t="shared" si="56"/>
        <v>1.0098810612294458</v>
      </c>
    </row>
    <row r="290" spans="2:27" x14ac:dyDescent="0.25">
      <c r="F290" s="12" t="s">
        <v>49</v>
      </c>
      <c r="G290" s="12" t="s">
        <v>427</v>
      </c>
      <c r="J290" s="215">
        <f t="shared" si="56"/>
        <v>1.2839290674865163</v>
      </c>
      <c r="K290" s="215">
        <f t="shared" si="56"/>
        <v>1.2839290674865163</v>
      </c>
      <c r="L290" s="215">
        <f t="shared" si="56"/>
        <v>1.5496759157129312</v>
      </c>
      <c r="M290" s="215">
        <f t="shared" si="56"/>
        <v>1.5496759157129312</v>
      </c>
      <c r="N290" s="215">
        <f t="shared" si="56"/>
        <v>1.3088185118131359</v>
      </c>
      <c r="O290" s="215">
        <f t="shared" si="56"/>
        <v>1.1471310790749703</v>
      </c>
      <c r="P290" s="215">
        <f t="shared" si="56"/>
        <v>1.1469066537040189</v>
      </c>
      <c r="Q290" s="215">
        <f t="shared" si="56"/>
        <v>1.0661844150646287</v>
      </c>
      <c r="R290" s="215">
        <f t="shared" si="56"/>
        <v>1.0098810612294458</v>
      </c>
      <c r="S290" s="215">
        <f t="shared" si="56"/>
        <v>1.0098810612294458</v>
      </c>
      <c r="T290" s="215">
        <f t="shared" si="56"/>
        <v>1.0098810612294458</v>
      </c>
      <c r="U290" s="215">
        <f t="shared" si="56"/>
        <v>1.0098810612294458</v>
      </c>
      <c r="V290" s="215">
        <f t="shared" si="56"/>
        <v>1.0098810612294458</v>
      </c>
      <c r="W290" s="215">
        <f t="shared" si="56"/>
        <v>1.0098810612294458</v>
      </c>
      <c r="X290" s="215">
        <f t="shared" si="56"/>
        <v>1.0098810612294458</v>
      </c>
      <c r="Y290" s="215">
        <f t="shared" si="56"/>
        <v>1.0098810612294458</v>
      </c>
    </row>
    <row r="291" spans="2:27" x14ac:dyDescent="0.25">
      <c r="F291" s="13" t="s">
        <v>50</v>
      </c>
      <c r="G291" s="13" t="s">
        <v>427</v>
      </c>
      <c r="H291" s="17"/>
      <c r="I291" s="17"/>
      <c r="J291" s="217">
        <f t="shared" si="56"/>
        <v>1.2839290674865163</v>
      </c>
      <c r="K291" s="217">
        <f t="shared" si="56"/>
        <v>1.2839290674865163</v>
      </c>
      <c r="L291" s="217">
        <f t="shared" si="56"/>
        <v>1.5496759157129312</v>
      </c>
      <c r="M291" s="217">
        <f t="shared" si="56"/>
        <v>1.5496759157129312</v>
      </c>
      <c r="N291" s="217">
        <f t="shared" si="56"/>
        <v>1.3088185118131359</v>
      </c>
      <c r="O291" s="217">
        <f t="shared" si="56"/>
        <v>1.1471310790749703</v>
      </c>
      <c r="P291" s="217">
        <f t="shared" si="56"/>
        <v>1.1469066537040189</v>
      </c>
      <c r="Q291" s="217">
        <f t="shared" si="56"/>
        <v>1.0661844150646287</v>
      </c>
      <c r="R291" s="217">
        <f t="shared" si="56"/>
        <v>1.0098810612294458</v>
      </c>
      <c r="S291" s="217">
        <f t="shared" si="56"/>
        <v>1.0098810612294458</v>
      </c>
      <c r="T291" s="217">
        <f t="shared" si="56"/>
        <v>1.0098810612294458</v>
      </c>
      <c r="U291" s="217">
        <f t="shared" si="56"/>
        <v>1.0098810612294458</v>
      </c>
      <c r="V291" s="217">
        <f t="shared" si="56"/>
        <v>1.0098810612294458</v>
      </c>
      <c r="W291" s="217">
        <f t="shared" si="56"/>
        <v>1.0098810612294458</v>
      </c>
      <c r="X291" s="217">
        <f t="shared" si="56"/>
        <v>1.0098810612294458</v>
      </c>
      <c r="Y291" s="217">
        <f t="shared" si="56"/>
        <v>1.0098810612294458</v>
      </c>
    </row>
    <row r="292" spans="2:27" x14ac:dyDescent="0.25">
      <c r="J292" s="211"/>
      <c r="K292" s="211"/>
      <c r="L292" s="211"/>
      <c r="M292" s="211"/>
      <c r="N292" s="211"/>
      <c r="O292" s="211"/>
      <c r="P292" s="211"/>
      <c r="Q292" s="211"/>
      <c r="R292" s="211"/>
      <c r="S292" s="211"/>
      <c r="T292" s="211"/>
      <c r="U292" s="211"/>
      <c r="V292" s="211"/>
      <c r="W292" s="211"/>
      <c r="X292" s="211"/>
      <c r="Y292" s="211"/>
    </row>
    <row r="293" spans="2:27" x14ac:dyDescent="0.25">
      <c r="E293" s="52" t="s">
        <v>136</v>
      </c>
      <c r="F293" s="12"/>
      <c r="G293" s="12"/>
      <c r="J293" s="211"/>
      <c r="K293" s="211"/>
      <c r="L293" s="211"/>
      <c r="M293" s="211"/>
      <c r="N293" s="211"/>
      <c r="O293" s="211"/>
      <c r="P293" s="211"/>
      <c r="Q293" s="211"/>
      <c r="R293" s="211"/>
      <c r="S293" s="211"/>
      <c r="T293" s="211"/>
      <c r="U293" s="211"/>
      <c r="V293" s="211"/>
      <c r="W293" s="211"/>
      <c r="X293" s="211"/>
      <c r="Y293" s="211"/>
    </row>
    <row r="294" spans="2:27" x14ac:dyDescent="0.25">
      <c r="F294" s="14" t="s">
        <v>43</v>
      </c>
      <c r="G294" s="14" t="s">
        <v>427</v>
      </c>
      <c r="H294" s="80"/>
      <c r="I294" s="80"/>
      <c r="J294" s="213">
        <f>J251 * J$93</f>
        <v>1.156375944596222E-2</v>
      </c>
      <c r="K294" s="213">
        <f t="shared" ref="K294:Y294" si="57">K251 * K$93</f>
        <v>1.156375944596222E-2</v>
      </c>
      <c r="L294" s="213">
        <f t="shared" si="57"/>
        <v>1.3957219259461745E-2</v>
      </c>
      <c r="M294" s="213">
        <f t="shared" si="57"/>
        <v>1.3957219259461745E-2</v>
      </c>
      <c r="N294" s="213">
        <f t="shared" si="57"/>
        <v>1.1787927240138064E-2</v>
      </c>
      <c r="O294" s="213">
        <f t="shared" si="57"/>
        <v>1.0331682790996031E-2</v>
      </c>
      <c r="P294" s="213">
        <f t="shared" si="57"/>
        <v>1.0329661494750801E-2</v>
      </c>
      <c r="Q294" s="213">
        <f t="shared" si="57"/>
        <v>1.0278624802745882E-2</v>
      </c>
      <c r="R294" s="213">
        <f t="shared" si="57"/>
        <v>9.095534914519721E-3</v>
      </c>
      <c r="S294" s="213">
        <f t="shared" si="57"/>
        <v>9.095534914519721E-3</v>
      </c>
      <c r="T294" s="213">
        <f t="shared" si="57"/>
        <v>9.095534914519721E-3</v>
      </c>
      <c r="U294" s="213">
        <f t="shared" si="57"/>
        <v>9.095534914519721E-3</v>
      </c>
      <c r="V294" s="213">
        <f t="shared" si="57"/>
        <v>9.095534914519721E-3</v>
      </c>
      <c r="W294" s="213">
        <f t="shared" si="57"/>
        <v>9.095534914519721E-3</v>
      </c>
      <c r="X294" s="213">
        <f t="shared" si="57"/>
        <v>9.095534914519721E-3</v>
      </c>
      <c r="Y294" s="213">
        <f t="shared" si="57"/>
        <v>9.095534914519721E-3</v>
      </c>
    </row>
    <row r="295" spans="2:27" x14ac:dyDescent="0.25">
      <c r="F295" s="12" t="s">
        <v>44</v>
      </c>
      <c r="G295" s="12" t="s">
        <v>427</v>
      </c>
      <c r="J295" s="215">
        <f t="shared" ref="J295:Y302" si="58">J252 * J$93</f>
        <v>0</v>
      </c>
      <c r="K295" s="215">
        <f t="shared" si="58"/>
        <v>0</v>
      </c>
      <c r="L295" s="215">
        <f t="shared" si="58"/>
        <v>0</v>
      </c>
      <c r="M295" s="215">
        <f t="shared" si="58"/>
        <v>0</v>
      </c>
      <c r="N295" s="215">
        <f t="shared" si="58"/>
        <v>0</v>
      </c>
      <c r="O295" s="215">
        <f t="shared" si="58"/>
        <v>0</v>
      </c>
      <c r="P295" s="215">
        <f t="shared" si="58"/>
        <v>0</v>
      </c>
      <c r="Q295" s="215">
        <f t="shared" si="58"/>
        <v>0</v>
      </c>
      <c r="R295" s="215">
        <f t="shared" si="58"/>
        <v>0</v>
      </c>
      <c r="S295" s="215">
        <f t="shared" si="58"/>
        <v>0</v>
      </c>
      <c r="T295" s="215">
        <f t="shared" si="58"/>
        <v>0</v>
      </c>
      <c r="U295" s="215">
        <f t="shared" si="58"/>
        <v>0</v>
      </c>
      <c r="V295" s="215">
        <f t="shared" si="58"/>
        <v>0</v>
      </c>
      <c r="W295" s="215">
        <f t="shared" si="58"/>
        <v>0</v>
      </c>
      <c r="X295" s="215">
        <f t="shared" si="58"/>
        <v>0</v>
      </c>
      <c r="Y295" s="215">
        <f t="shared" si="58"/>
        <v>0</v>
      </c>
    </row>
    <row r="296" spans="2:27" x14ac:dyDescent="0.25">
      <c r="F296" s="12" t="s">
        <v>45</v>
      </c>
      <c r="G296" s="12" t="s">
        <v>427</v>
      </c>
      <c r="J296" s="215">
        <f t="shared" si="58"/>
        <v>0</v>
      </c>
      <c r="K296" s="215">
        <f t="shared" si="58"/>
        <v>0</v>
      </c>
      <c r="L296" s="215">
        <f t="shared" si="58"/>
        <v>0</v>
      </c>
      <c r="M296" s="215">
        <f t="shared" si="58"/>
        <v>0</v>
      </c>
      <c r="N296" s="215">
        <f t="shared" si="58"/>
        <v>0</v>
      </c>
      <c r="O296" s="215">
        <f t="shared" si="58"/>
        <v>0</v>
      </c>
      <c r="P296" s="215">
        <f t="shared" si="58"/>
        <v>0</v>
      </c>
      <c r="Q296" s="215">
        <f t="shared" si="58"/>
        <v>0</v>
      </c>
      <c r="R296" s="215">
        <f t="shared" si="58"/>
        <v>0</v>
      </c>
      <c r="S296" s="215">
        <f t="shared" si="58"/>
        <v>0</v>
      </c>
      <c r="T296" s="215">
        <f t="shared" si="58"/>
        <v>0</v>
      </c>
      <c r="U296" s="215">
        <f t="shared" si="58"/>
        <v>0</v>
      </c>
      <c r="V296" s="215">
        <f t="shared" si="58"/>
        <v>0</v>
      </c>
      <c r="W296" s="215">
        <f t="shared" si="58"/>
        <v>0</v>
      </c>
      <c r="X296" s="215">
        <f t="shared" si="58"/>
        <v>0</v>
      </c>
      <c r="Y296" s="215">
        <f t="shared" si="58"/>
        <v>0</v>
      </c>
    </row>
    <row r="297" spans="2:27" x14ac:dyDescent="0.25">
      <c r="F297" s="12" t="s">
        <v>46</v>
      </c>
      <c r="G297" s="12" t="s">
        <v>427</v>
      </c>
      <c r="J297" s="215">
        <f t="shared" si="58"/>
        <v>1.156375944596222E-2</v>
      </c>
      <c r="K297" s="215">
        <f t="shared" si="58"/>
        <v>1.156375944596222E-2</v>
      </c>
      <c r="L297" s="215">
        <f t="shared" si="58"/>
        <v>1.3957219259461745E-2</v>
      </c>
      <c r="M297" s="215">
        <f t="shared" si="58"/>
        <v>1.3957219259461745E-2</v>
      </c>
      <c r="N297" s="215">
        <f t="shared" si="58"/>
        <v>1.1787927240138064E-2</v>
      </c>
      <c r="O297" s="215">
        <f t="shared" si="58"/>
        <v>1.0331682790996031E-2</v>
      </c>
      <c r="P297" s="215">
        <f t="shared" si="58"/>
        <v>1.0329661494750801E-2</v>
      </c>
      <c r="Q297" s="215">
        <f t="shared" si="58"/>
        <v>1.0278624802745882E-2</v>
      </c>
      <c r="R297" s="215">
        <f t="shared" si="58"/>
        <v>9.095534914519721E-3</v>
      </c>
      <c r="S297" s="215">
        <f t="shared" si="58"/>
        <v>9.095534914519721E-3</v>
      </c>
      <c r="T297" s="215">
        <f t="shared" si="58"/>
        <v>9.095534914519721E-3</v>
      </c>
      <c r="U297" s="215">
        <f t="shared" si="58"/>
        <v>9.095534914519721E-3</v>
      </c>
      <c r="V297" s="215">
        <f t="shared" si="58"/>
        <v>9.095534914519721E-3</v>
      </c>
      <c r="W297" s="215">
        <f t="shared" si="58"/>
        <v>9.095534914519721E-3</v>
      </c>
      <c r="X297" s="215">
        <f t="shared" si="58"/>
        <v>9.095534914519721E-3</v>
      </c>
      <c r="Y297" s="215">
        <f t="shared" si="58"/>
        <v>9.095534914519721E-3</v>
      </c>
    </row>
    <row r="298" spans="2:27" x14ac:dyDescent="0.25">
      <c r="F298" s="12" t="s">
        <v>47</v>
      </c>
      <c r="G298" s="12" t="s">
        <v>427</v>
      </c>
      <c r="J298" s="215">
        <f t="shared" si="58"/>
        <v>2.5686744657375873E-2</v>
      </c>
      <c r="K298" s="215">
        <f t="shared" si="58"/>
        <v>2.5686744657375873E-2</v>
      </c>
      <c r="L298" s="215">
        <f t="shared" si="58"/>
        <v>3.100337125829675E-2</v>
      </c>
      <c r="M298" s="215">
        <f t="shared" si="58"/>
        <v>3.100337125829675E-2</v>
      </c>
      <c r="N298" s="215">
        <f t="shared" si="58"/>
        <v>2.6184691792674738E-2</v>
      </c>
      <c r="O298" s="215">
        <f t="shared" si="58"/>
        <v>2.2949915118304045E-2</v>
      </c>
      <c r="P298" s="215">
        <f t="shared" si="58"/>
        <v>2.2945425183973366E-2</v>
      </c>
      <c r="Q298" s="215">
        <f t="shared" si="58"/>
        <v>2.2832056648263703E-2</v>
      </c>
      <c r="R298" s="215">
        <f t="shared" si="58"/>
        <v>2.0204042116519005E-2</v>
      </c>
      <c r="S298" s="215">
        <f t="shared" si="58"/>
        <v>2.0204042116519005E-2</v>
      </c>
      <c r="T298" s="215">
        <f t="shared" si="58"/>
        <v>2.0204042116519005E-2</v>
      </c>
      <c r="U298" s="215">
        <f t="shared" si="58"/>
        <v>2.0204042116519005E-2</v>
      </c>
      <c r="V298" s="215">
        <f t="shared" si="58"/>
        <v>2.0204042116519005E-2</v>
      </c>
      <c r="W298" s="215">
        <f t="shared" si="58"/>
        <v>2.0204042116519005E-2</v>
      </c>
      <c r="X298" s="215">
        <f t="shared" si="58"/>
        <v>2.0204042116519005E-2</v>
      </c>
      <c r="Y298" s="215">
        <f t="shared" si="58"/>
        <v>2.0204042116519005E-2</v>
      </c>
    </row>
    <row r="299" spans="2:27" x14ac:dyDescent="0.25">
      <c r="F299" s="12" t="s">
        <v>51</v>
      </c>
      <c r="G299" s="12" t="s">
        <v>427</v>
      </c>
      <c r="J299" s="215">
        <f t="shared" si="58"/>
        <v>0</v>
      </c>
      <c r="K299" s="215">
        <f t="shared" si="58"/>
        <v>0</v>
      </c>
      <c r="L299" s="215">
        <f t="shared" si="58"/>
        <v>0</v>
      </c>
      <c r="M299" s="215">
        <f t="shared" si="58"/>
        <v>0</v>
      </c>
      <c r="N299" s="215">
        <f t="shared" si="58"/>
        <v>0</v>
      </c>
      <c r="O299" s="215">
        <f t="shared" si="58"/>
        <v>0</v>
      </c>
      <c r="P299" s="215">
        <f t="shared" si="58"/>
        <v>0</v>
      </c>
      <c r="Q299" s="215">
        <f t="shared" si="58"/>
        <v>0</v>
      </c>
      <c r="R299" s="215">
        <f t="shared" si="58"/>
        <v>0</v>
      </c>
      <c r="S299" s="215">
        <f t="shared" si="58"/>
        <v>0</v>
      </c>
      <c r="T299" s="215">
        <f t="shared" si="58"/>
        <v>0</v>
      </c>
      <c r="U299" s="215">
        <f t="shared" si="58"/>
        <v>0</v>
      </c>
      <c r="V299" s="215">
        <f t="shared" si="58"/>
        <v>0</v>
      </c>
      <c r="W299" s="215">
        <f t="shared" si="58"/>
        <v>0</v>
      </c>
      <c r="X299" s="215">
        <f t="shared" si="58"/>
        <v>0</v>
      </c>
      <c r="Y299" s="215">
        <f t="shared" si="58"/>
        <v>0</v>
      </c>
    </row>
    <row r="300" spans="2:27" x14ac:dyDescent="0.25">
      <c r="F300" s="12" t="s">
        <v>48</v>
      </c>
      <c r="G300" s="12" t="s">
        <v>427</v>
      </c>
      <c r="J300" s="215">
        <f t="shared" si="58"/>
        <v>2.5686744657375873E-2</v>
      </c>
      <c r="K300" s="215">
        <f t="shared" si="58"/>
        <v>2.5686744657375873E-2</v>
      </c>
      <c r="L300" s="215">
        <f t="shared" si="58"/>
        <v>3.100337125829675E-2</v>
      </c>
      <c r="M300" s="215">
        <f t="shared" si="58"/>
        <v>3.100337125829675E-2</v>
      </c>
      <c r="N300" s="215">
        <f t="shared" si="58"/>
        <v>2.6184691792674738E-2</v>
      </c>
      <c r="O300" s="215">
        <f t="shared" si="58"/>
        <v>2.2949915118304045E-2</v>
      </c>
      <c r="P300" s="215">
        <f t="shared" si="58"/>
        <v>2.2945425183973366E-2</v>
      </c>
      <c r="Q300" s="215">
        <f t="shared" si="58"/>
        <v>2.2832056648263703E-2</v>
      </c>
      <c r="R300" s="215">
        <f t="shared" si="58"/>
        <v>2.0204042116519005E-2</v>
      </c>
      <c r="S300" s="215">
        <f t="shared" si="58"/>
        <v>2.0204042116519005E-2</v>
      </c>
      <c r="T300" s="215">
        <f t="shared" si="58"/>
        <v>2.0204042116519005E-2</v>
      </c>
      <c r="U300" s="215">
        <f t="shared" si="58"/>
        <v>2.0204042116519005E-2</v>
      </c>
      <c r="V300" s="215">
        <f t="shared" si="58"/>
        <v>2.0204042116519005E-2</v>
      </c>
      <c r="W300" s="215">
        <f t="shared" si="58"/>
        <v>2.0204042116519005E-2</v>
      </c>
      <c r="X300" s="215">
        <f t="shared" si="58"/>
        <v>2.0204042116519005E-2</v>
      </c>
      <c r="Y300" s="215">
        <f t="shared" si="58"/>
        <v>2.0204042116519005E-2</v>
      </c>
    </row>
    <row r="301" spans="2:27" x14ac:dyDescent="0.25">
      <c r="F301" s="12" t="s">
        <v>49</v>
      </c>
      <c r="G301" s="12" t="s">
        <v>427</v>
      </c>
      <c r="J301" s="215">
        <f t="shared" si="58"/>
        <v>2.5686744657375873E-2</v>
      </c>
      <c r="K301" s="215">
        <f t="shared" si="58"/>
        <v>2.5686744657375873E-2</v>
      </c>
      <c r="L301" s="215">
        <f t="shared" si="58"/>
        <v>3.100337125829675E-2</v>
      </c>
      <c r="M301" s="215">
        <f t="shared" si="58"/>
        <v>3.100337125829675E-2</v>
      </c>
      <c r="N301" s="215">
        <f t="shared" si="58"/>
        <v>2.6184691792674738E-2</v>
      </c>
      <c r="O301" s="215">
        <f t="shared" si="58"/>
        <v>2.2949915118304045E-2</v>
      </c>
      <c r="P301" s="215">
        <f t="shared" si="58"/>
        <v>2.2945425183973366E-2</v>
      </c>
      <c r="Q301" s="215">
        <f t="shared" si="58"/>
        <v>2.2832056648263703E-2</v>
      </c>
      <c r="R301" s="215">
        <f t="shared" si="58"/>
        <v>2.0204042116519005E-2</v>
      </c>
      <c r="S301" s="215">
        <f t="shared" si="58"/>
        <v>2.0204042116519005E-2</v>
      </c>
      <c r="T301" s="215">
        <f t="shared" si="58"/>
        <v>2.0204042116519005E-2</v>
      </c>
      <c r="U301" s="215">
        <f t="shared" si="58"/>
        <v>2.0204042116519005E-2</v>
      </c>
      <c r="V301" s="215">
        <f t="shared" si="58"/>
        <v>2.0204042116519005E-2</v>
      </c>
      <c r="W301" s="215">
        <f t="shared" si="58"/>
        <v>2.0204042116519005E-2</v>
      </c>
      <c r="X301" s="215">
        <f t="shared" si="58"/>
        <v>2.0204042116519005E-2</v>
      </c>
      <c r="Y301" s="215">
        <f t="shared" si="58"/>
        <v>2.0204042116519005E-2</v>
      </c>
    </row>
    <row r="302" spans="2:27" x14ac:dyDescent="0.25">
      <c r="F302" s="13" t="s">
        <v>50</v>
      </c>
      <c r="G302" s="13" t="s">
        <v>427</v>
      </c>
      <c r="H302" s="17"/>
      <c r="I302" s="17"/>
      <c r="J302" s="217">
        <f t="shared" si="58"/>
        <v>2.5686744657375873E-2</v>
      </c>
      <c r="K302" s="217">
        <f t="shared" si="58"/>
        <v>2.5686744657375873E-2</v>
      </c>
      <c r="L302" s="217">
        <f t="shared" si="58"/>
        <v>3.100337125829675E-2</v>
      </c>
      <c r="M302" s="217">
        <f t="shared" si="58"/>
        <v>3.100337125829675E-2</v>
      </c>
      <c r="N302" s="217">
        <f t="shared" si="58"/>
        <v>2.6184691792674738E-2</v>
      </c>
      <c r="O302" s="217">
        <f t="shared" si="58"/>
        <v>2.2949915118304045E-2</v>
      </c>
      <c r="P302" s="217">
        <f t="shared" si="58"/>
        <v>2.2945425183973366E-2</v>
      </c>
      <c r="Q302" s="217">
        <f t="shared" si="58"/>
        <v>2.2832056648263703E-2</v>
      </c>
      <c r="R302" s="217">
        <f t="shared" si="58"/>
        <v>2.0204042116519005E-2</v>
      </c>
      <c r="S302" s="217">
        <f t="shared" si="58"/>
        <v>2.0204042116519005E-2</v>
      </c>
      <c r="T302" s="217">
        <f t="shared" si="58"/>
        <v>2.0204042116519005E-2</v>
      </c>
      <c r="U302" s="217">
        <f t="shared" si="58"/>
        <v>2.0204042116519005E-2</v>
      </c>
      <c r="V302" s="217">
        <f t="shared" si="58"/>
        <v>2.0204042116519005E-2</v>
      </c>
      <c r="W302" s="217">
        <f t="shared" si="58"/>
        <v>2.0204042116519005E-2</v>
      </c>
      <c r="X302" s="217">
        <f t="shared" si="58"/>
        <v>2.0204042116519005E-2</v>
      </c>
      <c r="Y302" s="217">
        <f t="shared" si="58"/>
        <v>2.0204042116519005E-2</v>
      </c>
    </row>
    <row r="304" spans="2:27" x14ac:dyDescent="0.25">
      <c r="B304" s="82" t="s">
        <v>109</v>
      </c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</row>
    <row r="306" spans="2:27" x14ac:dyDescent="0.25">
      <c r="E306" t="s">
        <v>415</v>
      </c>
      <c r="G306" s="46" t="s">
        <v>588</v>
      </c>
      <c r="H306" s="263">
        <f t="array" ref="H306">SUM(IF(ISERROR(H20:Y302), 1))</f>
        <v>0</v>
      </c>
    </row>
    <row r="308" spans="2:27" x14ac:dyDescent="0.25">
      <c r="B308" s="82" t="s">
        <v>110</v>
      </c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82"/>
      <c r="Z308" s="82"/>
      <c r="AA308" s="82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8" customFormat="1" x14ac:dyDescent="0.25">
      <c r="A1" s="8" t="str">
        <f ca="1">MID(CELL("filename",A1),FIND("]",CELL("filename",A1))+1,255)</f>
        <v>System peak demand</v>
      </c>
    </row>
    <row r="2" spans="1:43" s="8" customFormat="1" x14ac:dyDescent="0.25">
      <c r="A2" s="8" t="str">
        <f>Cover!D21&amp;" - "&amp;Cover!D23</f>
        <v>SP Distribution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H281 &amp; IF(H281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Q7" s="82"/>
    </row>
    <row r="9" spans="1:43" x14ac:dyDescent="0.25">
      <c r="C9" s="73" t="s">
        <v>344</v>
      </c>
      <c r="D9" s="73"/>
    </row>
    <row r="10" spans="1:43" x14ac:dyDescent="0.25">
      <c r="C10" s="73" t="s">
        <v>341</v>
      </c>
      <c r="D10" s="73"/>
    </row>
    <row r="11" spans="1:43" x14ac:dyDescent="0.25">
      <c r="C11" s="73" t="s">
        <v>289</v>
      </c>
      <c r="D11" s="73"/>
    </row>
    <row r="12" spans="1:43" x14ac:dyDescent="0.25">
      <c r="C12" s="73"/>
      <c r="D12" s="73" t="s">
        <v>290</v>
      </c>
    </row>
    <row r="13" spans="1:43" x14ac:dyDescent="0.25">
      <c r="C13" s="73"/>
      <c r="D13" s="73" t="s">
        <v>291</v>
      </c>
    </row>
    <row r="14" spans="1:43" x14ac:dyDescent="0.25">
      <c r="C14" s="73"/>
      <c r="D14" s="73" t="s">
        <v>292</v>
      </c>
    </row>
    <row r="16" spans="1:43" x14ac:dyDescent="0.25">
      <c r="B16" s="82" t="s">
        <v>665</v>
      </c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Q16" s="82"/>
    </row>
    <row r="17" spans="3:43" x14ac:dyDescent="0.25">
      <c r="C17" s="52"/>
      <c r="AQ17" s="19"/>
    </row>
    <row r="18" spans="3:43" x14ac:dyDescent="0.25">
      <c r="C18" s="5" t="str">
        <f ca="1">INDEX('Version control'!$H$36:$H$62,MATCH($A$1,'Version control'!$F$36:$F$62,0),1)&amp;"-A: Common inputs for chargeable load calculations"</f>
        <v>Section 509-A: Common inputs for chargeable load calculations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Q18" s="19"/>
    </row>
    <row r="19" spans="3:43" x14ac:dyDescent="0.25">
      <c r="H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</row>
    <row r="20" spans="3:43" x14ac:dyDescent="0.25">
      <c r="D20" s="73" t="s">
        <v>343</v>
      </c>
      <c r="AQ20" s="19"/>
    </row>
    <row r="21" spans="3:43" x14ac:dyDescent="0.25">
      <c r="C21" s="52"/>
      <c r="AQ21" s="19"/>
    </row>
    <row r="22" spans="3:43" x14ac:dyDescent="0.25">
      <c r="E22" s="52" t="s">
        <v>517</v>
      </c>
      <c r="H22" s="59"/>
      <c r="J22" s="79"/>
      <c r="L22" s="79"/>
      <c r="AQ22" s="19"/>
    </row>
    <row r="23" spans="3:43" x14ac:dyDescent="0.25">
      <c r="E23" s="52"/>
      <c r="F23" s="80" t="s">
        <v>43</v>
      </c>
      <c r="G23" s="80" t="s">
        <v>94</v>
      </c>
      <c r="H23" s="67"/>
      <c r="I23" s="80"/>
      <c r="J23" s="114">
        <f>'Standing charge factors'!J44</f>
        <v>0</v>
      </c>
      <c r="K23" s="114">
        <f>'Standing charge factors'!K44</f>
        <v>0</v>
      </c>
      <c r="L23" s="114">
        <f>'Standing charge factors'!L44</f>
        <v>0</v>
      </c>
      <c r="M23" s="114">
        <f>'Standing charge factors'!M44</f>
        <v>0</v>
      </c>
      <c r="N23" s="114">
        <f>'Standing charge factors'!N44</f>
        <v>0</v>
      </c>
      <c r="O23" s="114">
        <f>'Standing charge factors'!O44</f>
        <v>0</v>
      </c>
      <c r="P23" s="114">
        <f>'Standing charge factors'!P44</f>
        <v>0</v>
      </c>
      <c r="Q23" s="114">
        <f>'Standing charge factors'!Q44</f>
        <v>0</v>
      </c>
      <c r="R23" s="114">
        <f>'Standing charge factors'!R44</f>
        <v>0</v>
      </c>
      <c r="S23" s="114">
        <f>'Standing charge factors'!S44</f>
        <v>0</v>
      </c>
      <c r="T23" s="114">
        <f>'Standing charge factors'!T44</f>
        <v>0</v>
      </c>
      <c r="U23" s="114">
        <f>'Standing charge factors'!U44</f>
        <v>0</v>
      </c>
      <c r="V23" s="114">
        <f>'Standing charge factors'!V44</f>
        <v>0</v>
      </c>
      <c r="W23" s="114">
        <f>'Standing charge factors'!W44</f>
        <v>0</v>
      </c>
      <c r="X23" s="114">
        <f>'Standing charge factors'!X44</f>
        <v>0</v>
      </c>
      <c r="Y23" s="114">
        <f>'Standing charge factors'!Y44</f>
        <v>0</v>
      </c>
      <c r="AQ23" s="19"/>
    </row>
    <row r="24" spans="3:43" x14ac:dyDescent="0.25">
      <c r="E24" s="52"/>
      <c r="F24" t="s">
        <v>44</v>
      </c>
      <c r="G24" t="s">
        <v>94</v>
      </c>
      <c r="H24" s="79"/>
      <c r="J24" s="120">
        <f>'Standing charge factors'!J45</f>
        <v>0</v>
      </c>
      <c r="K24" s="120">
        <f>'Standing charge factors'!K45</f>
        <v>0</v>
      </c>
      <c r="L24" s="120">
        <f>'Standing charge factors'!L45</f>
        <v>0</v>
      </c>
      <c r="M24" s="120">
        <f>'Standing charge factors'!M45</f>
        <v>0</v>
      </c>
      <c r="N24" s="120">
        <f>'Standing charge factors'!N45</f>
        <v>0</v>
      </c>
      <c r="O24" s="120">
        <f>'Standing charge factors'!O45</f>
        <v>0</v>
      </c>
      <c r="P24" s="120">
        <f>'Standing charge factors'!P45</f>
        <v>0</v>
      </c>
      <c r="Q24" s="120">
        <f>'Standing charge factors'!Q45</f>
        <v>0</v>
      </c>
      <c r="R24" s="120">
        <f>'Standing charge factors'!R45</f>
        <v>0</v>
      </c>
      <c r="S24" s="120">
        <f>'Standing charge factors'!S45</f>
        <v>0</v>
      </c>
      <c r="T24" s="120">
        <f>'Standing charge factors'!T45</f>
        <v>0</v>
      </c>
      <c r="U24" s="120">
        <f>'Standing charge factors'!U45</f>
        <v>0</v>
      </c>
      <c r="V24" s="120">
        <f>'Standing charge factors'!V45</f>
        <v>0</v>
      </c>
      <c r="W24" s="120">
        <f>'Standing charge factors'!W45</f>
        <v>0</v>
      </c>
      <c r="X24" s="120">
        <f>'Standing charge factors'!X45</f>
        <v>0</v>
      </c>
      <c r="Y24" s="120">
        <f>'Standing charge factors'!Y45</f>
        <v>0</v>
      </c>
      <c r="AQ24" s="19"/>
    </row>
    <row r="25" spans="3:43" x14ac:dyDescent="0.25">
      <c r="E25" s="52"/>
      <c r="F25" t="s">
        <v>45</v>
      </c>
      <c r="G25" t="s">
        <v>94</v>
      </c>
      <c r="H25" s="79"/>
      <c r="J25" s="120">
        <f>'Standing charge factors'!J46</f>
        <v>0</v>
      </c>
      <c r="K25" s="120">
        <f>'Standing charge factors'!K46</f>
        <v>0</v>
      </c>
      <c r="L25" s="120">
        <f>'Standing charge factors'!L46</f>
        <v>0</v>
      </c>
      <c r="M25" s="120">
        <f>'Standing charge factors'!M46</f>
        <v>0</v>
      </c>
      <c r="N25" s="120">
        <f>'Standing charge factors'!N46</f>
        <v>0</v>
      </c>
      <c r="O25" s="120">
        <f>'Standing charge factors'!O46</f>
        <v>0</v>
      </c>
      <c r="P25" s="120">
        <f>'Standing charge factors'!P46</f>
        <v>0</v>
      </c>
      <c r="Q25" s="120">
        <f>'Standing charge factors'!Q46</f>
        <v>0</v>
      </c>
      <c r="R25" s="120">
        <f>'Standing charge factors'!R46</f>
        <v>0</v>
      </c>
      <c r="S25" s="120">
        <f>'Standing charge factors'!S46</f>
        <v>0</v>
      </c>
      <c r="T25" s="120">
        <f>'Standing charge factors'!T46</f>
        <v>0</v>
      </c>
      <c r="U25" s="120">
        <f>'Standing charge factors'!U46</f>
        <v>0</v>
      </c>
      <c r="V25" s="120">
        <f>'Standing charge factors'!V46</f>
        <v>0</v>
      </c>
      <c r="W25" s="120">
        <f>'Standing charge factors'!W46</f>
        <v>0</v>
      </c>
      <c r="X25" s="120">
        <f>'Standing charge factors'!X46</f>
        <v>0</v>
      </c>
      <c r="Y25" s="120">
        <f>'Standing charge factors'!Y46</f>
        <v>0</v>
      </c>
      <c r="AQ25" s="19"/>
    </row>
    <row r="26" spans="3:43" x14ac:dyDescent="0.25">
      <c r="E26" s="52"/>
      <c r="F26" t="s">
        <v>46</v>
      </c>
      <c r="G26" t="s">
        <v>94</v>
      </c>
      <c r="H26" s="79"/>
      <c r="J26" s="120">
        <f>'Standing charge factors'!J47</f>
        <v>0</v>
      </c>
      <c r="K26" s="120">
        <f>'Standing charge factors'!K47</f>
        <v>0</v>
      </c>
      <c r="L26" s="120">
        <f>'Standing charge factors'!L47</f>
        <v>0</v>
      </c>
      <c r="M26" s="120">
        <f>'Standing charge factors'!M47</f>
        <v>0</v>
      </c>
      <c r="N26" s="120">
        <f>'Standing charge factors'!N47</f>
        <v>0</v>
      </c>
      <c r="O26" s="120">
        <f>'Standing charge factors'!O47</f>
        <v>0</v>
      </c>
      <c r="P26" s="120">
        <f>'Standing charge factors'!P47</f>
        <v>0.2</v>
      </c>
      <c r="Q26" s="120">
        <f>'Standing charge factors'!Q47</f>
        <v>0</v>
      </c>
      <c r="R26" s="120">
        <f>'Standing charge factors'!R47</f>
        <v>0</v>
      </c>
      <c r="S26" s="120">
        <f>'Standing charge factors'!S47</f>
        <v>0</v>
      </c>
      <c r="T26" s="120">
        <f>'Standing charge factors'!T47</f>
        <v>0</v>
      </c>
      <c r="U26" s="120">
        <f>'Standing charge factors'!U47</f>
        <v>0</v>
      </c>
      <c r="V26" s="120">
        <f>'Standing charge factors'!V47</f>
        <v>0</v>
      </c>
      <c r="W26" s="120">
        <f>'Standing charge factors'!W47</f>
        <v>0</v>
      </c>
      <c r="X26" s="120">
        <f>'Standing charge factors'!X47</f>
        <v>0</v>
      </c>
      <c r="Y26" s="120">
        <f>'Standing charge factors'!Y47</f>
        <v>0</v>
      </c>
      <c r="AQ26" s="19"/>
    </row>
    <row r="27" spans="3:43" x14ac:dyDescent="0.25">
      <c r="E27" s="52"/>
      <c r="F27" t="s">
        <v>47</v>
      </c>
      <c r="G27" t="s">
        <v>94</v>
      </c>
      <c r="H27" s="79"/>
      <c r="J27" s="120">
        <f>'Standing charge factors'!J48</f>
        <v>0</v>
      </c>
      <c r="K27" s="120">
        <f>'Standing charge factors'!K48</f>
        <v>0</v>
      </c>
      <c r="L27" s="120">
        <f>'Standing charge factors'!L48</f>
        <v>0</v>
      </c>
      <c r="M27" s="120">
        <f>'Standing charge factors'!M48</f>
        <v>0</v>
      </c>
      <c r="N27" s="120">
        <f>'Standing charge factors'!N48</f>
        <v>0</v>
      </c>
      <c r="O27" s="120">
        <f>'Standing charge factors'!O48</f>
        <v>0</v>
      </c>
      <c r="P27" s="120">
        <f>'Standing charge factors'!P48</f>
        <v>1</v>
      </c>
      <c r="Q27" s="120">
        <f>'Standing charge factors'!Q48</f>
        <v>0</v>
      </c>
      <c r="R27" s="120">
        <f>'Standing charge factors'!R48</f>
        <v>0</v>
      </c>
      <c r="S27" s="120">
        <f>'Standing charge factors'!S48</f>
        <v>0</v>
      </c>
      <c r="T27" s="120">
        <f>'Standing charge factors'!T48</f>
        <v>0</v>
      </c>
      <c r="U27" s="120">
        <f>'Standing charge factors'!U48</f>
        <v>0</v>
      </c>
      <c r="V27" s="120">
        <f>'Standing charge factors'!V48</f>
        <v>0</v>
      </c>
      <c r="W27" s="120">
        <f>'Standing charge factors'!W48</f>
        <v>0</v>
      </c>
      <c r="X27" s="120">
        <f>'Standing charge factors'!X48</f>
        <v>0</v>
      </c>
      <c r="Y27" s="120">
        <f>'Standing charge factors'!Y48</f>
        <v>0</v>
      </c>
      <c r="AQ27" s="19"/>
    </row>
    <row r="28" spans="3:43" x14ac:dyDescent="0.25">
      <c r="E28" s="52"/>
      <c r="F28" t="s">
        <v>51</v>
      </c>
      <c r="G28" t="s">
        <v>94</v>
      </c>
      <c r="H28" s="79"/>
      <c r="J28" s="120">
        <f>'Standing charge factors'!J49</f>
        <v>0</v>
      </c>
      <c r="K28" s="120">
        <f>'Standing charge factors'!K49</f>
        <v>0</v>
      </c>
      <c r="L28" s="120">
        <f>'Standing charge factors'!L49</f>
        <v>0</v>
      </c>
      <c r="M28" s="120">
        <f>'Standing charge factors'!M49</f>
        <v>0</v>
      </c>
      <c r="N28" s="120">
        <f>'Standing charge factors'!N49</f>
        <v>0</v>
      </c>
      <c r="O28" s="120">
        <f>'Standing charge factors'!O49</f>
        <v>0</v>
      </c>
      <c r="P28" s="120">
        <f>'Standing charge factors'!P49</f>
        <v>1</v>
      </c>
      <c r="Q28" s="120">
        <f>'Standing charge factors'!Q49</f>
        <v>0</v>
      </c>
      <c r="R28" s="120">
        <f>'Standing charge factors'!R49</f>
        <v>0</v>
      </c>
      <c r="S28" s="120">
        <f>'Standing charge factors'!S49</f>
        <v>0</v>
      </c>
      <c r="T28" s="120">
        <f>'Standing charge factors'!T49</f>
        <v>0</v>
      </c>
      <c r="U28" s="120">
        <f>'Standing charge factors'!U49</f>
        <v>0</v>
      </c>
      <c r="V28" s="120">
        <f>'Standing charge factors'!V49</f>
        <v>0</v>
      </c>
      <c r="W28" s="120">
        <f>'Standing charge factors'!W49</f>
        <v>0</v>
      </c>
      <c r="X28" s="120">
        <f>'Standing charge factors'!X49</f>
        <v>0</v>
      </c>
      <c r="Y28" s="120">
        <f>'Standing charge factors'!Y49</f>
        <v>0</v>
      </c>
      <c r="AQ28" s="19"/>
    </row>
    <row r="29" spans="3:43" x14ac:dyDescent="0.25">
      <c r="E29" s="52"/>
      <c r="F29" t="s">
        <v>48</v>
      </c>
      <c r="G29" t="s">
        <v>94</v>
      </c>
      <c r="H29" s="79"/>
      <c r="J29" s="120">
        <f>'Standing charge factors'!J50</f>
        <v>0</v>
      </c>
      <c r="K29" s="120">
        <f>'Standing charge factors'!K50</f>
        <v>0</v>
      </c>
      <c r="L29" s="120">
        <f>'Standing charge factors'!L50</f>
        <v>0</v>
      </c>
      <c r="M29" s="120">
        <f>'Standing charge factors'!M50</f>
        <v>0</v>
      </c>
      <c r="N29" s="120">
        <f>'Standing charge factors'!N50</f>
        <v>0.2</v>
      </c>
      <c r="O29" s="120">
        <f>'Standing charge factors'!O50</f>
        <v>1</v>
      </c>
      <c r="P29" s="120">
        <f>'Standing charge factors'!P50</f>
        <v>1</v>
      </c>
      <c r="Q29" s="120">
        <f>'Standing charge factors'!Q50</f>
        <v>0</v>
      </c>
      <c r="R29" s="120">
        <f>'Standing charge factors'!R50</f>
        <v>0</v>
      </c>
      <c r="S29" s="120">
        <f>'Standing charge factors'!S50</f>
        <v>0</v>
      </c>
      <c r="T29" s="120">
        <f>'Standing charge factors'!T50</f>
        <v>0</v>
      </c>
      <c r="U29" s="120">
        <f>'Standing charge factors'!U50</f>
        <v>0</v>
      </c>
      <c r="V29" s="120">
        <f>'Standing charge factors'!V50</f>
        <v>0</v>
      </c>
      <c r="W29" s="120">
        <f>'Standing charge factors'!W50</f>
        <v>0</v>
      </c>
      <c r="X29" s="120">
        <f>'Standing charge factors'!X50</f>
        <v>0</v>
      </c>
      <c r="Y29" s="120">
        <f>'Standing charge factors'!Y50</f>
        <v>0</v>
      </c>
      <c r="AQ29" s="19"/>
    </row>
    <row r="30" spans="3:43" x14ac:dyDescent="0.25">
      <c r="E30" s="52"/>
      <c r="F30" t="s">
        <v>49</v>
      </c>
      <c r="G30" t="s">
        <v>94</v>
      </c>
      <c r="H30" s="79"/>
      <c r="J30" s="120">
        <f>'Standing charge factors'!J51</f>
        <v>0</v>
      </c>
      <c r="K30" s="120">
        <f>'Standing charge factors'!K51</f>
        <v>0</v>
      </c>
      <c r="L30" s="120">
        <f>'Standing charge factors'!L51</f>
        <v>0</v>
      </c>
      <c r="M30" s="120">
        <f>'Standing charge factors'!M51</f>
        <v>0</v>
      </c>
      <c r="N30" s="120">
        <f>'Standing charge factors'!N51</f>
        <v>1</v>
      </c>
      <c r="O30" s="120">
        <f>'Standing charge factors'!O51</f>
        <v>1</v>
      </c>
      <c r="P30" s="120">
        <f>'Standing charge factors'!P51</f>
        <v>0</v>
      </c>
      <c r="Q30" s="120">
        <f>'Standing charge factors'!Q51</f>
        <v>0</v>
      </c>
      <c r="R30" s="120">
        <f>'Standing charge factors'!R51</f>
        <v>0</v>
      </c>
      <c r="S30" s="120">
        <f>'Standing charge factors'!S51</f>
        <v>0</v>
      </c>
      <c r="T30" s="120">
        <f>'Standing charge factors'!T51</f>
        <v>0</v>
      </c>
      <c r="U30" s="120">
        <f>'Standing charge factors'!U51</f>
        <v>0</v>
      </c>
      <c r="V30" s="120">
        <f>'Standing charge factors'!V51</f>
        <v>0</v>
      </c>
      <c r="W30" s="120">
        <f>'Standing charge factors'!W51</f>
        <v>0</v>
      </c>
      <c r="X30" s="120">
        <f>'Standing charge factors'!X51</f>
        <v>0</v>
      </c>
      <c r="Y30" s="120">
        <f>'Standing charge factors'!Y51</f>
        <v>0</v>
      </c>
      <c r="AQ30" s="19"/>
    </row>
    <row r="31" spans="3:43" x14ac:dyDescent="0.25">
      <c r="E31" s="52"/>
      <c r="F31" s="17" t="s">
        <v>50</v>
      </c>
      <c r="G31" s="17" t="s">
        <v>94</v>
      </c>
      <c r="H31" s="159"/>
      <c r="I31" s="17"/>
      <c r="J31" s="337">
        <f>'Standing charge factors'!J52</f>
        <v>1</v>
      </c>
      <c r="K31" s="337">
        <f>'Standing charge factors'!K52</f>
        <v>1</v>
      </c>
      <c r="L31" s="337">
        <f>'Standing charge factors'!L52</f>
        <v>1</v>
      </c>
      <c r="M31" s="337">
        <f>'Standing charge factors'!M52</f>
        <v>1</v>
      </c>
      <c r="N31" s="337">
        <f>'Standing charge factors'!N52</f>
        <v>1</v>
      </c>
      <c r="O31" s="337">
        <f>'Standing charge factors'!O52</f>
        <v>0</v>
      </c>
      <c r="P31" s="337">
        <f>'Standing charge factors'!P52</f>
        <v>0</v>
      </c>
      <c r="Q31" s="337">
        <f>'Standing charge factors'!Q52</f>
        <v>0</v>
      </c>
      <c r="R31" s="337">
        <f>'Standing charge factors'!R52</f>
        <v>0</v>
      </c>
      <c r="S31" s="337">
        <f>'Standing charge factors'!S52</f>
        <v>0</v>
      </c>
      <c r="T31" s="337">
        <f>'Standing charge factors'!T52</f>
        <v>0</v>
      </c>
      <c r="U31" s="337">
        <f>'Standing charge factors'!U52</f>
        <v>0</v>
      </c>
      <c r="V31" s="337">
        <f>'Standing charge factors'!V52</f>
        <v>0</v>
      </c>
      <c r="W31" s="337">
        <f>'Standing charge factors'!W52</f>
        <v>0</v>
      </c>
      <c r="X31" s="337">
        <f>'Standing charge factors'!X52</f>
        <v>0</v>
      </c>
      <c r="Y31" s="337">
        <f>'Standing charge factors'!Y52</f>
        <v>0</v>
      </c>
      <c r="AQ31" s="19"/>
    </row>
    <row r="32" spans="3:43" x14ac:dyDescent="0.25">
      <c r="E32" s="52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AQ32" s="19"/>
    </row>
    <row r="33" spans="5:43" x14ac:dyDescent="0.25">
      <c r="E33" s="52" t="s">
        <v>518</v>
      </c>
      <c r="I33" t="s">
        <v>359</v>
      </c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AA33" t="s">
        <v>751</v>
      </c>
      <c r="AQ33" s="19"/>
    </row>
    <row r="34" spans="5:43" x14ac:dyDescent="0.25">
      <c r="E34" s="52"/>
      <c r="F34" s="80" t="s">
        <v>43</v>
      </c>
      <c r="G34" s="80" t="s">
        <v>427</v>
      </c>
      <c r="H34" s="223"/>
      <c r="I34" s="223"/>
      <c r="J34" s="228">
        <f t="array" ref="J34:Y42">TRANSPOSE('Load &amp; loss characteristics'!K145:S160)</f>
        <v>1.105</v>
      </c>
      <c r="K34" s="228">
        <v>1.105</v>
      </c>
      <c r="L34" s="228">
        <v>1.105</v>
      </c>
      <c r="M34" s="228">
        <v>1.105</v>
      </c>
      <c r="N34" s="228">
        <v>1.105</v>
      </c>
      <c r="O34" s="228">
        <v>1.044</v>
      </c>
      <c r="P34" s="228">
        <v>1.024</v>
      </c>
      <c r="Q34" s="228">
        <v>1.105</v>
      </c>
      <c r="R34" s="228">
        <v>-1.105</v>
      </c>
      <c r="S34" s="228">
        <v>-1.044</v>
      </c>
      <c r="T34" s="228">
        <v>-1.105</v>
      </c>
      <c r="U34" s="228">
        <v>-1.105</v>
      </c>
      <c r="V34" s="228">
        <v>-1.044</v>
      </c>
      <c r="W34" s="228">
        <v>-1.044</v>
      </c>
      <c r="X34" s="228">
        <v>-1.024</v>
      </c>
      <c r="Y34" s="228">
        <v>-1.024</v>
      </c>
      <c r="AQ34" s="19"/>
    </row>
    <row r="35" spans="5:43" x14ac:dyDescent="0.25">
      <c r="E35" s="52"/>
      <c r="F35" t="s">
        <v>44</v>
      </c>
      <c r="G35" t="s">
        <v>427</v>
      </c>
      <c r="H35" s="211"/>
      <c r="I35" s="211"/>
      <c r="J35" s="229">
        <v>1.105</v>
      </c>
      <c r="K35" s="229">
        <v>1.105</v>
      </c>
      <c r="L35" s="229">
        <v>1.105</v>
      </c>
      <c r="M35" s="229">
        <v>1.105</v>
      </c>
      <c r="N35" s="229">
        <v>1.105</v>
      </c>
      <c r="O35" s="229">
        <v>1.044</v>
      </c>
      <c r="P35" s="229">
        <v>1.024</v>
      </c>
      <c r="Q35" s="229">
        <v>1.105</v>
      </c>
      <c r="R35" s="229">
        <v>-1.105</v>
      </c>
      <c r="S35" s="229">
        <v>-1.044</v>
      </c>
      <c r="T35" s="229">
        <v>-1.105</v>
      </c>
      <c r="U35" s="229">
        <v>-1.105</v>
      </c>
      <c r="V35" s="229">
        <v>-1.044</v>
      </c>
      <c r="W35" s="229">
        <v>-1.044</v>
      </c>
      <c r="X35" s="229">
        <v>-1.024</v>
      </c>
      <c r="Y35" s="229">
        <v>-1.024</v>
      </c>
      <c r="AQ35" s="19"/>
    </row>
    <row r="36" spans="5:43" x14ac:dyDescent="0.25">
      <c r="E36" s="52"/>
      <c r="F36" t="s">
        <v>45</v>
      </c>
      <c r="G36" t="s">
        <v>427</v>
      </c>
      <c r="H36" s="211"/>
      <c r="I36" s="211"/>
      <c r="J36" s="229">
        <v>1.105</v>
      </c>
      <c r="K36" s="229">
        <v>1.105</v>
      </c>
      <c r="L36" s="229">
        <v>1.105</v>
      </c>
      <c r="M36" s="229">
        <v>1.105</v>
      </c>
      <c r="N36" s="229">
        <v>1.105</v>
      </c>
      <c r="O36" s="229">
        <v>1.044</v>
      </c>
      <c r="P36" s="229">
        <v>1.024</v>
      </c>
      <c r="Q36" s="229">
        <v>1.105</v>
      </c>
      <c r="R36" s="229">
        <v>-1.105</v>
      </c>
      <c r="S36" s="229">
        <v>-1.044</v>
      </c>
      <c r="T36" s="229">
        <v>-1.105</v>
      </c>
      <c r="U36" s="229">
        <v>-1.105</v>
      </c>
      <c r="V36" s="229">
        <v>-1.044</v>
      </c>
      <c r="W36" s="229">
        <v>-1.044</v>
      </c>
      <c r="X36" s="229">
        <v>-1.024</v>
      </c>
      <c r="Y36" s="229">
        <v>-1.024</v>
      </c>
      <c r="AQ36" s="19"/>
    </row>
    <row r="37" spans="5:43" x14ac:dyDescent="0.25">
      <c r="E37" s="52"/>
      <c r="F37" t="s">
        <v>46</v>
      </c>
      <c r="G37" t="s">
        <v>427</v>
      </c>
      <c r="H37" s="211"/>
      <c r="I37" s="211"/>
      <c r="J37" s="229">
        <v>1.105</v>
      </c>
      <c r="K37" s="229">
        <v>1.105</v>
      </c>
      <c r="L37" s="229">
        <v>1.105</v>
      </c>
      <c r="M37" s="229">
        <v>1.105</v>
      </c>
      <c r="N37" s="229">
        <v>1.105</v>
      </c>
      <c r="O37" s="229">
        <v>1.044</v>
      </c>
      <c r="P37" s="229">
        <v>1.024</v>
      </c>
      <c r="Q37" s="229">
        <v>1.105</v>
      </c>
      <c r="R37" s="229">
        <v>-1.105</v>
      </c>
      <c r="S37" s="229">
        <v>-1.044</v>
      </c>
      <c r="T37" s="229">
        <v>-1.105</v>
      </c>
      <c r="U37" s="229">
        <v>-1.105</v>
      </c>
      <c r="V37" s="229">
        <v>-1.044</v>
      </c>
      <c r="W37" s="229">
        <v>-1.044</v>
      </c>
      <c r="X37" s="229">
        <v>-1.024</v>
      </c>
      <c r="Y37" s="229">
        <v>-1.024</v>
      </c>
      <c r="AQ37" s="19"/>
    </row>
    <row r="38" spans="5:43" x14ac:dyDescent="0.25">
      <c r="E38" s="52"/>
      <c r="F38" t="s">
        <v>47</v>
      </c>
      <c r="G38" t="s">
        <v>427</v>
      </c>
      <c r="H38" s="211"/>
      <c r="I38" s="211"/>
      <c r="J38" s="229">
        <v>1.105</v>
      </c>
      <c r="K38" s="229">
        <v>1.105</v>
      </c>
      <c r="L38" s="229">
        <v>1.105</v>
      </c>
      <c r="M38" s="229">
        <v>1.105</v>
      </c>
      <c r="N38" s="229">
        <v>1.105</v>
      </c>
      <c r="O38" s="229">
        <v>1.044</v>
      </c>
      <c r="P38" s="229">
        <v>1.024</v>
      </c>
      <c r="Q38" s="229">
        <v>1.105</v>
      </c>
      <c r="R38" s="229">
        <v>-1.105</v>
      </c>
      <c r="S38" s="229">
        <v>-1.044</v>
      </c>
      <c r="T38" s="229">
        <v>-1.105</v>
      </c>
      <c r="U38" s="229">
        <v>-1.105</v>
      </c>
      <c r="V38" s="229">
        <v>-1.044</v>
      </c>
      <c r="W38" s="229">
        <v>-1.044</v>
      </c>
      <c r="X38" s="229">
        <v>-1.024</v>
      </c>
      <c r="Y38" s="229">
        <v>-1.024</v>
      </c>
      <c r="AQ38" s="19"/>
    </row>
    <row r="39" spans="5:43" x14ac:dyDescent="0.25">
      <c r="E39" s="52"/>
      <c r="F39" t="s">
        <v>51</v>
      </c>
      <c r="G39" t="s">
        <v>427</v>
      </c>
      <c r="H39" s="211"/>
      <c r="I39" s="211"/>
      <c r="J39" s="229">
        <v>0</v>
      </c>
      <c r="K39" s="229">
        <v>0</v>
      </c>
      <c r="L39" s="229">
        <v>0</v>
      </c>
      <c r="M39" s="229">
        <v>0</v>
      </c>
      <c r="N39" s="229">
        <v>0</v>
      </c>
      <c r="O39" s="229">
        <v>0</v>
      </c>
      <c r="P39" s="229">
        <v>0</v>
      </c>
      <c r="Q39" s="229">
        <v>0</v>
      </c>
      <c r="R39" s="229">
        <v>0</v>
      </c>
      <c r="S39" s="229">
        <v>0</v>
      </c>
      <c r="T39" s="229">
        <v>0</v>
      </c>
      <c r="U39" s="229">
        <v>0</v>
      </c>
      <c r="V39" s="229">
        <v>0</v>
      </c>
      <c r="W39" s="229">
        <v>0</v>
      </c>
      <c r="X39" s="229">
        <v>0</v>
      </c>
      <c r="Y39" s="229">
        <v>0</v>
      </c>
      <c r="AQ39" s="19"/>
    </row>
    <row r="40" spans="5:43" x14ac:dyDescent="0.25">
      <c r="E40" s="52"/>
      <c r="F40" t="s">
        <v>48</v>
      </c>
      <c r="G40" t="s">
        <v>427</v>
      </c>
      <c r="H40" s="211"/>
      <c r="I40" s="211"/>
      <c r="J40" s="229">
        <v>1.105</v>
      </c>
      <c r="K40" s="229">
        <v>1.105</v>
      </c>
      <c r="L40" s="229">
        <v>1.105</v>
      </c>
      <c r="M40" s="229">
        <v>1.105</v>
      </c>
      <c r="N40" s="229">
        <v>1.105</v>
      </c>
      <c r="O40" s="229">
        <v>1.044</v>
      </c>
      <c r="P40" s="229">
        <v>1.024</v>
      </c>
      <c r="Q40" s="229">
        <v>1.105</v>
      </c>
      <c r="R40" s="229">
        <v>-1.105</v>
      </c>
      <c r="S40" s="229">
        <v>-1.044</v>
      </c>
      <c r="T40" s="229">
        <v>-1.105</v>
      </c>
      <c r="U40" s="229">
        <v>-1.105</v>
      </c>
      <c r="V40" s="229">
        <v>-1.044</v>
      </c>
      <c r="W40" s="229">
        <v>-1.044</v>
      </c>
      <c r="X40" s="229">
        <v>0</v>
      </c>
      <c r="Y40" s="229">
        <v>0</v>
      </c>
      <c r="AQ40" s="19"/>
    </row>
    <row r="41" spans="5:43" x14ac:dyDescent="0.25">
      <c r="E41" s="52"/>
      <c r="F41" t="s">
        <v>49</v>
      </c>
      <c r="G41" t="s">
        <v>427</v>
      </c>
      <c r="H41" s="211"/>
      <c r="I41" s="211"/>
      <c r="J41" s="229">
        <v>1.105</v>
      </c>
      <c r="K41" s="229">
        <v>1.105</v>
      </c>
      <c r="L41" s="229">
        <v>1.105</v>
      </c>
      <c r="M41" s="229">
        <v>1.105</v>
      </c>
      <c r="N41" s="229">
        <v>1.105</v>
      </c>
      <c r="O41" s="229">
        <v>1.044</v>
      </c>
      <c r="P41" s="229">
        <v>0</v>
      </c>
      <c r="Q41" s="229">
        <v>1.105</v>
      </c>
      <c r="R41" s="229">
        <v>-1.105</v>
      </c>
      <c r="S41" s="229">
        <v>0</v>
      </c>
      <c r="T41" s="229">
        <v>-1.105</v>
      </c>
      <c r="U41" s="229">
        <v>-1.105</v>
      </c>
      <c r="V41" s="229">
        <v>0</v>
      </c>
      <c r="W41" s="229">
        <v>0</v>
      </c>
      <c r="X41" s="229">
        <v>0</v>
      </c>
      <c r="Y41" s="229">
        <v>0</v>
      </c>
      <c r="AQ41" s="19"/>
    </row>
    <row r="42" spans="5:43" x14ac:dyDescent="0.25">
      <c r="E42" s="52"/>
      <c r="F42" s="17" t="s">
        <v>50</v>
      </c>
      <c r="G42" s="17" t="s">
        <v>427</v>
      </c>
      <c r="H42" s="220"/>
      <c r="I42" s="220"/>
      <c r="J42" s="230">
        <v>1.105</v>
      </c>
      <c r="K42" s="230">
        <v>1.105</v>
      </c>
      <c r="L42" s="230">
        <v>1.105</v>
      </c>
      <c r="M42" s="230">
        <v>1.105</v>
      </c>
      <c r="N42" s="230">
        <v>1.105</v>
      </c>
      <c r="O42" s="230">
        <v>0</v>
      </c>
      <c r="P42" s="230">
        <v>0</v>
      </c>
      <c r="Q42" s="230">
        <v>1.105</v>
      </c>
      <c r="R42" s="230">
        <v>0</v>
      </c>
      <c r="S42" s="230">
        <v>0</v>
      </c>
      <c r="T42" s="230">
        <v>0</v>
      </c>
      <c r="U42" s="230">
        <v>0</v>
      </c>
      <c r="V42" s="230">
        <v>0</v>
      </c>
      <c r="W42" s="230">
        <v>0</v>
      </c>
      <c r="X42" s="230">
        <v>0</v>
      </c>
      <c r="Y42" s="230">
        <v>0</v>
      </c>
      <c r="AQ42" s="19"/>
    </row>
    <row r="43" spans="5:43" x14ac:dyDescent="0.25">
      <c r="E43" s="52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AQ43" s="19"/>
    </row>
    <row r="44" spans="5:43" x14ac:dyDescent="0.25">
      <c r="E44" s="52" t="s">
        <v>519</v>
      </c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AQ44" s="19"/>
    </row>
    <row r="45" spans="5:43" x14ac:dyDescent="0.25">
      <c r="E45" s="52"/>
      <c r="F45" s="80" t="s">
        <v>43</v>
      </c>
      <c r="G45" s="80" t="s">
        <v>427</v>
      </c>
      <c r="H45" s="228">
        <f>'Load &amp; loss characteristics'!K29</f>
        <v>1</v>
      </c>
      <c r="I45" s="211"/>
      <c r="J45" s="211"/>
      <c r="K45" s="211"/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AQ45" s="19"/>
    </row>
    <row r="46" spans="5:43" x14ac:dyDescent="0.25">
      <c r="E46" s="52"/>
      <c r="F46" t="s">
        <v>44</v>
      </c>
      <c r="G46" t="s">
        <v>427</v>
      </c>
      <c r="H46" s="229">
        <f>'Load &amp; loss characteristics'!L29</f>
        <v>1</v>
      </c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AQ46" s="19"/>
    </row>
    <row r="47" spans="5:43" x14ac:dyDescent="0.25">
      <c r="E47" s="52"/>
      <c r="F47" t="s">
        <v>45</v>
      </c>
      <c r="G47" t="s">
        <v>427</v>
      </c>
      <c r="H47" s="229">
        <f>'Load &amp; loss characteristics'!M29</f>
        <v>1</v>
      </c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AQ47" s="19"/>
    </row>
    <row r="48" spans="5:43" x14ac:dyDescent="0.25">
      <c r="E48" s="52"/>
      <c r="F48" t="s">
        <v>46</v>
      </c>
      <c r="G48" t="s">
        <v>427</v>
      </c>
      <c r="H48" s="229">
        <f>'Load &amp; loss characteristics'!N29</f>
        <v>1.002</v>
      </c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AQ48" s="19"/>
    </row>
    <row r="49" spans="2:43" x14ac:dyDescent="0.25">
      <c r="E49" s="52"/>
      <c r="F49" t="s">
        <v>47</v>
      </c>
      <c r="G49" t="s">
        <v>427</v>
      </c>
      <c r="H49" s="229">
        <f>'Load &amp; loss characteristics'!O29</f>
        <v>1.0129999999999999</v>
      </c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AQ49" s="19"/>
    </row>
    <row r="50" spans="2:43" x14ac:dyDescent="0.25">
      <c r="E50" s="52"/>
      <c r="F50" t="s">
        <v>51</v>
      </c>
      <c r="G50" t="s">
        <v>427</v>
      </c>
      <c r="H50" s="229">
        <f>'Load &amp; loss characteristics'!P29</f>
        <v>1.0129999999999999</v>
      </c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AQ50" s="19"/>
    </row>
    <row r="51" spans="2:43" x14ac:dyDescent="0.25">
      <c r="E51" s="52"/>
      <c r="F51" t="s">
        <v>48</v>
      </c>
      <c r="G51" t="s">
        <v>427</v>
      </c>
      <c r="H51" s="229">
        <f>'Load &amp; loss characteristics'!Q29</f>
        <v>1.024</v>
      </c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AQ51" s="19"/>
    </row>
    <row r="52" spans="2:43" x14ac:dyDescent="0.25">
      <c r="E52" s="52"/>
      <c r="F52" t="s">
        <v>49</v>
      </c>
      <c r="G52" t="s">
        <v>427</v>
      </c>
      <c r="H52" s="229">
        <f>'Load &amp; loss characteristics'!R29</f>
        <v>1.044</v>
      </c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AQ52" s="19"/>
    </row>
    <row r="53" spans="2:43" x14ac:dyDescent="0.25">
      <c r="E53" s="52"/>
      <c r="F53" s="17" t="s">
        <v>50</v>
      </c>
      <c r="G53" s="17" t="s">
        <v>427</v>
      </c>
      <c r="H53" s="230">
        <f>'Load &amp; loss characteristics'!S29</f>
        <v>1.105</v>
      </c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AQ53" s="19"/>
    </row>
    <row r="54" spans="2:43" x14ac:dyDescent="0.25">
      <c r="E54" s="52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AQ54" s="19"/>
    </row>
    <row r="55" spans="2:43" x14ac:dyDescent="0.25">
      <c r="E55" s="52" t="s">
        <v>342</v>
      </c>
      <c r="H55" s="211"/>
      <c r="I55" s="211" t="s">
        <v>359</v>
      </c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AA55" t="s">
        <v>752</v>
      </c>
    </row>
    <row r="56" spans="2:43" x14ac:dyDescent="0.25">
      <c r="E56" s="52"/>
      <c r="F56" s="80" t="s">
        <v>134</v>
      </c>
      <c r="G56" s="80" t="s">
        <v>120</v>
      </c>
      <c r="H56" s="223"/>
      <c r="I56" s="223"/>
      <c r="J56" s="228">
        <f>'Volume adjustments'!J238</f>
        <v>715414.14424724563</v>
      </c>
      <c r="K56" s="228">
        <f>'Volume adjustments'!K238</f>
        <v>653.19854705140472</v>
      </c>
      <c r="L56" s="228">
        <f>'Volume adjustments'!L238</f>
        <v>198648.0214996569</v>
      </c>
      <c r="M56" s="228">
        <f>'Volume adjustments'!M238</f>
        <v>596.52194686342921</v>
      </c>
      <c r="N56" s="228">
        <f>'Volume adjustments'!N238</f>
        <v>246688.57783877497</v>
      </c>
      <c r="O56" s="228">
        <f>'Volume adjustments'!O238</f>
        <v>26699.431111173788</v>
      </c>
      <c r="P56" s="228">
        <f>'Volume adjustments'!P238</f>
        <v>295911.92087638372</v>
      </c>
      <c r="Q56" s="228">
        <f>'Volume adjustments'!Q238</f>
        <v>11206.576663337462</v>
      </c>
      <c r="R56" s="228">
        <f>'Volume adjustments'!R238</f>
        <v>1639.8703771358053</v>
      </c>
      <c r="S56" s="228">
        <f>'Volume adjustments'!S238</f>
        <v>19.515999999999998</v>
      </c>
      <c r="T56" s="228">
        <f>'Volume adjustments'!T238</f>
        <v>5840.0349999999999</v>
      </c>
      <c r="U56" s="228">
        <f>'Volume adjustments'!U238</f>
        <v>0</v>
      </c>
      <c r="V56" s="228">
        <f>'Volume adjustments'!V238</f>
        <v>62.863</v>
      </c>
      <c r="W56" s="228">
        <f>'Volume adjustments'!W238</f>
        <v>0</v>
      </c>
      <c r="X56" s="228">
        <f>'Volume adjustments'!X238</f>
        <v>118436.88399999999</v>
      </c>
      <c r="Y56" s="228">
        <f>'Volume adjustments'!Y238</f>
        <v>0</v>
      </c>
      <c r="AQ56" s="19"/>
    </row>
    <row r="57" spans="2:43" x14ac:dyDescent="0.25">
      <c r="E57" s="52"/>
      <c r="F57" t="s">
        <v>135</v>
      </c>
      <c r="G57" t="s">
        <v>120</v>
      </c>
      <c r="H57" s="211"/>
      <c r="I57" s="211"/>
      <c r="J57" s="229">
        <f>'Volume adjustments'!J249</f>
        <v>2461960.7706021941</v>
      </c>
      <c r="K57" s="229">
        <f>'Volume adjustments'!K249</f>
        <v>17781.49408813944</v>
      </c>
      <c r="L57" s="229">
        <f>'Volume adjustments'!L249</f>
        <v>1021551.4851646833</v>
      </c>
      <c r="M57" s="229">
        <f>'Volume adjustments'!M249</f>
        <v>8872.4799352594691</v>
      </c>
      <c r="N57" s="229">
        <f>'Volume adjustments'!N249</f>
        <v>1180815.8866083126</v>
      </c>
      <c r="O57" s="229">
        <f>'Volume adjustments'!O249</f>
        <v>124228.04312422952</v>
      </c>
      <c r="P57" s="229">
        <f>'Volume adjustments'!P249</f>
        <v>1371557.1300315035</v>
      </c>
      <c r="Q57" s="229">
        <f>'Volume adjustments'!Q249</f>
        <v>64706.530073099166</v>
      </c>
      <c r="R57" s="229">
        <f>'Volume adjustments'!R249</f>
        <v>8641.960699846697</v>
      </c>
      <c r="S57" s="229">
        <f>'Volume adjustments'!S249</f>
        <v>77.882999999999996</v>
      </c>
      <c r="T57" s="229">
        <f>'Volume adjustments'!T249</f>
        <v>26458.666000000001</v>
      </c>
      <c r="U57" s="229">
        <f>'Volume adjustments'!U249</f>
        <v>0</v>
      </c>
      <c r="V57" s="229">
        <f>'Volume adjustments'!V249</f>
        <v>312.48</v>
      </c>
      <c r="W57" s="229">
        <f>'Volume adjustments'!W249</f>
        <v>0</v>
      </c>
      <c r="X57" s="229">
        <f>'Volume adjustments'!X249</f>
        <v>429284.261</v>
      </c>
      <c r="Y57" s="229">
        <f>'Volume adjustments'!Y249</f>
        <v>0</v>
      </c>
      <c r="AQ57" s="19"/>
    </row>
    <row r="58" spans="2:43" x14ac:dyDescent="0.25">
      <c r="E58" s="52"/>
      <c r="F58" s="17" t="s">
        <v>136</v>
      </c>
      <c r="G58" s="17" t="s">
        <v>120</v>
      </c>
      <c r="H58" s="220"/>
      <c r="I58" s="220"/>
      <c r="J58" s="230">
        <f>'Volume adjustments'!J260</f>
        <v>2333226.662709387</v>
      </c>
      <c r="K58" s="230">
        <f>'Volume adjustments'!K260</f>
        <v>171787.63043176121</v>
      </c>
      <c r="L58" s="230">
        <f>'Volume adjustments'!L260</f>
        <v>821427.24294364848</v>
      </c>
      <c r="M58" s="230">
        <f>'Volume adjustments'!M260</f>
        <v>35850.647959933427</v>
      </c>
      <c r="N58" s="230">
        <f>'Volume adjustments'!N260</f>
        <v>1048086.7833560277</v>
      </c>
      <c r="O58" s="230">
        <f>'Volume adjustments'!O260</f>
        <v>126683.73301103061</v>
      </c>
      <c r="P58" s="230">
        <f>'Volume adjustments'!P260</f>
        <v>1510545.1889728927</v>
      </c>
      <c r="Q58" s="230">
        <f>'Volume adjustments'!Q260</f>
        <v>148914.11944191009</v>
      </c>
      <c r="R58" s="230">
        <f>'Volume adjustments'!R260</f>
        <v>3872.32969751788</v>
      </c>
      <c r="S58" s="230">
        <f>'Volume adjustments'!S260</f>
        <v>58.205000000000005</v>
      </c>
      <c r="T58" s="230">
        <f>'Volume adjustments'!T260</f>
        <v>29713.727000000003</v>
      </c>
      <c r="U58" s="230">
        <f>'Volume adjustments'!U260</f>
        <v>0</v>
      </c>
      <c r="V58" s="230">
        <f>'Volume adjustments'!V260</f>
        <v>275.35399999999998</v>
      </c>
      <c r="W58" s="230">
        <f>'Volume adjustments'!W260</f>
        <v>0</v>
      </c>
      <c r="X58" s="230">
        <f>'Volume adjustments'!X260</f>
        <v>489264.26399999997</v>
      </c>
      <c r="Y58" s="230">
        <f>'Volume adjustments'!Y260</f>
        <v>0</v>
      </c>
      <c r="AQ58" s="19"/>
    </row>
    <row r="59" spans="2:43" x14ac:dyDescent="0.25">
      <c r="E59" s="52"/>
      <c r="F59" s="66" t="s">
        <v>503</v>
      </c>
      <c r="G59" s="66" t="s">
        <v>120</v>
      </c>
      <c r="H59" s="235"/>
      <c r="I59" s="235"/>
      <c r="J59" s="235">
        <f t="shared" ref="J59:Y59" si="0">SUM(J56:J58)</f>
        <v>5510601.5775588267</v>
      </c>
      <c r="K59" s="235">
        <f t="shared" si="0"/>
        <v>190222.32306695206</v>
      </c>
      <c r="L59" s="235">
        <f t="shared" si="0"/>
        <v>2041626.7496079886</v>
      </c>
      <c r="M59" s="235">
        <f t="shared" si="0"/>
        <v>45319.649842056329</v>
      </c>
      <c r="N59" s="235">
        <f t="shared" si="0"/>
        <v>2475591.2478031153</v>
      </c>
      <c r="O59" s="235">
        <f t="shared" si="0"/>
        <v>277611.20724643389</v>
      </c>
      <c r="P59" s="235">
        <f t="shared" si="0"/>
        <v>3178014.2398807798</v>
      </c>
      <c r="Q59" s="235">
        <f t="shared" si="0"/>
        <v>224827.22617834673</v>
      </c>
      <c r="R59" s="235">
        <f t="shared" si="0"/>
        <v>14154.160774500382</v>
      </c>
      <c r="S59" s="235">
        <f t="shared" si="0"/>
        <v>155.60400000000001</v>
      </c>
      <c r="T59" s="235">
        <f t="shared" si="0"/>
        <v>62012.428</v>
      </c>
      <c r="U59" s="235">
        <f t="shared" si="0"/>
        <v>0</v>
      </c>
      <c r="V59" s="235">
        <f t="shared" si="0"/>
        <v>650.697</v>
      </c>
      <c r="W59" s="235">
        <f t="shared" si="0"/>
        <v>0</v>
      </c>
      <c r="X59" s="235">
        <f t="shared" si="0"/>
        <v>1036985.409</v>
      </c>
      <c r="Y59" s="235">
        <f t="shared" si="0"/>
        <v>0</v>
      </c>
      <c r="AQ59" s="19"/>
    </row>
    <row r="60" spans="2:43" x14ac:dyDescent="0.25">
      <c r="D60" s="52"/>
      <c r="J60" s="79"/>
      <c r="L60" s="79"/>
      <c r="AQ60" s="19"/>
    </row>
    <row r="61" spans="2:43" x14ac:dyDescent="0.25">
      <c r="C61" s="52"/>
      <c r="E61" s="12" t="s">
        <v>71</v>
      </c>
      <c r="F61" s="12"/>
      <c r="G61" s="12" t="s">
        <v>94</v>
      </c>
      <c r="I61" t="s">
        <v>359</v>
      </c>
      <c r="J61" s="120">
        <f>'Inputs by customer type'!J18</f>
        <v>0.44600000000000001</v>
      </c>
      <c r="K61" s="120">
        <f>'Inputs by customer type'!K18</f>
        <v>7.9333333333333325E-2</v>
      </c>
      <c r="L61" s="120">
        <f>'Inputs by customer type'!L18</f>
        <v>0.41899999999999998</v>
      </c>
      <c r="M61" s="120">
        <f>'Inputs by customer type'!M18</f>
        <v>0.28733333333333338</v>
      </c>
      <c r="N61" s="120">
        <f>'Inputs by customer type'!N18</f>
        <v>0.55300000000000005</v>
      </c>
      <c r="O61" s="120">
        <f>'Inputs by customer type'!O18</f>
        <v>0.67799999999999994</v>
      </c>
      <c r="P61" s="120">
        <f>'Inputs by customer type'!P18</f>
        <v>0.7320000000000001</v>
      </c>
      <c r="Q61" s="120">
        <f>'Inputs by customer type'!Q18</f>
        <v>0.48033333333333333</v>
      </c>
      <c r="R61" s="317"/>
      <c r="S61" s="317"/>
      <c r="T61" s="317"/>
      <c r="U61" s="317"/>
      <c r="V61" s="317"/>
      <c r="W61" s="317"/>
      <c r="X61" s="317"/>
      <c r="Y61" s="317"/>
      <c r="AA61" t="s">
        <v>753</v>
      </c>
      <c r="AQ61" s="19"/>
    </row>
    <row r="63" spans="2:43" x14ac:dyDescent="0.25">
      <c r="B63" s="82" t="s">
        <v>285</v>
      </c>
      <c r="C63" s="82"/>
      <c r="D63" s="82"/>
      <c r="E63" s="82"/>
      <c r="F63" s="82"/>
      <c r="G63" s="82"/>
      <c r="H63" s="82"/>
      <c r="I63" s="82"/>
      <c r="J63" s="30"/>
      <c r="K63" s="82"/>
      <c r="L63" s="30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Q63" s="19"/>
    </row>
    <row r="64" spans="2:43" x14ac:dyDescent="0.25">
      <c r="C64" s="52"/>
      <c r="J64" s="79"/>
      <c r="L64" s="79"/>
      <c r="AQ64" s="19"/>
    </row>
    <row r="65" spans="3:43" x14ac:dyDescent="0.25">
      <c r="C65" s="73" t="s">
        <v>345</v>
      </c>
      <c r="J65" s="79"/>
      <c r="L65" s="79"/>
      <c r="AQ65" s="19"/>
    </row>
    <row r="66" spans="3:43" x14ac:dyDescent="0.25">
      <c r="C66" s="52"/>
      <c r="J66" s="79"/>
      <c r="L66" s="79"/>
      <c r="AQ66" s="19"/>
    </row>
    <row r="67" spans="3:43" x14ac:dyDescent="0.25">
      <c r="C67" s="5" t="str">
        <f ca="1">INDEX('Version control'!$H$36:$H$62,MATCH($A$1,'Version control'!$F$36:$F$62,0),1)&amp;"-B: System peak load, by unit rate"</f>
        <v>Section 509-B: System peak load, by unit rate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Q67" s="19"/>
    </row>
    <row r="68" spans="3:43" x14ac:dyDescent="0.25">
      <c r="H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</row>
    <row r="69" spans="3:43" x14ac:dyDescent="0.25">
      <c r="E69" s="52" t="s">
        <v>248</v>
      </c>
      <c r="J69" s="79"/>
      <c r="L69" s="79"/>
      <c r="AQ69" s="19"/>
    </row>
    <row r="70" spans="3:43" x14ac:dyDescent="0.25">
      <c r="E70" s="52"/>
      <c r="F70" s="80" t="s">
        <v>43</v>
      </c>
      <c r="G70" s="80" t="s">
        <v>427</v>
      </c>
      <c r="H70" s="80"/>
      <c r="I70" s="80"/>
      <c r="J70" s="228">
        <f>'Pseudo-load coefficients'!J272</f>
        <v>10.512574977414495</v>
      </c>
      <c r="K70" s="228">
        <f>'Pseudo-load coefficients'!K272</f>
        <v>10.512574977414495</v>
      </c>
      <c r="L70" s="228">
        <f>'Pseudo-load coefficients'!L272</f>
        <v>12.688461276539131</v>
      </c>
      <c r="M70" s="228">
        <f>'Pseudo-load coefficients'!M272</f>
        <v>12.688461276539131</v>
      </c>
      <c r="N70" s="228">
        <f>'Pseudo-load coefficients'!N272</f>
        <v>10.716365168209068</v>
      </c>
      <c r="O70" s="228">
        <f>'Pseudo-load coefficients'!O272</f>
        <v>9.3924982174489706</v>
      </c>
      <c r="P70" s="228">
        <f>'Pseudo-load coefficients'!P272</f>
        <v>9.3906606638031285</v>
      </c>
      <c r="Q70" s="228">
        <f>'Pseudo-load coefficients'!Q272</f>
        <v>25.679917661753063</v>
      </c>
      <c r="R70" s="228">
        <f>'Pseudo-load coefficients'!R272</f>
        <v>8.268720323645887</v>
      </c>
      <c r="S70" s="228">
        <f>'Pseudo-load coefficients'!S272</f>
        <v>8.268720323645887</v>
      </c>
      <c r="T70" s="228">
        <f>'Pseudo-load coefficients'!T272</f>
        <v>8.268720323645887</v>
      </c>
      <c r="U70" s="228">
        <f>'Pseudo-load coefficients'!U272</f>
        <v>8.268720323645887</v>
      </c>
      <c r="V70" s="228">
        <f>'Pseudo-load coefficients'!V272</f>
        <v>8.268720323645887</v>
      </c>
      <c r="W70" s="228">
        <f>'Pseudo-load coefficients'!W272</f>
        <v>8.268720323645887</v>
      </c>
      <c r="X70" s="228">
        <f>'Pseudo-load coefficients'!X272</f>
        <v>8.268720323645887</v>
      </c>
      <c r="Y70" s="228">
        <f>'Pseudo-load coefficients'!Y272</f>
        <v>8.268720323645887</v>
      </c>
      <c r="AQ70" s="19"/>
    </row>
    <row r="71" spans="3:43" x14ac:dyDescent="0.25">
      <c r="E71" s="52"/>
      <c r="F71" t="s">
        <v>44</v>
      </c>
      <c r="G71" t="s">
        <v>427</v>
      </c>
      <c r="J71" s="229">
        <f>'Pseudo-load coefficients'!J273</f>
        <v>0</v>
      </c>
      <c r="K71" s="229">
        <f>'Pseudo-load coefficients'!K273</f>
        <v>0</v>
      </c>
      <c r="L71" s="229">
        <f>'Pseudo-load coefficients'!L273</f>
        <v>0</v>
      </c>
      <c r="M71" s="229">
        <f>'Pseudo-load coefficients'!M273</f>
        <v>0</v>
      </c>
      <c r="N71" s="229">
        <f>'Pseudo-load coefficients'!N273</f>
        <v>0</v>
      </c>
      <c r="O71" s="229">
        <f>'Pseudo-load coefficients'!O273</f>
        <v>0</v>
      </c>
      <c r="P71" s="229">
        <f>'Pseudo-load coefficients'!P273</f>
        <v>0</v>
      </c>
      <c r="Q71" s="229">
        <f>'Pseudo-load coefficients'!Q273</f>
        <v>0</v>
      </c>
      <c r="R71" s="229">
        <f>'Pseudo-load coefficients'!R273</f>
        <v>0</v>
      </c>
      <c r="S71" s="229">
        <f>'Pseudo-load coefficients'!S273</f>
        <v>0</v>
      </c>
      <c r="T71" s="229">
        <f>'Pseudo-load coefficients'!T273</f>
        <v>0</v>
      </c>
      <c r="U71" s="229">
        <f>'Pseudo-load coefficients'!U273</f>
        <v>0</v>
      </c>
      <c r="V71" s="229">
        <f>'Pseudo-load coefficients'!V273</f>
        <v>0</v>
      </c>
      <c r="W71" s="229">
        <f>'Pseudo-load coefficients'!W273</f>
        <v>0</v>
      </c>
      <c r="X71" s="229">
        <f>'Pseudo-load coefficients'!X273</f>
        <v>0</v>
      </c>
      <c r="Y71" s="229">
        <f>'Pseudo-load coefficients'!Y273</f>
        <v>0</v>
      </c>
      <c r="AQ71" s="19"/>
    </row>
    <row r="72" spans="3:43" x14ac:dyDescent="0.25">
      <c r="E72" s="52"/>
      <c r="F72" t="s">
        <v>45</v>
      </c>
      <c r="G72" t="s">
        <v>427</v>
      </c>
      <c r="J72" s="229">
        <f>'Pseudo-load coefficients'!J274</f>
        <v>0</v>
      </c>
      <c r="K72" s="229">
        <f>'Pseudo-load coefficients'!K274</f>
        <v>0</v>
      </c>
      <c r="L72" s="229">
        <f>'Pseudo-load coefficients'!L274</f>
        <v>0</v>
      </c>
      <c r="M72" s="229">
        <f>'Pseudo-load coefficients'!M274</f>
        <v>0</v>
      </c>
      <c r="N72" s="229">
        <f>'Pseudo-load coefficients'!N274</f>
        <v>0</v>
      </c>
      <c r="O72" s="229">
        <f>'Pseudo-load coefficients'!O274</f>
        <v>0</v>
      </c>
      <c r="P72" s="229">
        <f>'Pseudo-load coefficients'!P274</f>
        <v>0</v>
      </c>
      <c r="Q72" s="229">
        <f>'Pseudo-load coefficients'!Q274</f>
        <v>0</v>
      </c>
      <c r="R72" s="229">
        <f>'Pseudo-load coefficients'!R274</f>
        <v>0</v>
      </c>
      <c r="S72" s="229">
        <f>'Pseudo-load coefficients'!S274</f>
        <v>0</v>
      </c>
      <c r="T72" s="229">
        <f>'Pseudo-load coefficients'!T274</f>
        <v>0</v>
      </c>
      <c r="U72" s="229">
        <f>'Pseudo-load coefficients'!U274</f>
        <v>0</v>
      </c>
      <c r="V72" s="229">
        <f>'Pseudo-load coefficients'!V274</f>
        <v>0</v>
      </c>
      <c r="W72" s="229">
        <f>'Pseudo-load coefficients'!W274</f>
        <v>0</v>
      </c>
      <c r="X72" s="229">
        <f>'Pseudo-load coefficients'!X274</f>
        <v>0</v>
      </c>
      <c r="Y72" s="229">
        <f>'Pseudo-load coefficients'!Y274</f>
        <v>0</v>
      </c>
      <c r="AQ72" s="19"/>
    </row>
    <row r="73" spans="3:43" x14ac:dyDescent="0.25">
      <c r="E73" s="52"/>
      <c r="F73" t="s">
        <v>46</v>
      </c>
      <c r="G73" t="s">
        <v>427</v>
      </c>
      <c r="J73" s="229">
        <f>'Pseudo-load coefficients'!J275</f>
        <v>10.512574977414495</v>
      </c>
      <c r="K73" s="229">
        <f>'Pseudo-load coefficients'!K275</f>
        <v>10.512574977414495</v>
      </c>
      <c r="L73" s="229">
        <f>'Pseudo-load coefficients'!L275</f>
        <v>12.688461276539131</v>
      </c>
      <c r="M73" s="229">
        <f>'Pseudo-load coefficients'!M275</f>
        <v>12.688461276539131</v>
      </c>
      <c r="N73" s="229">
        <f>'Pseudo-load coefficients'!N275</f>
        <v>10.716365168209068</v>
      </c>
      <c r="O73" s="229">
        <f>'Pseudo-load coefficients'!O275</f>
        <v>9.3924982174489706</v>
      </c>
      <c r="P73" s="229">
        <f>'Pseudo-load coefficients'!P275</f>
        <v>9.3906606638031285</v>
      </c>
      <c r="Q73" s="229">
        <f>'Pseudo-load coefficients'!Q275</f>
        <v>25.679917661753063</v>
      </c>
      <c r="R73" s="229">
        <f>'Pseudo-load coefficients'!R275</f>
        <v>8.268720323645887</v>
      </c>
      <c r="S73" s="229">
        <f>'Pseudo-load coefficients'!S275</f>
        <v>8.268720323645887</v>
      </c>
      <c r="T73" s="229">
        <f>'Pseudo-load coefficients'!T275</f>
        <v>8.268720323645887</v>
      </c>
      <c r="U73" s="229">
        <f>'Pseudo-load coefficients'!U275</f>
        <v>8.268720323645887</v>
      </c>
      <c r="V73" s="229">
        <f>'Pseudo-load coefficients'!V275</f>
        <v>8.268720323645887</v>
      </c>
      <c r="W73" s="229">
        <f>'Pseudo-load coefficients'!W275</f>
        <v>8.268720323645887</v>
      </c>
      <c r="X73" s="229">
        <f>'Pseudo-load coefficients'!X275</f>
        <v>8.268720323645887</v>
      </c>
      <c r="Y73" s="229">
        <f>'Pseudo-load coefficients'!Y275</f>
        <v>8.268720323645887</v>
      </c>
      <c r="AQ73" s="19"/>
    </row>
    <row r="74" spans="3:43" x14ac:dyDescent="0.25">
      <c r="E74" s="52"/>
      <c r="F74" t="s">
        <v>47</v>
      </c>
      <c r="G74" t="s">
        <v>427</v>
      </c>
      <c r="J74" s="229">
        <f>'Pseudo-load coefficients'!J276</f>
        <v>8.4702749127750003</v>
      </c>
      <c r="K74" s="229">
        <f>'Pseudo-load coefficients'!K276</f>
        <v>8.4702749127750003</v>
      </c>
      <c r="L74" s="229">
        <f>'Pseudo-load coefficients'!L276</f>
        <v>10.223447201402905</v>
      </c>
      <c r="M74" s="229">
        <f>'Pseudo-load coefficients'!M276</f>
        <v>10.223447201402905</v>
      </c>
      <c r="N74" s="229">
        <f>'Pseudo-load coefficients'!N276</f>
        <v>8.6344743543262297</v>
      </c>
      <c r="O74" s="229">
        <f>'Pseudo-load coefficients'!O276</f>
        <v>7.5677978221762459</v>
      </c>
      <c r="P74" s="229">
        <f>'Pseudo-load coefficients'!P276</f>
        <v>7.5663172539443249</v>
      </c>
      <c r="Q74" s="229">
        <f>'Pseudo-load coefficients'!Q276</f>
        <v>21.674072873739892</v>
      </c>
      <c r="R74" s="229">
        <f>'Pseudo-load coefficients'!R276</f>
        <v>6.6623386247996148</v>
      </c>
      <c r="S74" s="229">
        <f>'Pseudo-load coefficients'!S276</f>
        <v>6.6623386247996148</v>
      </c>
      <c r="T74" s="229">
        <f>'Pseudo-load coefficients'!T276</f>
        <v>6.6623386247996148</v>
      </c>
      <c r="U74" s="229">
        <f>'Pseudo-load coefficients'!U276</f>
        <v>6.6623386247996148</v>
      </c>
      <c r="V74" s="229">
        <f>'Pseudo-load coefficients'!V276</f>
        <v>6.6623386247996148</v>
      </c>
      <c r="W74" s="229">
        <f>'Pseudo-load coefficients'!W276</f>
        <v>6.6623386247996148</v>
      </c>
      <c r="X74" s="229">
        <f>'Pseudo-load coefficients'!X276</f>
        <v>6.6623386247996148</v>
      </c>
      <c r="Y74" s="229">
        <f>'Pseudo-load coefficients'!Y276</f>
        <v>6.6623386247996148</v>
      </c>
      <c r="AQ74" s="19"/>
    </row>
    <row r="75" spans="3:43" x14ac:dyDescent="0.25">
      <c r="E75" s="52"/>
      <c r="F75" t="s">
        <v>51</v>
      </c>
      <c r="G75" t="s">
        <v>427</v>
      </c>
      <c r="J75" s="229">
        <f>'Pseudo-load coefficients'!J277</f>
        <v>0</v>
      </c>
      <c r="K75" s="229">
        <f>'Pseudo-load coefficients'!K277</f>
        <v>0</v>
      </c>
      <c r="L75" s="229">
        <f>'Pseudo-load coefficients'!L277</f>
        <v>0</v>
      </c>
      <c r="M75" s="229">
        <f>'Pseudo-load coefficients'!M277</f>
        <v>0</v>
      </c>
      <c r="N75" s="229">
        <f>'Pseudo-load coefficients'!N277</f>
        <v>0</v>
      </c>
      <c r="O75" s="229">
        <f>'Pseudo-load coefficients'!O277</f>
        <v>0</v>
      </c>
      <c r="P75" s="229">
        <f>'Pseudo-load coefficients'!P277</f>
        <v>0</v>
      </c>
      <c r="Q75" s="229">
        <f>'Pseudo-load coefficients'!Q277</f>
        <v>0</v>
      </c>
      <c r="R75" s="229">
        <f>'Pseudo-load coefficients'!R277</f>
        <v>0</v>
      </c>
      <c r="S75" s="229">
        <f>'Pseudo-load coefficients'!S277</f>
        <v>0</v>
      </c>
      <c r="T75" s="229">
        <f>'Pseudo-load coefficients'!T277</f>
        <v>0</v>
      </c>
      <c r="U75" s="229">
        <f>'Pseudo-load coefficients'!U277</f>
        <v>0</v>
      </c>
      <c r="V75" s="229">
        <f>'Pseudo-load coefficients'!V277</f>
        <v>0</v>
      </c>
      <c r="W75" s="229">
        <f>'Pseudo-load coefficients'!W277</f>
        <v>0</v>
      </c>
      <c r="X75" s="229">
        <f>'Pseudo-load coefficients'!X277</f>
        <v>0</v>
      </c>
      <c r="Y75" s="229">
        <f>'Pseudo-load coefficients'!Y277</f>
        <v>0</v>
      </c>
      <c r="AQ75" s="19"/>
    </row>
    <row r="76" spans="3:43" x14ac:dyDescent="0.25">
      <c r="E76" s="52"/>
      <c r="F76" t="s">
        <v>48</v>
      </c>
      <c r="G76" t="s">
        <v>427</v>
      </c>
      <c r="J76" s="229">
        <f>'Pseudo-load coefficients'!J278</f>
        <v>8.4702749127750003</v>
      </c>
      <c r="K76" s="229">
        <f>'Pseudo-load coefficients'!K278</f>
        <v>8.4702749127750003</v>
      </c>
      <c r="L76" s="229">
        <f>'Pseudo-load coefficients'!L278</f>
        <v>10.223447201402905</v>
      </c>
      <c r="M76" s="229">
        <f>'Pseudo-load coefficients'!M278</f>
        <v>10.223447201402905</v>
      </c>
      <c r="N76" s="229">
        <f>'Pseudo-load coefficients'!N278</f>
        <v>8.6344743543262297</v>
      </c>
      <c r="O76" s="229">
        <f>'Pseudo-load coefficients'!O278</f>
        <v>7.5677978221762459</v>
      </c>
      <c r="P76" s="229">
        <f>'Pseudo-load coefficients'!P278</f>
        <v>7.5663172539443249</v>
      </c>
      <c r="Q76" s="229">
        <f>'Pseudo-load coefficients'!Q278</f>
        <v>21.674072873739892</v>
      </c>
      <c r="R76" s="229">
        <f>'Pseudo-load coefficients'!R278</f>
        <v>6.6623386247996148</v>
      </c>
      <c r="S76" s="229">
        <f>'Pseudo-load coefficients'!S278</f>
        <v>6.6623386247996148</v>
      </c>
      <c r="T76" s="229">
        <f>'Pseudo-load coefficients'!T278</f>
        <v>6.6623386247996148</v>
      </c>
      <c r="U76" s="229">
        <f>'Pseudo-load coefficients'!U278</f>
        <v>6.6623386247996148</v>
      </c>
      <c r="V76" s="229">
        <f>'Pseudo-load coefficients'!V278</f>
        <v>6.6623386247996148</v>
      </c>
      <c r="W76" s="229">
        <f>'Pseudo-load coefficients'!W278</f>
        <v>6.6623386247996148</v>
      </c>
      <c r="X76" s="229">
        <f>'Pseudo-load coefficients'!X278</f>
        <v>6.6623386247996148</v>
      </c>
      <c r="Y76" s="229">
        <f>'Pseudo-load coefficients'!Y278</f>
        <v>6.6623386247996148</v>
      </c>
      <c r="AQ76" s="19"/>
    </row>
    <row r="77" spans="3:43" x14ac:dyDescent="0.25">
      <c r="E77" s="52"/>
      <c r="F77" t="s">
        <v>49</v>
      </c>
      <c r="G77" t="s">
        <v>427</v>
      </c>
      <c r="J77" s="229">
        <f>'Pseudo-load coefficients'!J279</f>
        <v>8.4702749127750003</v>
      </c>
      <c r="K77" s="229">
        <f>'Pseudo-load coefficients'!K279</f>
        <v>8.4702749127750003</v>
      </c>
      <c r="L77" s="229">
        <f>'Pseudo-load coefficients'!L279</f>
        <v>10.223447201402905</v>
      </c>
      <c r="M77" s="229">
        <f>'Pseudo-load coefficients'!M279</f>
        <v>10.223447201402905</v>
      </c>
      <c r="N77" s="229">
        <f>'Pseudo-load coefficients'!N279</f>
        <v>8.6344743543262297</v>
      </c>
      <c r="O77" s="229">
        <f>'Pseudo-load coefficients'!O279</f>
        <v>7.5677978221762459</v>
      </c>
      <c r="P77" s="229">
        <f>'Pseudo-load coefficients'!P279</f>
        <v>7.5663172539443249</v>
      </c>
      <c r="Q77" s="229">
        <f>'Pseudo-load coefficients'!Q279</f>
        <v>21.674072873739892</v>
      </c>
      <c r="R77" s="229">
        <f>'Pseudo-load coefficients'!R279</f>
        <v>6.6623386247996148</v>
      </c>
      <c r="S77" s="229">
        <f>'Pseudo-load coefficients'!S279</f>
        <v>6.6623386247996148</v>
      </c>
      <c r="T77" s="229">
        <f>'Pseudo-load coefficients'!T279</f>
        <v>6.6623386247996148</v>
      </c>
      <c r="U77" s="229">
        <f>'Pseudo-load coefficients'!U279</f>
        <v>6.6623386247996148</v>
      </c>
      <c r="V77" s="229">
        <f>'Pseudo-load coefficients'!V279</f>
        <v>6.6623386247996148</v>
      </c>
      <c r="W77" s="229">
        <f>'Pseudo-load coefficients'!W279</f>
        <v>6.6623386247996148</v>
      </c>
      <c r="X77" s="229">
        <f>'Pseudo-load coefficients'!X279</f>
        <v>6.6623386247996148</v>
      </c>
      <c r="Y77" s="229">
        <f>'Pseudo-load coefficients'!Y279</f>
        <v>6.6623386247996148</v>
      </c>
      <c r="AQ77" s="19"/>
    </row>
    <row r="78" spans="3:43" x14ac:dyDescent="0.25">
      <c r="E78" s="52"/>
      <c r="F78" s="17" t="s">
        <v>50</v>
      </c>
      <c r="G78" s="17" t="s">
        <v>427</v>
      </c>
      <c r="H78" s="17"/>
      <c r="I78" s="17"/>
      <c r="J78" s="230">
        <f>'Pseudo-load coefficients'!J280</f>
        <v>8.4702749127750003</v>
      </c>
      <c r="K78" s="230">
        <f>'Pseudo-load coefficients'!K280</f>
        <v>8.4702749127750003</v>
      </c>
      <c r="L78" s="230">
        <f>'Pseudo-load coefficients'!L280</f>
        <v>10.223447201402905</v>
      </c>
      <c r="M78" s="230">
        <f>'Pseudo-load coefficients'!M280</f>
        <v>10.223447201402905</v>
      </c>
      <c r="N78" s="230">
        <f>'Pseudo-load coefficients'!N280</f>
        <v>8.6344743543262297</v>
      </c>
      <c r="O78" s="230">
        <f>'Pseudo-load coefficients'!O280</f>
        <v>7.5677978221762459</v>
      </c>
      <c r="P78" s="230">
        <f>'Pseudo-load coefficients'!P280</f>
        <v>7.5663172539443249</v>
      </c>
      <c r="Q78" s="230">
        <f>'Pseudo-load coefficients'!Q280</f>
        <v>21.674072873739892</v>
      </c>
      <c r="R78" s="230">
        <f>'Pseudo-load coefficients'!R280</f>
        <v>6.6623386247996148</v>
      </c>
      <c r="S78" s="230">
        <f>'Pseudo-load coefficients'!S280</f>
        <v>6.6623386247996148</v>
      </c>
      <c r="T78" s="230">
        <f>'Pseudo-load coefficients'!T280</f>
        <v>6.6623386247996148</v>
      </c>
      <c r="U78" s="230">
        <f>'Pseudo-load coefficients'!U280</f>
        <v>6.6623386247996148</v>
      </c>
      <c r="V78" s="230">
        <f>'Pseudo-load coefficients'!V280</f>
        <v>6.6623386247996148</v>
      </c>
      <c r="W78" s="230">
        <f>'Pseudo-load coefficients'!W280</f>
        <v>6.6623386247996148</v>
      </c>
      <c r="X78" s="230">
        <f>'Pseudo-load coefficients'!X280</f>
        <v>6.6623386247996148</v>
      </c>
      <c r="Y78" s="230">
        <f>'Pseudo-load coefficients'!Y280</f>
        <v>6.6623386247996148</v>
      </c>
      <c r="AQ78" s="19"/>
    </row>
    <row r="79" spans="3:43" x14ac:dyDescent="0.25">
      <c r="E79" s="52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AQ79" s="19"/>
    </row>
    <row r="80" spans="3:43" x14ac:dyDescent="0.25">
      <c r="E80" s="52" t="s">
        <v>523</v>
      </c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AQ80" s="19"/>
    </row>
    <row r="81" spans="5:43" x14ac:dyDescent="0.25">
      <c r="E81" s="73" t="s">
        <v>349</v>
      </c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AQ81" s="19"/>
    </row>
    <row r="82" spans="5:43" x14ac:dyDescent="0.25">
      <c r="E82" s="52"/>
      <c r="F82" s="80" t="s">
        <v>43</v>
      </c>
      <c r="G82" s="80" t="s">
        <v>102</v>
      </c>
      <c r="H82" s="80"/>
      <c r="I82" s="80"/>
      <c r="J82" s="223">
        <f t="shared" ref="J82:Y82" si="1">J$56 * J34 * J70 / hours_in_year / $H45</f>
        <v>948.69104321788905</v>
      </c>
      <c r="K82" s="223">
        <f t="shared" si="1"/>
        <v>0.8661886489295425</v>
      </c>
      <c r="L82" s="223">
        <f t="shared" si="1"/>
        <v>317.9445422314792</v>
      </c>
      <c r="M82" s="223">
        <f t="shared" si="1"/>
        <v>0.95475855180793401</v>
      </c>
      <c r="N82" s="223">
        <f t="shared" si="1"/>
        <v>333.46842416162781</v>
      </c>
      <c r="O82" s="223">
        <f t="shared" si="1"/>
        <v>29.886807182627837</v>
      </c>
      <c r="P82" s="223">
        <f t="shared" si="1"/>
        <v>324.82874860411675</v>
      </c>
      <c r="Q82" s="223">
        <f t="shared" si="1"/>
        <v>36.301516257193548</v>
      </c>
      <c r="R82" s="223">
        <f t="shared" si="1"/>
        <v>-1.7104327185733201</v>
      </c>
      <c r="S82" s="223">
        <f t="shared" si="1"/>
        <v>-1.9232046695555834E-2</v>
      </c>
      <c r="T82" s="223">
        <f t="shared" si="1"/>
        <v>-6.0913271444417978</v>
      </c>
      <c r="U82" s="223">
        <f t="shared" si="1"/>
        <v>0</v>
      </c>
      <c r="V82" s="223">
        <f t="shared" si="1"/>
        <v>-6.1948357830637776E-2</v>
      </c>
      <c r="W82" s="223">
        <f t="shared" si="1"/>
        <v>0</v>
      </c>
      <c r="X82" s="223">
        <f t="shared" si="1"/>
        <v>-114.4777608533439</v>
      </c>
      <c r="Y82" s="223">
        <f t="shared" si="1"/>
        <v>0</v>
      </c>
      <c r="AQ82" s="19"/>
    </row>
    <row r="83" spans="5:43" x14ac:dyDescent="0.25">
      <c r="E83" s="52"/>
      <c r="F83" t="s">
        <v>44</v>
      </c>
      <c r="G83" t="s">
        <v>102</v>
      </c>
      <c r="J83" s="211">
        <f t="shared" ref="J83:Y83" si="2">J$56 * J35 * J71 / hours_in_year / $H46</f>
        <v>0</v>
      </c>
      <c r="K83" s="211">
        <f t="shared" si="2"/>
        <v>0</v>
      </c>
      <c r="L83" s="211">
        <f t="shared" si="2"/>
        <v>0</v>
      </c>
      <c r="M83" s="211">
        <f t="shared" si="2"/>
        <v>0</v>
      </c>
      <c r="N83" s="211">
        <f t="shared" si="2"/>
        <v>0</v>
      </c>
      <c r="O83" s="211">
        <f t="shared" si="2"/>
        <v>0</v>
      </c>
      <c r="P83" s="211">
        <f t="shared" si="2"/>
        <v>0</v>
      </c>
      <c r="Q83" s="211">
        <f t="shared" si="2"/>
        <v>0</v>
      </c>
      <c r="R83" s="211">
        <f t="shared" si="2"/>
        <v>0</v>
      </c>
      <c r="S83" s="211">
        <f t="shared" si="2"/>
        <v>0</v>
      </c>
      <c r="T83" s="211">
        <f t="shared" si="2"/>
        <v>0</v>
      </c>
      <c r="U83" s="211">
        <f t="shared" si="2"/>
        <v>0</v>
      </c>
      <c r="V83" s="211">
        <f t="shared" si="2"/>
        <v>0</v>
      </c>
      <c r="W83" s="211">
        <f t="shared" si="2"/>
        <v>0</v>
      </c>
      <c r="X83" s="211">
        <f t="shared" si="2"/>
        <v>0</v>
      </c>
      <c r="Y83" s="211">
        <f t="shared" si="2"/>
        <v>0</v>
      </c>
      <c r="AQ83" s="19"/>
    </row>
    <row r="84" spans="5:43" x14ac:dyDescent="0.25">
      <c r="E84" s="52"/>
      <c r="F84" t="s">
        <v>45</v>
      </c>
      <c r="G84" t="s">
        <v>102</v>
      </c>
      <c r="J84" s="211">
        <f t="shared" ref="J84:Y84" si="3">J$56 * J36 * J72 / hours_in_year / $H47</f>
        <v>0</v>
      </c>
      <c r="K84" s="211">
        <f t="shared" si="3"/>
        <v>0</v>
      </c>
      <c r="L84" s="211">
        <f t="shared" si="3"/>
        <v>0</v>
      </c>
      <c r="M84" s="211">
        <f t="shared" si="3"/>
        <v>0</v>
      </c>
      <c r="N84" s="211">
        <f t="shared" si="3"/>
        <v>0</v>
      </c>
      <c r="O84" s="211">
        <f t="shared" si="3"/>
        <v>0</v>
      </c>
      <c r="P84" s="211">
        <f t="shared" si="3"/>
        <v>0</v>
      </c>
      <c r="Q84" s="211">
        <f t="shared" si="3"/>
        <v>0</v>
      </c>
      <c r="R84" s="211">
        <f t="shared" si="3"/>
        <v>0</v>
      </c>
      <c r="S84" s="211">
        <f t="shared" si="3"/>
        <v>0</v>
      </c>
      <c r="T84" s="211">
        <f t="shared" si="3"/>
        <v>0</v>
      </c>
      <c r="U84" s="211">
        <f t="shared" si="3"/>
        <v>0</v>
      </c>
      <c r="V84" s="211">
        <f t="shared" si="3"/>
        <v>0</v>
      </c>
      <c r="W84" s="211">
        <f t="shared" si="3"/>
        <v>0</v>
      </c>
      <c r="X84" s="211">
        <f t="shared" si="3"/>
        <v>0</v>
      </c>
      <c r="Y84" s="211">
        <f t="shared" si="3"/>
        <v>0</v>
      </c>
      <c r="AQ84" s="19"/>
    </row>
    <row r="85" spans="5:43" x14ac:dyDescent="0.25">
      <c r="E85" s="52"/>
      <c r="F85" t="s">
        <v>46</v>
      </c>
      <c r="G85" t="s">
        <v>102</v>
      </c>
      <c r="J85" s="211">
        <f t="shared" ref="J85:Y85" si="4">J$56 * J37 * J73 / hours_in_year / $H48</f>
        <v>946.79744832124652</v>
      </c>
      <c r="K85" s="211">
        <f t="shared" si="4"/>
        <v>0.86445972947060135</v>
      </c>
      <c r="L85" s="211">
        <f t="shared" si="4"/>
        <v>317.30992238670581</v>
      </c>
      <c r="M85" s="211">
        <f t="shared" si="4"/>
        <v>0.95285284611570265</v>
      </c>
      <c r="N85" s="211">
        <f t="shared" si="4"/>
        <v>332.80281852457864</v>
      </c>
      <c r="O85" s="211">
        <f t="shared" si="4"/>
        <v>29.827152876874088</v>
      </c>
      <c r="P85" s="211">
        <f t="shared" si="4"/>
        <v>324.18038782845986</v>
      </c>
      <c r="Q85" s="211">
        <f t="shared" si="4"/>
        <v>36.229058140911725</v>
      </c>
      <c r="R85" s="211">
        <f t="shared" si="4"/>
        <v>-1.7070186812108983</v>
      </c>
      <c r="S85" s="211">
        <f t="shared" si="4"/>
        <v>-1.919365937680223E-2</v>
      </c>
      <c r="T85" s="211">
        <f t="shared" si="4"/>
        <v>-6.0791688068281413</v>
      </c>
      <c r="U85" s="211">
        <f t="shared" si="4"/>
        <v>0</v>
      </c>
      <c r="V85" s="211">
        <f t="shared" si="4"/>
        <v>-6.1824708413810159E-2</v>
      </c>
      <c r="W85" s="211">
        <f t="shared" si="4"/>
        <v>0</v>
      </c>
      <c r="X85" s="211">
        <f t="shared" si="4"/>
        <v>-114.24926232868653</v>
      </c>
      <c r="Y85" s="211">
        <f t="shared" si="4"/>
        <v>0</v>
      </c>
      <c r="AQ85" s="19"/>
    </row>
    <row r="86" spans="5:43" x14ac:dyDescent="0.25">
      <c r="E86" s="52"/>
      <c r="F86" t="s">
        <v>47</v>
      </c>
      <c r="G86" t="s">
        <v>102</v>
      </c>
      <c r="J86" s="211">
        <f t="shared" ref="J86:Y86" si="5">J$56 * J38 * J74 / hours_in_year / $H49</f>
        <v>754.57733240469042</v>
      </c>
      <c r="K86" s="211">
        <f t="shared" si="5"/>
        <v>0.68895593011133882</v>
      </c>
      <c r="L86" s="211">
        <f t="shared" si="5"/>
        <v>252.88922694567714</v>
      </c>
      <c r="M86" s="211">
        <f t="shared" si="5"/>
        <v>0.75940335503761092</v>
      </c>
      <c r="N86" s="211">
        <f t="shared" si="5"/>
        <v>265.23673407052996</v>
      </c>
      <c r="O86" s="211">
        <f t="shared" si="5"/>
        <v>23.771603409963973</v>
      </c>
      <c r="P86" s="211">
        <f t="shared" si="5"/>
        <v>258.3648410747706</v>
      </c>
      <c r="Q86" s="211">
        <f t="shared" si="5"/>
        <v>30.24560124650024</v>
      </c>
      <c r="R86" s="211">
        <f t="shared" si="5"/>
        <v>-1.360457408410811</v>
      </c>
      <c r="S86" s="211">
        <f t="shared" si="5"/>
        <v>-1.5296936337662805E-2</v>
      </c>
      <c r="T86" s="211">
        <f t="shared" si="5"/>
        <v>-4.8449676217734732</v>
      </c>
      <c r="U86" s="211">
        <f t="shared" si="5"/>
        <v>0</v>
      </c>
      <c r="V86" s="211">
        <f t="shared" si="5"/>
        <v>-4.9272971356553445E-2</v>
      </c>
      <c r="W86" s="211">
        <f t="shared" si="5"/>
        <v>0</v>
      </c>
      <c r="X86" s="211">
        <f t="shared" si="5"/>
        <v>-91.054220467156441</v>
      </c>
      <c r="Y86" s="211">
        <f t="shared" si="5"/>
        <v>0</v>
      </c>
      <c r="AQ86" s="19"/>
    </row>
    <row r="87" spans="5:43" x14ac:dyDescent="0.25">
      <c r="E87" s="52"/>
      <c r="F87" t="s">
        <v>51</v>
      </c>
      <c r="G87" t="s">
        <v>102</v>
      </c>
      <c r="J87" s="211">
        <f t="shared" ref="J87:Y87" si="6">J$56 * J39 * J75 / hours_in_year / $H50</f>
        <v>0</v>
      </c>
      <c r="K87" s="211">
        <f t="shared" si="6"/>
        <v>0</v>
      </c>
      <c r="L87" s="211">
        <f t="shared" si="6"/>
        <v>0</v>
      </c>
      <c r="M87" s="211">
        <f t="shared" si="6"/>
        <v>0</v>
      </c>
      <c r="N87" s="211">
        <f t="shared" si="6"/>
        <v>0</v>
      </c>
      <c r="O87" s="211">
        <f t="shared" si="6"/>
        <v>0</v>
      </c>
      <c r="P87" s="211">
        <f t="shared" si="6"/>
        <v>0</v>
      </c>
      <c r="Q87" s="211">
        <f t="shared" si="6"/>
        <v>0</v>
      </c>
      <c r="R87" s="211">
        <f t="shared" si="6"/>
        <v>0</v>
      </c>
      <c r="S87" s="211">
        <f t="shared" si="6"/>
        <v>0</v>
      </c>
      <c r="T87" s="211">
        <f t="shared" si="6"/>
        <v>0</v>
      </c>
      <c r="U87" s="211">
        <f t="shared" si="6"/>
        <v>0</v>
      </c>
      <c r="V87" s="211">
        <f t="shared" si="6"/>
        <v>0</v>
      </c>
      <c r="W87" s="211">
        <f t="shared" si="6"/>
        <v>0</v>
      </c>
      <c r="X87" s="211">
        <f t="shared" si="6"/>
        <v>0</v>
      </c>
      <c r="Y87" s="211">
        <f t="shared" si="6"/>
        <v>0</v>
      </c>
      <c r="AQ87" s="19"/>
    </row>
    <row r="88" spans="5:43" x14ac:dyDescent="0.25">
      <c r="E88" s="52"/>
      <c r="F88" t="s">
        <v>48</v>
      </c>
      <c r="G88" t="s">
        <v>102</v>
      </c>
      <c r="J88" s="211">
        <f t="shared" ref="J88:Y88" si="7">J$56 * J40 * J76 / hours_in_year / $H51</f>
        <v>746.47152121674935</v>
      </c>
      <c r="K88" s="211">
        <f t="shared" si="7"/>
        <v>0.6815550363308458</v>
      </c>
      <c r="L88" s="211">
        <f t="shared" si="7"/>
        <v>250.17264345309658</v>
      </c>
      <c r="M88" s="211">
        <f t="shared" si="7"/>
        <v>0.75124570180966777</v>
      </c>
      <c r="N88" s="211">
        <f>N$56 * N40 * N76 / hours_in_year / $H51</f>
        <v>262.38751134125664</v>
      </c>
      <c r="O88" s="211">
        <f t="shared" si="7"/>
        <v>23.516244388958498</v>
      </c>
      <c r="P88" s="211">
        <f t="shared" si="7"/>
        <v>255.58943750853769</v>
      </c>
      <c r="Q88" s="211">
        <f t="shared" si="7"/>
        <v>29.920697326860097</v>
      </c>
      <c r="R88" s="211">
        <f t="shared" si="7"/>
        <v>-1.3458431198438978</v>
      </c>
      <c r="S88" s="211">
        <f t="shared" si="7"/>
        <v>-1.5132613779348065E-2</v>
      </c>
      <c r="T88" s="211">
        <f t="shared" si="7"/>
        <v>-4.7929220711489524</v>
      </c>
      <c r="U88" s="211">
        <f t="shared" si="7"/>
        <v>0</v>
      </c>
      <c r="V88" s="211">
        <f t="shared" si="7"/>
        <v>-4.8743671859559218E-2</v>
      </c>
      <c r="W88" s="211">
        <f t="shared" si="7"/>
        <v>0</v>
      </c>
      <c r="X88" s="211">
        <f t="shared" si="7"/>
        <v>0</v>
      </c>
      <c r="Y88" s="211">
        <f t="shared" si="7"/>
        <v>0</v>
      </c>
      <c r="AQ88" s="19"/>
    </row>
    <row r="89" spans="5:43" x14ac:dyDescent="0.25">
      <c r="E89" s="52"/>
      <c r="F89" t="s">
        <v>49</v>
      </c>
      <c r="G89" t="s">
        <v>102</v>
      </c>
      <c r="J89" s="211">
        <f t="shared" ref="J89:Y89" si="8">J$56 * J41 * J77 / hours_in_year / $H52</f>
        <v>732.17130050378478</v>
      </c>
      <c r="K89" s="211">
        <f t="shared" si="8"/>
        <v>0.66849842643945023</v>
      </c>
      <c r="L89" s="211">
        <f t="shared" si="8"/>
        <v>245.38006407660046</v>
      </c>
      <c r="M89" s="211">
        <f t="shared" si="8"/>
        <v>0.73685402169837144</v>
      </c>
      <c r="N89" s="211">
        <f t="shared" si="8"/>
        <v>257.36093066422109</v>
      </c>
      <c r="O89" s="211">
        <f t="shared" si="8"/>
        <v>23.065741622886495</v>
      </c>
      <c r="P89" s="211">
        <f t="shared" si="8"/>
        <v>0</v>
      </c>
      <c r="Q89" s="211">
        <f t="shared" si="8"/>
        <v>29.347503891479636</v>
      </c>
      <c r="R89" s="211">
        <f t="shared" si="8"/>
        <v>-1.3200606845978462</v>
      </c>
      <c r="S89" s="211">
        <f t="shared" si="8"/>
        <v>0</v>
      </c>
      <c r="T89" s="211">
        <f t="shared" si="8"/>
        <v>-4.7011036406671716</v>
      </c>
      <c r="U89" s="211">
        <f t="shared" si="8"/>
        <v>0</v>
      </c>
      <c r="V89" s="211">
        <f t="shared" si="8"/>
        <v>0</v>
      </c>
      <c r="W89" s="211">
        <f t="shared" si="8"/>
        <v>0</v>
      </c>
      <c r="X89" s="211">
        <f t="shared" si="8"/>
        <v>0</v>
      </c>
      <c r="Y89" s="211">
        <f t="shared" si="8"/>
        <v>0</v>
      </c>
      <c r="AQ89" s="19"/>
    </row>
    <row r="90" spans="5:43" x14ac:dyDescent="0.25">
      <c r="E90" s="52"/>
      <c r="F90" s="17" t="s">
        <v>50</v>
      </c>
      <c r="G90" s="17" t="s">
        <v>102</v>
      </c>
      <c r="H90" s="17"/>
      <c r="I90" s="17"/>
      <c r="J90" s="220">
        <f t="shared" ref="J90:Y90" si="9">J$56 * J42 * J78 / hours_in_year / $H53</f>
        <v>691.7527943221279</v>
      </c>
      <c r="K90" s="220">
        <f t="shared" si="9"/>
        <v>0.63159489339618657</v>
      </c>
      <c r="L90" s="220">
        <f t="shared" si="9"/>
        <v>231.83419628594652</v>
      </c>
      <c r="M90" s="220">
        <f t="shared" si="9"/>
        <v>0.69617701235574647</v>
      </c>
      <c r="N90" s="220">
        <f t="shared" si="9"/>
        <v>243.15367566827766</v>
      </c>
      <c r="O90" s="220">
        <f t="shared" si="9"/>
        <v>0</v>
      </c>
      <c r="P90" s="220">
        <f t="shared" si="9"/>
        <v>0</v>
      </c>
      <c r="Q90" s="220">
        <f t="shared" si="9"/>
        <v>27.727415441361757</v>
      </c>
      <c r="R90" s="220">
        <f t="shared" si="9"/>
        <v>0</v>
      </c>
      <c r="S90" s="220">
        <f t="shared" si="9"/>
        <v>0</v>
      </c>
      <c r="T90" s="220">
        <f t="shared" si="9"/>
        <v>0</v>
      </c>
      <c r="U90" s="220">
        <f t="shared" si="9"/>
        <v>0</v>
      </c>
      <c r="V90" s="220">
        <f t="shared" si="9"/>
        <v>0</v>
      </c>
      <c r="W90" s="220">
        <f t="shared" si="9"/>
        <v>0</v>
      </c>
      <c r="X90" s="220">
        <f t="shared" si="9"/>
        <v>0</v>
      </c>
      <c r="Y90" s="220">
        <f t="shared" si="9"/>
        <v>0</v>
      </c>
      <c r="AQ90" s="19"/>
    </row>
    <row r="91" spans="5:43" x14ac:dyDescent="0.25">
      <c r="E91" s="52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AQ91" s="19"/>
    </row>
    <row r="92" spans="5:43" x14ac:dyDescent="0.25">
      <c r="E92" s="52" t="s">
        <v>249</v>
      </c>
      <c r="J92" s="211"/>
      <c r="K92" s="211"/>
      <c r="L92" s="211"/>
      <c r="M92" s="211"/>
      <c r="N92" s="211"/>
      <c r="O92" s="211"/>
      <c r="P92" s="211"/>
      <c r="Q92" s="211"/>
      <c r="R92" s="211"/>
      <c r="S92" s="211"/>
      <c r="T92" s="211"/>
      <c r="U92" s="211"/>
      <c r="V92" s="211"/>
      <c r="W92" s="211"/>
      <c r="X92" s="211"/>
      <c r="Y92" s="211"/>
      <c r="AQ92" s="19"/>
    </row>
    <row r="93" spans="5:43" x14ac:dyDescent="0.25">
      <c r="E93" s="52"/>
      <c r="F93" s="80" t="s">
        <v>43</v>
      </c>
      <c r="G93" s="80" t="s">
        <v>427</v>
      </c>
      <c r="H93" s="80"/>
      <c r="I93" s="80"/>
      <c r="J93" s="228">
        <f>'Pseudo-load coefficients'!J283</f>
        <v>0.8348510664390576</v>
      </c>
      <c r="K93" s="228">
        <f>'Pseudo-load coefficients'!K283</f>
        <v>0.8348510664390576</v>
      </c>
      <c r="L93" s="228">
        <f>'Pseudo-load coefficients'!L283</f>
        <v>1.0076480263824628</v>
      </c>
      <c r="M93" s="228">
        <f>'Pseudo-load coefficients'!M283</f>
        <v>1.0076480263824628</v>
      </c>
      <c r="N93" s="228">
        <f>'Pseudo-load coefficients'!N283</f>
        <v>0.85103496605263362</v>
      </c>
      <c r="O93" s="228">
        <f>'Pseudo-load coefficients'!O283</f>
        <v>0.74590071131105018</v>
      </c>
      <c r="P93" s="228">
        <f>'Pseudo-load coefficients'!P283</f>
        <v>0.74575478287542285</v>
      </c>
      <c r="Q93" s="228">
        <f>'Pseudo-load coefficients'!Q283</f>
        <v>0.81855783299625506</v>
      </c>
      <c r="R93" s="228">
        <f>'Pseudo-load coefficients'!R283</f>
        <v>0.65665643242621285</v>
      </c>
      <c r="S93" s="228">
        <f>'Pseudo-load coefficients'!S283</f>
        <v>0.65665643242621285</v>
      </c>
      <c r="T93" s="228">
        <f>'Pseudo-load coefficients'!T283</f>
        <v>0.65665643242621285</v>
      </c>
      <c r="U93" s="228">
        <f>'Pseudo-load coefficients'!U283</f>
        <v>0.65665643242621285</v>
      </c>
      <c r="V93" s="228">
        <f>'Pseudo-load coefficients'!V283</f>
        <v>0.65665643242621285</v>
      </c>
      <c r="W93" s="228">
        <f>'Pseudo-load coefficients'!W283</f>
        <v>0.65665643242621285</v>
      </c>
      <c r="X93" s="228">
        <f>'Pseudo-load coefficients'!X283</f>
        <v>0.65665643242621285</v>
      </c>
      <c r="Y93" s="228">
        <f>'Pseudo-load coefficients'!Y283</f>
        <v>0.65665643242621285</v>
      </c>
      <c r="AQ93" s="19"/>
    </row>
    <row r="94" spans="5:43" x14ac:dyDescent="0.25">
      <c r="E94" s="52"/>
      <c r="F94" t="s">
        <v>44</v>
      </c>
      <c r="G94" t="s">
        <v>427</v>
      </c>
      <c r="J94" s="229">
        <f>'Pseudo-load coefficients'!J284</f>
        <v>0</v>
      </c>
      <c r="K94" s="229">
        <f>'Pseudo-load coefficients'!K284</f>
        <v>0</v>
      </c>
      <c r="L94" s="229">
        <f>'Pseudo-load coefficients'!L284</f>
        <v>0</v>
      </c>
      <c r="M94" s="229">
        <f>'Pseudo-load coefficients'!M284</f>
        <v>0</v>
      </c>
      <c r="N94" s="229">
        <f>'Pseudo-load coefficients'!N284</f>
        <v>0</v>
      </c>
      <c r="O94" s="229">
        <f>'Pseudo-load coefficients'!O284</f>
        <v>0</v>
      </c>
      <c r="P94" s="229">
        <f>'Pseudo-load coefficients'!P284</f>
        <v>0</v>
      </c>
      <c r="Q94" s="229">
        <f>'Pseudo-load coefficients'!Q284</f>
        <v>0</v>
      </c>
      <c r="R94" s="229">
        <f>'Pseudo-load coefficients'!R284</f>
        <v>0</v>
      </c>
      <c r="S94" s="229">
        <f>'Pseudo-load coefficients'!S284</f>
        <v>0</v>
      </c>
      <c r="T94" s="229">
        <f>'Pseudo-load coefficients'!T284</f>
        <v>0</v>
      </c>
      <c r="U94" s="229">
        <f>'Pseudo-load coefficients'!U284</f>
        <v>0</v>
      </c>
      <c r="V94" s="229">
        <f>'Pseudo-load coefficients'!V284</f>
        <v>0</v>
      </c>
      <c r="W94" s="229">
        <f>'Pseudo-load coefficients'!W284</f>
        <v>0</v>
      </c>
      <c r="X94" s="229">
        <f>'Pseudo-load coefficients'!X284</f>
        <v>0</v>
      </c>
      <c r="Y94" s="229">
        <f>'Pseudo-load coefficients'!Y284</f>
        <v>0</v>
      </c>
      <c r="AQ94" s="19"/>
    </row>
    <row r="95" spans="5:43" x14ac:dyDescent="0.25">
      <c r="E95" s="52"/>
      <c r="F95" t="s">
        <v>45</v>
      </c>
      <c r="G95" t="s">
        <v>427</v>
      </c>
      <c r="J95" s="229">
        <f>'Pseudo-load coefficients'!J285</f>
        <v>0</v>
      </c>
      <c r="K95" s="229">
        <f>'Pseudo-load coefficients'!K285</f>
        <v>0</v>
      </c>
      <c r="L95" s="229">
        <f>'Pseudo-load coefficients'!L285</f>
        <v>0</v>
      </c>
      <c r="M95" s="229">
        <f>'Pseudo-load coefficients'!M285</f>
        <v>0</v>
      </c>
      <c r="N95" s="229">
        <f>'Pseudo-load coefficients'!N285</f>
        <v>0</v>
      </c>
      <c r="O95" s="229">
        <f>'Pseudo-load coefficients'!O285</f>
        <v>0</v>
      </c>
      <c r="P95" s="229">
        <f>'Pseudo-load coefficients'!P285</f>
        <v>0</v>
      </c>
      <c r="Q95" s="229">
        <f>'Pseudo-load coefficients'!Q285</f>
        <v>0</v>
      </c>
      <c r="R95" s="229">
        <f>'Pseudo-load coefficients'!R285</f>
        <v>0</v>
      </c>
      <c r="S95" s="229">
        <f>'Pseudo-load coefficients'!S285</f>
        <v>0</v>
      </c>
      <c r="T95" s="229">
        <f>'Pseudo-load coefficients'!T285</f>
        <v>0</v>
      </c>
      <c r="U95" s="229">
        <f>'Pseudo-load coefficients'!U285</f>
        <v>0</v>
      </c>
      <c r="V95" s="229">
        <f>'Pseudo-load coefficients'!V285</f>
        <v>0</v>
      </c>
      <c r="W95" s="229">
        <f>'Pseudo-load coefficients'!W285</f>
        <v>0</v>
      </c>
      <c r="X95" s="229">
        <f>'Pseudo-load coefficients'!X285</f>
        <v>0</v>
      </c>
      <c r="Y95" s="229">
        <f>'Pseudo-load coefficients'!Y285</f>
        <v>0</v>
      </c>
      <c r="AQ95" s="19"/>
    </row>
    <row r="96" spans="5:43" x14ac:dyDescent="0.25">
      <c r="E96" s="52"/>
      <c r="F96" t="s">
        <v>46</v>
      </c>
      <c r="G96" t="s">
        <v>427</v>
      </c>
      <c r="J96" s="229">
        <f>'Pseudo-load coefficients'!J286</f>
        <v>0.8348510664390576</v>
      </c>
      <c r="K96" s="229">
        <f>'Pseudo-load coefficients'!K286</f>
        <v>0.8348510664390576</v>
      </c>
      <c r="L96" s="229">
        <f>'Pseudo-load coefficients'!L286</f>
        <v>1.0076480263824628</v>
      </c>
      <c r="M96" s="229">
        <f>'Pseudo-load coefficients'!M286</f>
        <v>1.0076480263824628</v>
      </c>
      <c r="N96" s="229">
        <f>'Pseudo-load coefficients'!N286</f>
        <v>0.85103496605263362</v>
      </c>
      <c r="O96" s="229">
        <f>'Pseudo-load coefficients'!O286</f>
        <v>0.74590071131105018</v>
      </c>
      <c r="P96" s="229">
        <f>'Pseudo-load coefficients'!P286</f>
        <v>0.74575478287542285</v>
      </c>
      <c r="Q96" s="229">
        <f>'Pseudo-load coefficients'!Q286</f>
        <v>0.81855783299625506</v>
      </c>
      <c r="R96" s="229">
        <f>'Pseudo-load coefficients'!R286</f>
        <v>0.65665643242621285</v>
      </c>
      <c r="S96" s="229">
        <f>'Pseudo-load coefficients'!S286</f>
        <v>0.65665643242621285</v>
      </c>
      <c r="T96" s="229">
        <f>'Pseudo-load coefficients'!T286</f>
        <v>0.65665643242621285</v>
      </c>
      <c r="U96" s="229">
        <f>'Pseudo-load coefficients'!U286</f>
        <v>0.65665643242621285</v>
      </c>
      <c r="V96" s="229">
        <f>'Pseudo-load coefficients'!V286</f>
        <v>0.65665643242621285</v>
      </c>
      <c r="W96" s="229">
        <f>'Pseudo-load coefficients'!W286</f>
        <v>0.65665643242621285</v>
      </c>
      <c r="X96" s="229">
        <f>'Pseudo-load coefficients'!X286</f>
        <v>0.65665643242621285</v>
      </c>
      <c r="Y96" s="229">
        <f>'Pseudo-load coefficients'!Y286</f>
        <v>0.65665643242621285</v>
      </c>
      <c r="AQ96" s="19"/>
    </row>
    <row r="97" spans="5:43" x14ac:dyDescent="0.25">
      <c r="E97" s="52"/>
      <c r="F97" t="s">
        <v>47</v>
      </c>
      <c r="G97" t="s">
        <v>427</v>
      </c>
      <c r="J97" s="229">
        <f>'Pseudo-load coefficients'!J287</f>
        <v>1.2839290674865163</v>
      </c>
      <c r="K97" s="229">
        <f>'Pseudo-load coefficients'!K287</f>
        <v>1.2839290674865163</v>
      </c>
      <c r="L97" s="229">
        <f>'Pseudo-load coefficients'!L287</f>
        <v>1.5496759157129312</v>
      </c>
      <c r="M97" s="229">
        <f>'Pseudo-load coefficients'!M287</f>
        <v>1.5496759157129312</v>
      </c>
      <c r="N97" s="229">
        <f>'Pseudo-load coefficients'!N287</f>
        <v>1.3088185118131359</v>
      </c>
      <c r="O97" s="229">
        <f>'Pseudo-load coefficients'!O287</f>
        <v>1.1471310790749703</v>
      </c>
      <c r="P97" s="229">
        <f>'Pseudo-load coefficients'!P287</f>
        <v>1.1469066537040189</v>
      </c>
      <c r="Q97" s="229">
        <f>'Pseudo-load coefficients'!Q287</f>
        <v>1.0661844150646287</v>
      </c>
      <c r="R97" s="229">
        <f>'Pseudo-load coefficients'!R287</f>
        <v>1.0098810612294458</v>
      </c>
      <c r="S97" s="229">
        <f>'Pseudo-load coefficients'!S287</f>
        <v>1.0098810612294458</v>
      </c>
      <c r="T97" s="229">
        <f>'Pseudo-load coefficients'!T287</f>
        <v>1.0098810612294458</v>
      </c>
      <c r="U97" s="229">
        <f>'Pseudo-load coefficients'!U287</f>
        <v>1.0098810612294458</v>
      </c>
      <c r="V97" s="229">
        <f>'Pseudo-load coefficients'!V287</f>
        <v>1.0098810612294458</v>
      </c>
      <c r="W97" s="229">
        <f>'Pseudo-load coefficients'!W287</f>
        <v>1.0098810612294458</v>
      </c>
      <c r="X97" s="229">
        <f>'Pseudo-load coefficients'!X287</f>
        <v>1.0098810612294458</v>
      </c>
      <c r="Y97" s="229">
        <f>'Pseudo-load coefficients'!Y287</f>
        <v>1.0098810612294458</v>
      </c>
      <c r="AQ97" s="19"/>
    </row>
    <row r="98" spans="5:43" x14ac:dyDescent="0.25">
      <c r="E98" s="52"/>
      <c r="F98" t="s">
        <v>51</v>
      </c>
      <c r="G98" t="s">
        <v>427</v>
      </c>
      <c r="J98" s="229">
        <f>'Pseudo-load coefficients'!J288</f>
        <v>0</v>
      </c>
      <c r="K98" s="229">
        <f>'Pseudo-load coefficients'!K288</f>
        <v>0</v>
      </c>
      <c r="L98" s="229">
        <f>'Pseudo-load coefficients'!L288</f>
        <v>0</v>
      </c>
      <c r="M98" s="229">
        <f>'Pseudo-load coefficients'!M288</f>
        <v>0</v>
      </c>
      <c r="N98" s="229">
        <f>'Pseudo-load coefficients'!N288</f>
        <v>0</v>
      </c>
      <c r="O98" s="229">
        <f>'Pseudo-load coefficients'!O288</f>
        <v>0</v>
      </c>
      <c r="P98" s="229">
        <f>'Pseudo-load coefficients'!P288</f>
        <v>0</v>
      </c>
      <c r="Q98" s="229">
        <f>'Pseudo-load coefficients'!Q288</f>
        <v>0</v>
      </c>
      <c r="R98" s="229">
        <f>'Pseudo-load coefficients'!R288</f>
        <v>0</v>
      </c>
      <c r="S98" s="229">
        <f>'Pseudo-load coefficients'!S288</f>
        <v>0</v>
      </c>
      <c r="T98" s="229">
        <f>'Pseudo-load coefficients'!T288</f>
        <v>0</v>
      </c>
      <c r="U98" s="229">
        <f>'Pseudo-load coefficients'!U288</f>
        <v>0</v>
      </c>
      <c r="V98" s="229">
        <f>'Pseudo-load coefficients'!V288</f>
        <v>0</v>
      </c>
      <c r="W98" s="229">
        <f>'Pseudo-load coefficients'!W288</f>
        <v>0</v>
      </c>
      <c r="X98" s="229">
        <f>'Pseudo-load coefficients'!X288</f>
        <v>0</v>
      </c>
      <c r="Y98" s="229">
        <f>'Pseudo-load coefficients'!Y288</f>
        <v>0</v>
      </c>
      <c r="AQ98" s="19"/>
    </row>
    <row r="99" spans="5:43" x14ac:dyDescent="0.25">
      <c r="E99" s="52"/>
      <c r="F99" t="s">
        <v>48</v>
      </c>
      <c r="G99" t="s">
        <v>427</v>
      </c>
      <c r="J99" s="229">
        <f>'Pseudo-load coefficients'!J289</f>
        <v>1.2839290674865163</v>
      </c>
      <c r="K99" s="229">
        <f>'Pseudo-load coefficients'!K289</f>
        <v>1.2839290674865163</v>
      </c>
      <c r="L99" s="229">
        <f>'Pseudo-load coefficients'!L289</f>
        <v>1.5496759157129312</v>
      </c>
      <c r="M99" s="229">
        <f>'Pseudo-load coefficients'!M289</f>
        <v>1.5496759157129312</v>
      </c>
      <c r="N99" s="229">
        <f>'Pseudo-load coefficients'!N289</f>
        <v>1.3088185118131359</v>
      </c>
      <c r="O99" s="229">
        <f>'Pseudo-load coefficients'!O289</f>
        <v>1.1471310790749703</v>
      </c>
      <c r="P99" s="229">
        <f>'Pseudo-load coefficients'!P289</f>
        <v>1.1469066537040189</v>
      </c>
      <c r="Q99" s="229">
        <f>'Pseudo-load coefficients'!Q289</f>
        <v>1.0661844150646287</v>
      </c>
      <c r="R99" s="229">
        <f>'Pseudo-load coefficients'!R289</f>
        <v>1.0098810612294458</v>
      </c>
      <c r="S99" s="229">
        <f>'Pseudo-load coefficients'!S289</f>
        <v>1.0098810612294458</v>
      </c>
      <c r="T99" s="229">
        <f>'Pseudo-load coefficients'!T289</f>
        <v>1.0098810612294458</v>
      </c>
      <c r="U99" s="229">
        <f>'Pseudo-load coefficients'!U289</f>
        <v>1.0098810612294458</v>
      </c>
      <c r="V99" s="229">
        <f>'Pseudo-load coefficients'!V289</f>
        <v>1.0098810612294458</v>
      </c>
      <c r="W99" s="229">
        <f>'Pseudo-load coefficients'!W289</f>
        <v>1.0098810612294458</v>
      </c>
      <c r="X99" s="229">
        <f>'Pseudo-load coefficients'!X289</f>
        <v>1.0098810612294458</v>
      </c>
      <c r="Y99" s="229">
        <f>'Pseudo-load coefficients'!Y289</f>
        <v>1.0098810612294458</v>
      </c>
      <c r="AQ99" s="19"/>
    </row>
    <row r="100" spans="5:43" x14ac:dyDescent="0.25">
      <c r="E100" s="52"/>
      <c r="F100" t="s">
        <v>49</v>
      </c>
      <c r="G100" t="s">
        <v>427</v>
      </c>
      <c r="J100" s="229">
        <f>'Pseudo-load coefficients'!J290</f>
        <v>1.2839290674865163</v>
      </c>
      <c r="K100" s="229">
        <f>'Pseudo-load coefficients'!K290</f>
        <v>1.2839290674865163</v>
      </c>
      <c r="L100" s="229">
        <f>'Pseudo-load coefficients'!L290</f>
        <v>1.5496759157129312</v>
      </c>
      <c r="M100" s="229">
        <f>'Pseudo-load coefficients'!M290</f>
        <v>1.5496759157129312</v>
      </c>
      <c r="N100" s="229">
        <f>'Pseudo-load coefficients'!N290</f>
        <v>1.3088185118131359</v>
      </c>
      <c r="O100" s="229">
        <f>'Pseudo-load coefficients'!O290</f>
        <v>1.1471310790749703</v>
      </c>
      <c r="P100" s="229">
        <f>'Pseudo-load coefficients'!P290</f>
        <v>1.1469066537040189</v>
      </c>
      <c r="Q100" s="229">
        <f>'Pseudo-load coefficients'!Q290</f>
        <v>1.0661844150646287</v>
      </c>
      <c r="R100" s="229">
        <f>'Pseudo-load coefficients'!R290</f>
        <v>1.0098810612294458</v>
      </c>
      <c r="S100" s="229">
        <f>'Pseudo-load coefficients'!S290</f>
        <v>1.0098810612294458</v>
      </c>
      <c r="T100" s="229">
        <f>'Pseudo-load coefficients'!T290</f>
        <v>1.0098810612294458</v>
      </c>
      <c r="U100" s="229">
        <f>'Pseudo-load coefficients'!U290</f>
        <v>1.0098810612294458</v>
      </c>
      <c r="V100" s="229">
        <f>'Pseudo-load coefficients'!V290</f>
        <v>1.0098810612294458</v>
      </c>
      <c r="W100" s="229">
        <f>'Pseudo-load coefficients'!W290</f>
        <v>1.0098810612294458</v>
      </c>
      <c r="X100" s="229">
        <f>'Pseudo-load coefficients'!X290</f>
        <v>1.0098810612294458</v>
      </c>
      <c r="Y100" s="229">
        <f>'Pseudo-load coefficients'!Y290</f>
        <v>1.0098810612294458</v>
      </c>
      <c r="AQ100" s="19"/>
    </row>
    <row r="101" spans="5:43" x14ac:dyDescent="0.25">
      <c r="E101" s="52"/>
      <c r="F101" s="17" t="s">
        <v>50</v>
      </c>
      <c r="G101" s="17" t="s">
        <v>427</v>
      </c>
      <c r="H101" s="17"/>
      <c r="I101" s="17"/>
      <c r="J101" s="230">
        <f>'Pseudo-load coefficients'!J291</f>
        <v>1.2839290674865163</v>
      </c>
      <c r="K101" s="230">
        <f>'Pseudo-load coefficients'!K291</f>
        <v>1.2839290674865163</v>
      </c>
      <c r="L101" s="230">
        <f>'Pseudo-load coefficients'!L291</f>
        <v>1.5496759157129312</v>
      </c>
      <c r="M101" s="230">
        <f>'Pseudo-load coefficients'!M291</f>
        <v>1.5496759157129312</v>
      </c>
      <c r="N101" s="230">
        <f>'Pseudo-load coefficients'!N291</f>
        <v>1.3088185118131359</v>
      </c>
      <c r="O101" s="230">
        <f>'Pseudo-load coefficients'!O291</f>
        <v>1.1471310790749703</v>
      </c>
      <c r="P101" s="230">
        <f>'Pseudo-load coefficients'!P291</f>
        <v>1.1469066537040189</v>
      </c>
      <c r="Q101" s="230">
        <f>'Pseudo-load coefficients'!Q291</f>
        <v>1.0661844150646287</v>
      </c>
      <c r="R101" s="230">
        <f>'Pseudo-load coefficients'!R291</f>
        <v>1.0098810612294458</v>
      </c>
      <c r="S101" s="230">
        <f>'Pseudo-load coefficients'!S291</f>
        <v>1.0098810612294458</v>
      </c>
      <c r="T101" s="230">
        <f>'Pseudo-load coefficients'!T291</f>
        <v>1.0098810612294458</v>
      </c>
      <c r="U101" s="230">
        <f>'Pseudo-load coefficients'!U291</f>
        <v>1.0098810612294458</v>
      </c>
      <c r="V101" s="230">
        <f>'Pseudo-load coefficients'!V291</f>
        <v>1.0098810612294458</v>
      </c>
      <c r="W101" s="230">
        <f>'Pseudo-load coefficients'!W291</f>
        <v>1.0098810612294458</v>
      </c>
      <c r="X101" s="230">
        <f>'Pseudo-load coefficients'!X291</f>
        <v>1.0098810612294458</v>
      </c>
      <c r="Y101" s="230">
        <f>'Pseudo-load coefficients'!Y291</f>
        <v>1.0098810612294458</v>
      </c>
      <c r="AQ101" s="19"/>
    </row>
    <row r="102" spans="5:43" x14ac:dyDescent="0.25">
      <c r="E102" s="52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AQ102" s="19"/>
    </row>
    <row r="103" spans="5:43" x14ac:dyDescent="0.25">
      <c r="E103" s="52" t="s">
        <v>524</v>
      </c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AQ103" s="19"/>
    </row>
    <row r="104" spans="5:43" x14ac:dyDescent="0.25">
      <c r="E104" s="73" t="s">
        <v>348</v>
      </c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AQ104" s="19"/>
    </row>
    <row r="105" spans="5:43" x14ac:dyDescent="0.25">
      <c r="E105" s="52"/>
      <c r="F105" s="80" t="s">
        <v>43</v>
      </c>
      <c r="G105" s="80" t="s">
        <v>102</v>
      </c>
      <c r="H105" s="80"/>
      <c r="I105" s="80"/>
      <c r="J105" s="223">
        <f t="shared" ref="J105:Y105" si="10">J$57 * J34 * J93 / hours_in_year / $H45</f>
        <v>259.26763530017627</v>
      </c>
      <c r="K105" s="223">
        <f t="shared" si="10"/>
        <v>1.872558644875699</v>
      </c>
      <c r="L105" s="223">
        <f t="shared" si="10"/>
        <v>129.84561567934529</v>
      </c>
      <c r="M105" s="223">
        <f t="shared" si="10"/>
        <v>1.1277479760216709</v>
      </c>
      <c r="N105" s="223">
        <f t="shared" si="10"/>
        <v>126.76161493280797</v>
      </c>
      <c r="O105" s="223">
        <f t="shared" si="10"/>
        <v>11.043253915903298</v>
      </c>
      <c r="P105" s="223">
        <f t="shared" si="10"/>
        <v>119.56547678777068</v>
      </c>
      <c r="Q105" s="223">
        <f t="shared" si="10"/>
        <v>6.6812181422675891</v>
      </c>
      <c r="R105" s="223">
        <f t="shared" si="10"/>
        <v>-0.71582796643531976</v>
      </c>
      <c r="S105" s="223">
        <f t="shared" si="10"/>
        <v>-6.0950499241350879E-3</v>
      </c>
      <c r="T105" s="223">
        <f t="shared" si="10"/>
        <v>-2.1916152751894966</v>
      </c>
      <c r="U105" s="223">
        <f t="shared" si="10"/>
        <v>0</v>
      </c>
      <c r="V105" s="223">
        <f t="shared" si="10"/>
        <v>-2.4454389279993483E-2</v>
      </c>
      <c r="W105" s="223">
        <f t="shared" si="10"/>
        <v>0</v>
      </c>
      <c r="X105" s="223">
        <f t="shared" si="10"/>
        <v>-32.951790620637311</v>
      </c>
      <c r="Y105" s="223">
        <f t="shared" si="10"/>
        <v>0</v>
      </c>
      <c r="AQ105" s="19"/>
    </row>
    <row r="106" spans="5:43" x14ac:dyDescent="0.25">
      <c r="E106" s="52"/>
      <c r="F106" t="s">
        <v>44</v>
      </c>
      <c r="G106" t="s">
        <v>102</v>
      </c>
      <c r="J106" s="211">
        <f t="shared" ref="J106:Y106" si="11">J$57 * J35 * J94 / hours_in_year / $H46</f>
        <v>0</v>
      </c>
      <c r="K106" s="211">
        <f t="shared" si="11"/>
        <v>0</v>
      </c>
      <c r="L106" s="211">
        <f t="shared" si="11"/>
        <v>0</v>
      </c>
      <c r="M106" s="211">
        <f t="shared" si="11"/>
        <v>0</v>
      </c>
      <c r="N106" s="211">
        <f t="shared" si="11"/>
        <v>0</v>
      </c>
      <c r="O106" s="211">
        <f t="shared" si="11"/>
        <v>0</v>
      </c>
      <c r="P106" s="211">
        <f t="shared" si="11"/>
        <v>0</v>
      </c>
      <c r="Q106" s="211">
        <f t="shared" si="11"/>
        <v>0</v>
      </c>
      <c r="R106" s="211">
        <f t="shared" si="11"/>
        <v>0</v>
      </c>
      <c r="S106" s="211">
        <f t="shared" si="11"/>
        <v>0</v>
      </c>
      <c r="T106" s="211">
        <f t="shared" si="11"/>
        <v>0</v>
      </c>
      <c r="U106" s="211">
        <f t="shared" si="11"/>
        <v>0</v>
      </c>
      <c r="V106" s="211">
        <f t="shared" si="11"/>
        <v>0</v>
      </c>
      <c r="W106" s="211">
        <f t="shared" si="11"/>
        <v>0</v>
      </c>
      <c r="X106" s="211">
        <f t="shared" si="11"/>
        <v>0</v>
      </c>
      <c r="Y106" s="211">
        <f t="shared" si="11"/>
        <v>0</v>
      </c>
      <c r="AQ106" s="19"/>
    </row>
    <row r="107" spans="5:43" x14ac:dyDescent="0.25">
      <c r="E107" s="52"/>
      <c r="F107" t="s">
        <v>45</v>
      </c>
      <c r="G107" t="s">
        <v>102</v>
      </c>
      <c r="J107" s="211">
        <f t="shared" ref="J107:Y107" si="12">J$57 * J36 * J95 / hours_in_year / $H47</f>
        <v>0</v>
      </c>
      <c r="K107" s="211">
        <f t="shared" si="12"/>
        <v>0</v>
      </c>
      <c r="L107" s="211">
        <f t="shared" si="12"/>
        <v>0</v>
      </c>
      <c r="M107" s="211">
        <f t="shared" si="12"/>
        <v>0</v>
      </c>
      <c r="N107" s="211">
        <f t="shared" si="12"/>
        <v>0</v>
      </c>
      <c r="O107" s="211">
        <f t="shared" si="12"/>
        <v>0</v>
      </c>
      <c r="P107" s="211">
        <f t="shared" si="12"/>
        <v>0</v>
      </c>
      <c r="Q107" s="211">
        <f t="shared" si="12"/>
        <v>0</v>
      </c>
      <c r="R107" s="211">
        <f t="shared" si="12"/>
        <v>0</v>
      </c>
      <c r="S107" s="211">
        <f t="shared" si="12"/>
        <v>0</v>
      </c>
      <c r="T107" s="211">
        <f t="shared" si="12"/>
        <v>0</v>
      </c>
      <c r="U107" s="211">
        <f t="shared" si="12"/>
        <v>0</v>
      </c>
      <c r="V107" s="211">
        <f t="shared" si="12"/>
        <v>0</v>
      </c>
      <c r="W107" s="211">
        <f t="shared" si="12"/>
        <v>0</v>
      </c>
      <c r="X107" s="211">
        <f t="shared" si="12"/>
        <v>0</v>
      </c>
      <c r="Y107" s="211">
        <f t="shared" si="12"/>
        <v>0</v>
      </c>
      <c r="AQ107" s="19"/>
    </row>
    <row r="108" spans="5:43" x14ac:dyDescent="0.25">
      <c r="E108" s="52"/>
      <c r="F108" t="s">
        <v>46</v>
      </c>
      <c r="G108" t="s">
        <v>102</v>
      </c>
      <c r="J108" s="211">
        <f t="shared" ref="J108:Y108" si="13">J$57 * J37 * J96 / hours_in_year / $H48</f>
        <v>258.75013503011604</v>
      </c>
      <c r="K108" s="211">
        <f t="shared" si="13"/>
        <v>1.868821002869959</v>
      </c>
      <c r="L108" s="211">
        <f t="shared" si="13"/>
        <v>129.58644279375778</v>
      </c>
      <c r="M108" s="211">
        <f t="shared" si="13"/>
        <v>1.1254969820575558</v>
      </c>
      <c r="N108" s="211">
        <f t="shared" si="13"/>
        <v>126.5085977373333</v>
      </c>
      <c r="O108" s="211">
        <f t="shared" si="13"/>
        <v>11.021211492917462</v>
      </c>
      <c r="P108" s="211">
        <f t="shared" si="13"/>
        <v>119.32682314148771</v>
      </c>
      <c r="Q108" s="211">
        <f t="shared" si="13"/>
        <v>6.667882377512564</v>
      </c>
      <c r="R108" s="211">
        <f t="shared" si="13"/>
        <v>-0.71439916809912152</v>
      </c>
      <c r="S108" s="211">
        <f t="shared" si="13"/>
        <v>-6.0828841558234412E-3</v>
      </c>
      <c r="T108" s="211">
        <f t="shared" si="13"/>
        <v>-2.187240793602292</v>
      </c>
      <c r="U108" s="211">
        <f t="shared" si="13"/>
        <v>0</v>
      </c>
      <c r="V108" s="211">
        <f t="shared" si="13"/>
        <v>-2.440557812374599E-2</v>
      </c>
      <c r="W108" s="211">
        <f t="shared" si="13"/>
        <v>0</v>
      </c>
      <c r="X108" s="211">
        <f t="shared" si="13"/>
        <v>-32.886018583470367</v>
      </c>
      <c r="Y108" s="211">
        <f t="shared" si="13"/>
        <v>0</v>
      </c>
      <c r="AQ108" s="19"/>
    </row>
    <row r="109" spans="5:43" x14ac:dyDescent="0.25">
      <c r="E109" s="52"/>
      <c r="F109" t="s">
        <v>47</v>
      </c>
      <c r="G109" t="s">
        <v>102</v>
      </c>
      <c r="J109" s="211">
        <f t="shared" ref="J109:Y109" si="14">J$57 * J38 * J97 / hours_in_year / $H49</f>
        <v>393.61431651187127</v>
      </c>
      <c r="K109" s="211">
        <f t="shared" si="14"/>
        <v>2.8428765907390647</v>
      </c>
      <c r="L109" s="211">
        <f t="shared" si="14"/>
        <v>197.12870527983662</v>
      </c>
      <c r="M109" s="211">
        <f t="shared" si="14"/>
        <v>1.7121217164860465</v>
      </c>
      <c r="N109" s="211">
        <f t="shared" si="14"/>
        <v>192.44664442575069</v>
      </c>
      <c r="O109" s="211">
        <f t="shared" si="14"/>
        <v>16.765620734507344</v>
      </c>
      <c r="P109" s="211">
        <f t="shared" si="14"/>
        <v>181.52162868206005</v>
      </c>
      <c r="Q109" s="211">
        <f t="shared" si="14"/>
        <v>8.5907121550120351</v>
      </c>
      <c r="R109" s="211">
        <f t="shared" si="14"/>
        <v>-1.0867539846317624</v>
      </c>
      <c r="S109" s="211">
        <f t="shared" si="14"/>
        <v>-9.2533682702683803E-3</v>
      </c>
      <c r="T109" s="211">
        <f t="shared" si="14"/>
        <v>-3.3272612202519056</v>
      </c>
      <c r="U109" s="211">
        <f t="shared" si="14"/>
        <v>0</v>
      </c>
      <c r="V109" s="211">
        <f t="shared" si="14"/>
        <v>-3.7126106044880959E-2</v>
      </c>
      <c r="W109" s="211">
        <f t="shared" si="14"/>
        <v>0</v>
      </c>
      <c r="X109" s="211">
        <f t="shared" si="14"/>
        <v>-50.026670424820388</v>
      </c>
      <c r="Y109" s="211">
        <f t="shared" si="14"/>
        <v>0</v>
      </c>
      <c r="AQ109" s="19"/>
    </row>
    <row r="110" spans="5:43" x14ac:dyDescent="0.25">
      <c r="E110" s="52"/>
      <c r="F110" t="s">
        <v>51</v>
      </c>
      <c r="G110" t="s">
        <v>102</v>
      </c>
      <c r="J110" s="211">
        <f t="shared" ref="J110:Y110" si="15">J$57 * J39 * J98 / hours_in_year / $H50</f>
        <v>0</v>
      </c>
      <c r="K110" s="211">
        <f t="shared" si="15"/>
        <v>0</v>
      </c>
      <c r="L110" s="211">
        <f t="shared" si="15"/>
        <v>0</v>
      </c>
      <c r="M110" s="211">
        <f t="shared" si="15"/>
        <v>0</v>
      </c>
      <c r="N110" s="211">
        <f t="shared" si="15"/>
        <v>0</v>
      </c>
      <c r="O110" s="211">
        <f t="shared" si="15"/>
        <v>0</v>
      </c>
      <c r="P110" s="211">
        <f t="shared" si="15"/>
        <v>0</v>
      </c>
      <c r="Q110" s="211">
        <f t="shared" si="15"/>
        <v>0</v>
      </c>
      <c r="R110" s="211">
        <f t="shared" si="15"/>
        <v>0</v>
      </c>
      <c r="S110" s="211">
        <f t="shared" si="15"/>
        <v>0</v>
      </c>
      <c r="T110" s="211">
        <f t="shared" si="15"/>
        <v>0</v>
      </c>
      <c r="U110" s="211">
        <f t="shared" si="15"/>
        <v>0</v>
      </c>
      <c r="V110" s="211">
        <f t="shared" si="15"/>
        <v>0</v>
      </c>
      <c r="W110" s="211">
        <f t="shared" si="15"/>
        <v>0</v>
      </c>
      <c r="X110" s="211">
        <f t="shared" si="15"/>
        <v>0</v>
      </c>
      <c r="Y110" s="211">
        <f t="shared" si="15"/>
        <v>0</v>
      </c>
      <c r="AQ110" s="19"/>
    </row>
    <row r="111" spans="5:43" x14ac:dyDescent="0.25">
      <c r="E111" s="52"/>
      <c r="F111" t="s">
        <v>48</v>
      </c>
      <c r="G111" t="s">
        <v>102</v>
      </c>
      <c r="J111" s="211">
        <f t="shared" ref="J111:Y111" si="16">J$57 * J40 * J99 / hours_in_year / $H51</f>
        <v>389.38603772121638</v>
      </c>
      <c r="K111" s="211">
        <f t="shared" si="16"/>
        <v>2.8123378773619843</v>
      </c>
      <c r="L111" s="211">
        <f t="shared" si="16"/>
        <v>195.01111176608833</v>
      </c>
      <c r="M111" s="211">
        <f t="shared" si="16"/>
        <v>1.6937297839847314</v>
      </c>
      <c r="N111" s="211">
        <f t="shared" si="16"/>
        <v>190.37934648758343</v>
      </c>
      <c r="O111" s="211">
        <f t="shared" si="16"/>
        <v>16.585521293023376</v>
      </c>
      <c r="P111" s="211">
        <f t="shared" si="16"/>
        <v>179.57168931145199</v>
      </c>
      <c r="Q111" s="211">
        <f t="shared" si="16"/>
        <v>8.4984291142843666</v>
      </c>
      <c r="R111" s="211">
        <f t="shared" si="16"/>
        <v>-1.0750798695624759</v>
      </c>
      <c r="S111" s="211">
        <f t="shared" si="16"/>
        <v>-9.1539668533026052E-3</v>
      </c>
      <c r="T111" s="211">
        <f t="shared" si="16"/>
        <v>-3.2915191563624804</v>
      </c>
      <c r="U111" s="211">
        <f t="shared" si="16"/>
        <v>0</v>
      </c>
      <c r="V111" s="211">
        <f t="shared" si="16"/>
        <v>-3.6727290452601959E-2</v>
      </c>
      <c r="W111" s="211">
        <f t="shared" si="16"/>
        <v>0</v>
      </c>
      <c r="X111" s="211">
        <f t="shared" si="16"/>
        <v>0</v>
      </c>
      <c r="Y111" s="211">
        <f t="shared" si="16"/>
        <v>0</v>
      </c>
      <c r="AQ111" s="19"/>
    </row>
    <row r="112" spans="5:43" x14ac:dyDescent="0.25">
      <c r="E112" s="52"/>
      <c r="F112" t="s">
        <v>49</v>
      </c>
      <c r="G112" t="s">
        <v>102</v>
      </c>
      <c r="J112" s="211">
        <f t="shared" ref="J112:Y112" si="17">J$57 * J41 * J100 / hours_in_year / $H52</f>
        <v>381.9265350828789</v>
      </c>
      <c r="K112" s="211">
        <f t="shared" si="17"/>
        <v>2.7584616728148199</v>
      </c>
      <c r="L112" s="211">
        <f t="shared" si="17"/>
        <v>191.27526671309815</v>
      </c>
      <c r="M112" s="211">
        <f t="shared" si="17"/>
        <v>1.6612828532570545</v>
      </c>
      <c r="N112" s="211">
        <f t="shared" si="17"/>
        <v>186.73223257019677</v>
      </c>
      <c r="O112" s="211">
        <f t="shared" si="17"/>
        <v>16.267791000053577</v>
      </c>
      <c r="P112" s="211">
        <f t="shared" si="17"/>
        <v>0</v>
      </c>
      <c r="Q112" s="211">
        <f t="shared" si="17"/>
        <v>8.3356239588383065</v>
      </c>
      <c r="R112" s="211">
        <f t="shared" si="17"/>
        <v>-1.0544844697624285</v>
      </c>
      <c r="S112" s="211">
        <f t="shared" si="17"/>
        <v>0</v>
      </c>
      <c r="T112" s="211">
        <f t="shared" si="17"/>
        <v>-3.2284632338268007</v>
      </c>
      <c r="U112" s="211">
        <f t="shared" si="17"/>
        <v>0</v>
      </c>
      <c r="V112" s="211">
        <f t="shared" si="17"/>
        <v>0</v>
      </c>
      <c r="W112" s="211">
        <f t="shared" si="17"/>
        <v>0</v>
      </c>
      <c r="X112" s="211">
        <f t="shared" si="17"/>
        <v>0</v>
      </c>
      <c r="Y112" s="211">
        <f t="shared" si="17"/>
        <v>0</v>
      </c>
      <c r="AQ112" s="19"/>
    </row>
    <row r="113" spans="5:43" x14ac:dyDescent="0.25">
      <c r="E113" s="52"/>
      <c r="F113" s="17" t="s">
        <v>50</v>
      </c>
      <c r="G113" s="17" t="s">
        <v>102</v>
      </c>
      <c r="H113" s="17"/>
      <c r="I113" s="17"/>
      <c r="J113" s="220">
        <f t="shared" ref="J113:Y113" si="18">J$57 * J42 * J101 / hours_in_year / $H53</f>
        <v>360.84280780681047</v>
      </c>
      <c r="K113" s="220">
        <f t="shared" si="18"/>
        <v>2.6061846030938209</v>
      </c>
      <c r="L113" s="220">
        <f t="shared" si="18"/>
        <v>180.71617959137961</v>
      </c>
      <c r="M113" s="220">
        <f t="shared" si="18"/>
        <v>1.5695740260636788</v>
      </c>
      <c r="N113" s="220">
        <f t="shared" si="18"/>
        <v>176.42393737853885</v>
      </c>
      <c r="O113" s="220">
        <f t="shared" si="18"/>
        <v>0</v>
      </c>
      <c r="P113" s="220">
        <f t="shared" si="18"/>
        <v>0</v>
      </c>
      <c r="Q113" s="220">
        <f t="shared" si="18"/>
        <v>7.8754673421060559</v>
      </c>
      <c r="R113" s="220">
        <f t="shared" si="18"/>
        <v>0</v>
      </c>
      <c r="S113" s="220">
        <f t="shared" si="18"/>
        <v>0</v>
      </c>
      <c r="T113" s="220">
        <f t="shared" si="18"/>
        <v>0</v>
      </c>
      <c r="U113" s="220">
        <f t="shared" si="18"/>
        <v>0</v>
      </c>
      <c r="V113" s="220">
        <f t="shared" si="18"/>
        <v>0</v>
      </c>
      <c r="W113" s="220">
        <f t="shared" si="18"/>
        <v>0</v>
      </c>
      <c r="X113" s="220">
        <f t="shared" si="18"/>
        <v>0</v>
      </c>
      <c r="Y113" s="220">
        <f t="shared" si="18"/>
        <v>0</v>
      </c>
      <c r="AQ113" s="19"/>
    </row>
    <row r="114" spans="5:43" x14ac:dyDescent="0.25">
      <c r="E114" s="52"/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AQ114" s="19"/>
    </row>
    <row r="115" spans="5:43" x14ac:dyDescent="0.25">
      <c r="E115" s="52" t="s">
        <v>250</v>
      </c>
      <c r="J115" s="211"/>
      <c r="K115" s="211"/>
      <c r="L115" s="211"/>
      <c r="M115" s="211"/>
      <c r="N115" s="211"/>
      <c r="O115" s="211"/>
      <c r="P115" s="211"/>
      <c r="Q115" s="211"/>
      <c r="R115" s="211"/>
      <c r="S115" s="211"/>
      <c r="T115" s="211"/>
      <c r="U115" s="211"/>
      <c r="V115" s="211"/>
      <c r="W115" s="211"/>
      <c r="X115" s="211"/>
      <c r="Y115" s="211"/>
      <c r="AQ115" s="19"/>
    </row>
    <row r="116" spans="5:43" x14ac:dyDescent="0.25">
      <c r="E116" s="52"/>
      <c r="F116" s="80" t="s">
        <v>43</v>
      </c>
      <c r="G116" s="80" t="s">
        <v>427</v>
      </c>
      <c r="H116" s="80"/>
      <c r="I116" s="80"/>
      <c r="J116" s="228">
        <f>'Pseudo-load coefficients'!J294</f>
        <v>1.156375944596222E-2</v>
      </c>
      <c r="K116" s="228">
        <f>'Pseudo-load coefficients'!K294</f>
        <v>1.156375944596222E-2</v>
      </c>
      <c r="L116" s="228">
        <f>'Pseudo-load coefficients'!L294</f>
        <v>1.3957219259461745E-2</v>
      </c>
      <c r="M116" s="228">
        <f>'Pseudo-load coefficients'!M294</f>
        <v>1.3957219259461745E-2</v>
      </c>
      <c r="N116" s="228">
        <f>'Pseudo-load coefficients'!N294</f>
        <v>1.1787927240138064E-2</v>
      </c>
      <c r="O116" s="228">
        <f>'Pseudo-load coefficients'!O294</f>
        <v>1.0331682790996031E-2</v>
      </c>
      <c r="P116" s="228">
        <f>'Pseudo-load coefficients'!P294</f>
        <v>1.0329661494750801E-2</v>
      </c>
      <c r="Q116" s="228">
        <f>'Pseudo-load coefficients'!Q294</f>
        <v>1.0278624802745882E-2</v>
      </c>
      <c r="R116" s="228">
        <f>'Pseudo-load coefficients'!R294</f>
        <v>9.095534914519721E-3</v>
      </c>
      <c r="S116" s="228">
        <f>'Pseudo-load coefficients'!S294</f>
        <v>9.095534914519721E-3</v>
      </c>
      <c r="T116" s="228">
        <f>'Pseudo-load coefficients'!T294</f>
        <v>9.095534914519721E-3</v>
      </c>
      <c r="U116" s="228">
        <f>'Pseudo-load coefficients'!U294</f>
        <v>9.095534914519721E-3</v>
      </c>
      <c r="V116" s="228">
        <f>'Pseudo-load coefficients'!V294</f>
        <v>9.095534914519721E-3</v>
      </c>
      <c r="W116" s="228">
        <f>'Pseudo-load coefficients'!W294</f>
        <v>9.095534914519721E-3</v>
      </c>
      <c r="X116" s="228">
        <f>'Pseudo-load coefficients'!X294</f>
        <v>9.095534914519721E-3</v>
      </c>
      <c r="Y116" s="228">
        <f>'Pseudo-load coefficients'!Y294</f>
        <v>9.095534914519721E-3</v>
      </c>
      <c r="AQ116" s="19"/>
    </row>
    <row r="117" spans="5:43" x14ac:dyDescent="0.25">
      <c r="E117" s="52"/>
      <c r="F117" t="s">
        <v>44</v>
      </c>
      <c r="G117" t="s">
        <v>427</v>
      </c>
      <c r="J117" s="229">
        <f>'Pseudo-load coefficients'!J295</f>
        <v>0</v>
      </c>
      <c r="K117" s="229">
        <f>'Pseudo-load coefficients'!K295</f>
        <v>0</v>
      </c>
      <c r="L117" s="229">
        <f>'Pseudo-load coefficients'!L295</f>
        <v>0</v>
      </c>
      <c r="M117" s="229">
        <f>'Pseudo-load coefficients'!M295</f>
        <v>0</v>
      </c>
      <c r="N117" s="229">
        <f>'Pseudo-load coefficients'!N295</f>
        <v>0</v>
      </c>
      <c r="O117" s="229">
        <f>'Pseudo-load coefficients'!O295</f>
        <v>0</v>
      </c>
      <c r="P117" s="229">
        <f>'Pseudo-load coefficients'!P295</f>
        <v>0</v>
      </c>
      <c r="Q117" s="229">
        <f>'Pseudo-load coefficients'!Q295</f>
        <v>0</v>
      </c>
      <c r="R117" s="229">
        <f>'Pseudo-load coefficients'!R295</f>
        <v>0</v>
      </c>
      <c r="S117" s="229">
        <f>'Pseudo-load coefficients'!S295</f>
        <v>0</v>
      </c>
      <c r="T117" s="229">
        <f>'Pseudo-load coefficients'!T295</f>
        <v>0</v>
      </c>
      <c r="U117" s="229">
        <f>'Pseudo-load coefficients'!U295</f>
        <v>0</v>
      </c>
      <c r="V117" s="229">
        <f>'Pseudo-load coefficients'!V295</f>
        <v>0</v>
      </c>
      <c r="W117" s="229">
        <f>'Pseudo-load coefficients'!W295</f>
        <v>0</v>
      </c>
      <c r="X117" s="229">
        <f>'Pseudo-load coefficients'!X295</f>
        <v>0</v>
      </c>
      <c r="Y117" s="229">
        <f>'Pseudo-load coefficients'!Y295</f>
        <v>0</v>
      </c>
      <c r="AQ117" s="19"/>
    </row>
    <row r="118" spans="5:43" x14ac:dyDescent="0.25">
      <c r="E118" s="52"/>
      <c r="F118" t="s">
        <v>45</v>
      </c>
      <c r="G118" t="s">
        <v>427</v>
      </c>
      <c r="J118" s="229">
        <f>'Pseudo-load coefficients'!J296</f>
        <v>0</v>
      </c>
      <c r="K118" s="229">
        <f>'Pseudo-load coefficients'!K296</f>
        <v>0</v>
      </c>
      <c r="L118" s="229">
        <f>'Pseudo-load coefficients'!L296</f>
        <v>0</v>
      </c>
      <c r="M118" s="229">
        <f>'Pseudo-load coefficients'!M296</f>
        <v>0</v>
      </c>
      <c r="N118" s="229">
        <f>'Pseudo-load coefficients'!N296</f>
        <v>0</v>
      </c>
      <c r="O118" s="229">
        <f>'Pseudo-load coefficients'!O296</f>
        <v>0</v>
      </c>
      <c r="P118" s="229">
        <f>'Pseudo-load coefficients'!P296</f>
        <v>0</v>
      </c>
      <c r="Q118" s="229">
        <f>'Pseudo-load coefficients'!Q296</f>
        <v>0</v>
      </c>
      <c r="R118" s="229">
        <f>'Pseudo-load coefficients'!R296</f>
        <v>0</v>
      </c>
      <c r="S118" s="229">
        <f>'Pseudo-load coefficients'!S296</f>
        <v>0</v>
      </c>
      <c r="T118" s="229">
        <f>'Pseudo-load coefficients'!T296</f>
        <v>0</v>
      </c>
      <c r="U118" s="229">
        <f>'Pseudo-load coefficients'!U296</f>
        <v>0</v>
      </c>
      <c r="V118" s="229">
        <f>'Pseudo-load coefficients'!V296</f>
        <v>0</v>
      </c>
      <c r="W118" s="229">
        <f>'Pseudo-load coefficients'!W296</f>
        <v>0</v>
      </c>
      <c r="X118" s="229">
        <f>'Pseudo-load coefficients'!X296</f>
        <v>0</v>
      </c>
      <c r="Y118" s="229">
        <f>'Pseudo-load coefficients'!Y296</f>
        <v>0</v>
      </c>
      <c r="AQ118" s="19"/>
    </row>
    <row r="119" spans="5:43" x14ac:dyDescent="0.25">
      <c r="E119" s="52"/>
      <c r="F119" t="s">
        <v>46</v>
      </c>
      <c r="G119" t="s">
        <v>427</v>
      </c>
      <c r="J119" s="229">
        <f>'Pseudo-load coefficients'!J297</f>
        <v>1.156375944596222E-2</v>
      </c>
      <c r="K119" s="229">
        <f>'Pseudo-load coefficients'!K297</f>
        <v>1.156375944596222E-2</v>
      </c>
      <c r="L119" s="229">
        <f>'Pseudo-load coefficients'!L297</f>
        <v>1.3957219259461745E-2</v>
      </c>
      <c r="M119" s="229">
        <f>'Pseudo-load coefficients'!M297</f>
        <v>1.3957219259461745E-2</v>
      </c>
      <c r="N119" s="229">
        <f>'Pseudo-load coefficients'!N297</f>
        <v>1.1787927240138064E-2</v>
      </c>
      <c r="O119" s="229">
        <f>'Pseudo-load coefficients'!O297</f>
        <v>1.0331682790996031E-2</v>
      </c>
      <c r="P119" s="229">
        <f>'Pseudo-load coefficients'!P297</f>
        <v>1.0329661494750801E-2</v>
      </c>
      <c r="Q119" s="229">
        <f>'Pseudo-load coefficients'!Q297</f>
        <v>1.0278624802745882E-2</v>
      </c>
      <c r="R119" s="229">
        <f>'Pseudo-load coefficients'!R297</f>
        <v>9.095534914519721E-3</v>
      </c>
      <c r="S119" s="229">
        <f>'Pseudo-load coefficients'!S297</f>
        <v>9.095534914519721E-3</v>
      </c>
      <c r="T119" s="229">
        <f>'Pseudo-load coefficients'!T297</f>
        <v>9.095534914519721E-3</v>
      </c>
      <c r="U119" s="229">
        <f>'Pseudo-load coefficients'!U297</f>
        <v>9.095534914519721E-3</v>
      </c>
      <c r="V119" s="229">
        <f>'Pseudo-load coefficients'!V297</f>
        <v>9.095534914519721E-3</v>
      </c>
      <c r="W119" s="229">
        <f>'Pseudo-load coefficients'!W297</f>
        <v>9.095534914519721E-3</v>
      </c>
      <c r="X119" s="229">
        <f>'Pseudo-load coefficients'!X297</f>
        <v>9.095534914519721E-3</v>
      </c>
      <c r="Y119" s="229">
        <f>'Pseudo-load coefficients'!Y297</f>
        <v>9.095534914519721E-3</v>
      </c>
      <c r="AQ119" s="19"/>
    </row>
    <row r="120" spans="5:43" x14ac:dyDescent="0.25">
      <c r="E120" s="52"/>
      <c r="F120" t="s">
        <v>47</v>
      </c>
      <c r="G120" t="s">
        <v>427</v>
      </c>
      <c r="J120" s="229">
        <f>'Pseudo-load coefficients'!J298</f>
        <v>2.5686744657375873E-2</v>
      </c>
      <c r="K120" s="229">
        <f>'Pseudo-load coefficients'!K298</f>
        <v>2.5686744657375873E-2</v>
      </c>
      <c r="L120" s="229">
        <f>'Pseudo-load coefficients'!L298</f>
        <v>3.100337125829675E-2</v>
      </c>
      <c r="M120" s="229">
        <f>'Pseudo-load coefficients'!M298</f>
        <v>3.100337125829675E-2</v>
      </c>
      <c r="N120" s="229">
        <f>'Pseudo-load coefficients'!N298</f>
        <v>2.6184691792674738E-2</v>
      </c>
      <c r="O120" s="229">
        <f>'Pseudo-load coefficients'!O298</f>
        <v>2.2949915118304045E-2</v>
      </c>
      <c r="P120" s="229">
        <f>'Pseudo-load coefficients'!P298</f>
        <v>2.2945425183973366E-2</v>
      </c>
      <c r="Q120" s="229">
        <f>'Pseudo-load coefficients'!Q298</f>
        <v>2.2832056648263703E-2</v>
      </c>
      <c r="R120" s="229">
        <f>'Pseudo-load coefficients'!R298</f>
        <v>2.0204042116519005E-2</v>
      </c>
      <c r="S120" s="229">
        <f>'Pseudo-load coefficients'!S298</f>
        <v>2.0204042116519005E-2</v>
      </c>
      <c r="T120" s="229">
        <f>'Pseudo-load coefficients'!T298</f>
        <v>2.0204042116519005E-2</v>
      </c>
      <c r="U120" s="229">
        <f>'Pseudo-load coefficients'!U298</f>
        <v>2.0204042116519005E-2</v>
      </c>
      <c r="V120" s="229">
        <f>'Pseudo-load coefficients'!V298</f>
        <v>2.0204042116519005E-2</v>
      </c>
      <c r="W120" s="229">
        <f>'Pseudo-load coefficients'!W298</f>
        <v>2.0204042116519005E-2</v>
      </c>
      <c r="X120" s="229">
        <f>'Pseudo-load coefficients'!X298</f>
        <v>2.0204042116519005E-2</v>
      </c>
      <c r="Y120" s="229">
        <f>'Pseudo-load coefficients'!Y298</f>
        <v>2.0204042116519005E-2</v>
      </c>
      <c r="AQ120" s="19"/>
    </row>
    <row r="121" spans="5:43" x14ac:dyDescent="0.25">
      <c r="E121" s="52"/>
      <c r="F121" t="s">
        <v>51</v>
      </c>
      <c r="G121" t="s">
        <v>427</v>
      </c>
      <c r="J121" s="229">
        <f>'Pseudo-load coefficients'!J299</f>
        <v>0</v>
      </c>
      <c r="K121" s="229">
        <f>'Pseudo-load coefficients'!K299</f>
        <v>0</v>
      </c>
      <c r="L121" s="229">
        <f>'Pseudo-load coefficients'!L299</f>
        <v>0</v>
      </c>
      <c r="M121" s="229">
        <f>'Pseudo-load coefficients'!M299</f>
        <v>0</v>
      </c>
      <c r="N121" s="229">
        <f>'Pseudo-load coefficients'!N299</f>
        <v>0</v>
      </c>
      <c r="O121" s="229">
        <f>'Pseudo-load coefficients'!O299</f>
        <v>0</v>
      </c>
      <c r="P121" s="229">
        <f>'Pseudo-load coefficients'!P299</f>
        <v>0</v>
      </c>
      <c r="Q121" s="229">
        <f>'Pseudo-load coefficients'!Q299</f>
        <v>0</v>
      </c>
      <c r="R121" s="229">
        <f>'Pseudo-load coefficients'!R299</f>
        <v>0</v>
      </c>
      <c r="S121" s="229">
        <f>'Pseudo-load coefficients'!S299</f>
        <v>0</v>
      </c>
      <c r="T121" s="229">
        <f>'Pseudo-load coefficients'!T299</f>
        <v>0</v>
      </c>
      <c r="U121" s="229">
        <f>'Pseudo-load coefficients'!U299</f>
        <v>0</v>
      </c>
      <c r="V121" s="229">
        <f>'Pseudo-load coefficients'!V299</f>
        <v>0</v>
      </c>
      <c r="W121" s="229">
        <f>'Pseudo-load coefficients'!W299</f>
        <v>0</v>
      </c>
      <c r="X121" s="229">
        <f>'Pseudo-load coefficients'!X299</f>
        <v>0</v>
      </c>
      <c r="Y121" s="229">
        <f>'Pseudo-load coefficients'!Y299</f>
        <v>0</v>
      </c>
      <c r="AQ121" s="19"/>
    </row>
    <row r="122" spans="5:43" x14ac:dyDescent="0.25">
      <c r="E122" s="52"/>
      <c r="F122" t="s">
        <v>48</v>
      </c>
      <c r="G122" t="s">
        <v>427</v>
      </c>
      <c r="J122" s="229">
        <f>'Pseudo-load coefficients'!J300</f>
        <v>2.5686744657375873E-2</v>
      </c>
      <c r="K122" s="229">
        <f>'Pseudo-load coefficients'!K300</f>
        <v>2.5686744657375873E-2</v>
      </c>
      <c r="L122" s="229">
        <f>'Pseudo-load coefficients'!L300</f>
        <v>3.100337125829675E-2</v>
      </c>
      <c r="M122" s="229">
        <f>'Pseudo-load coefficients'!M300</f>
        <v>3.100337125829675E-2</v>
      </c>
      <c r="N122" s="229">
        <f>'Pseudo-load coefficients'!N300</f>
        <v>2.6184691792674738E-2</v>
      </c>
      <c r="O122" s="229">
        <f>'Pseudo-load coefficients'!O300</f>
        <v>2.2949915118304045E-2</v>
      </c>
      <c r="P122" s="229">
        <f>'Pseudo-load coefficients'!P300</f>
        <v>2.2945425183973366E-2</v>
      </c>
      <c r="Q122" s="229">
        <f>'Pseudo-load coefficients'!Q300</f>
        <v>2.2832056648263703E-2</v>
      </c>
      <c r="R122" s="229">
        <f>'Pseudo-load coefficients'!R300</f>
        <v>2.0204042116519005E-2</v>
      </c>
      <c r="S122" s="229">
        <f>'Pseudo-load coefficients'!S300</f>
        <v>2.0204042116519005E-2</v>
      </c>
      <c r="T122" s="229">
        <f>'Pseudo-load coefficients'!T300</f>
        <v>2.0204042116519005E-2</v>
      </c>
      <c r="U122" s="229">
        <f>'Pseudo-load coefficients'!U300</f>
        <v>2.0204042116519005E-2</v>
      </c>
      <c r="V122" s="229">
        <f>'Pseudo-load coefficients'!V300</f>
        <v>2.0204042116519005E-2</v>
      </c>
      <c r="W122" s="229">
        <f>'Pseudo-load coefficients'!W300</f>
        <v>2.0204042116519005E-2</v>
      </c>
      <c r="X122" s="229">
        <f>'Pseudo-load coefficients'!X300</f>
        <v>2.0204042116519005E-2</v>
      </c>
      <c r="Y122" s="229">
        <f>'Pseudo-load coefficients'!Y300</f>
        <v>2.0204042116519005E-2</v>
      </c>
      <c r="AQ122" s="19"/>
    </row>
    <row r="123" spans="5:43" x14ac:dyDescent="0.25">
      <c r="E123" s="52"/>
      <c r="F123" t="s">
        <v>49</v>
      </c>
      <c r="G123" t="s">
        <v>427</v>
      </c>
      <c r="J123" s="229">
        <f>'Pseudo-load coefficients'!J301</f>
        <v>2.5686744657375873E-2</v>
      </c>
      <c r="K123" s="229">
        <f>'Pseudo-load coefficients'!K301</f>
        <v>2.5686744657375873E-2</v>
      </c>
      <c r="L123" s="229">
        <f>'Pseudo-load coefficients'!L301</f>
        <v>3.100337125829675E-2</v>
      </c>
      <c r="M123" s="229">
        <f>'Pseudo-load coefficients'!M301</f>
        <v>3.100337125829675E-2</v>
      </c>
      <c r="N123" s="229">
        <f>'Pseudo-load coefficients'!N301</f>
        <v>2.6184691792674738E-2</v>
      </c>
      <c r="O123" s="229">
        <f>'Pseudo-load coefficients'!O301</f>
        <v>2.2949915118304045E-2</v>
      </c>
      <c r="P123" s="229">
        <f>'Pseudo-load coefficients'!P301</f>
        <v>2.2945425183973366E-2</v>
      </c>
      <c r="Q123" s="229">
        <f>'Pseudo-load coefficients'!Q301</f>
        <v>2.2832056648263703E-2</v>
      </c>
      <c r="R123" s="229">
        <f>'Pseudo-load coefficients'!R301</f>
        <v>2.0204042116519005E-2</v>
      </c>
      <c r="S123" s="229">
        <f>'Pseudo-load coefficients'!S301</f>
        <v>2.0204042116519005E-2</v>
      </c>
      <c r="T123" s="229">
        <f>'Pseudo-load coefficients'!T301</f>
        <v>2.0204042116519005E-2</v>
      </c>
      <c r="U123" s="229">
        <f>'Pseudo-load coefficients'!U301</f>
        <v>2.0204042116519005E-2</v>
      </c>
      <c r="V123" s="229">
        <f>'Pseudo-load coefficients'!V301</f>
        <v>2.0204042116519005E-2</v>
      </c>
      <c r="W123" s="229">
        <f>'Pseudo-load coefficients'!W301</f>
        <v>2.0204042116519005E-2</v>
      </c>
      <c r="X123" s="229">
        <f>'Pseudo-load coefficients'!X301</f>
        <v>2.0204042116519005E-2</v>
      </c>
      <c r="Y123" s="229">
        <f>'Pseudo-load coefficients'!Y301</f>
        <v>2.0204042116519005E-2</v>
      </c>
      <c r="AQ123" s="19"/>
    </row>
    <row r="124" spans="5:43" x14ac:dyDescent="0.25">
      <c r="E124" s="52"/>
      <c r="F124" s="17" t="s">
        <v>50</v>
      </c>
      <c r="G124" s="17" t="s">
        <v>427</v>
      </c>
      <c r="H124" s="17"/>
      <c r="I124" s="17"/>
      <c r="J124" s="230">
        <f>'Pseudo-load coefficients'!J302</f>
        <v>2.5686744657375873E-2</v>
      </c>
      <c r="K124" s="230">
        <f>'Pseudo-load coefficients'!K302</f>
        <v>2.5686744657375873E-2</v>
      </c>
      <c r="L124" s="230">
        <f>'Pseudo-load coefficients'!L302</f>
        <v>3.100337125829675E-2</v>
      </c>
      <c r="M124" s="230">
        <f>'Pseudo-load coefficients'!M302</f>
        <v>3.100337125829675E-2</v>
      </c>
      <c r="N124" s="230">
        <f>'Pseudo-load coefficients'!N302</f>
        <v>2.6184691792674738E-2</v>
      </c>
      <c r="O124" s="230">
        <f>'Pseudo-load coefficients'!O302</f>
        <v>2.2949915118304045E-2</v>
      </c>
      <c r="P124" s="230">
        <f>'Pseudo-load coefficients'!P302</f>
        <v>2.2945425183973366E-2</v>
      </c>
      <c r="Q124" s="230">
        <f>'Pseudo-load coefficients'!Q302</f>
        <v>2.2832056648263703E-2</v>
      </c>
      <c r="R124" s="230">
        <f>'Pseudo-load coefficients'!R302</f>
        <v>2.0204042116519005E-2</v>
      </c>
      <c r="S124" s="230">
        <f>'Pseudo-load coefficients'!S302</f>
        <v>2.0204042116519005E-2</v>
      </c>
      <c r="T124" s="230">
        <f>'Pseudo-load coefficients'!T302</f>
        <v>2.0204042116519005E-2</v>
      </c>
      <c r="U124" s="230">
        <f>'Pseudo-load coefficients'!U302</f>
        <v>2.0204042116519005E-2</v>
      </c>
      <c r="V124" s="230">
        <f>'Pseudo-load coefficients'!V302</f>
        <v>2.0204042116519005E-2</v>
      </c>
      <c r="W124" s="230">
        <f>'Pseudo-load coefficients'!W302</f>
        <v>2.0204042116519005E-2</v>
      </c>
      <c r="X124" s="230">
        <f>'Pseudo-load coefficients'!X302</f>
        <v>2.0204042116519005E-2</v>
      </c>
      <c r="Y124" s="230">
        <f>'Pseudo-load coefficients'!Y302</f>
        <v>2.0204042116519005E-2</v>
      </c>
      <c r="AQ124" s="19"/>
    </row>
    <row r="125" spans="5:43" x14ac:dyDescent="0.25">
      <c r="E125" s="52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AQ125" s="19"/>
    </row>
    <row r="126" spans="5:43" x14ac:dyDescent="0.25">
      <c r="E126" s="52" t="s">
        <v>525</v>
      </c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  <c r="AQ126" s="19"/>
    </row>
    <row r="127" spans="5:43" x14ac:dyDescent="0.25">
      <c r="E127" s="73" t="s">
        <v>347</v>
      </c>
      <c r="J127" s="211"/>
      <c r="K127" s="211"/>
      <c r="L127" s="211"/>
      <c r="M127" s="211"/>
      <c r="N127" s="211"/>
      <c r="O127" s="211"/>
      <c r="P127" s="211"/>
      <c r="Q127" s="211"/>
      <c r="R127" s="211"/>
      <c r="S127" s="211"/>
      <c r="T127" s="211"/>
      <c r="U127" s="211"/>
      <c r="V127" s="211"/>
      <c r="W127" s="211"/>
      <c r="X127" s="211"/>
      <c r="Y127" s="211"/>
      <c r="AQ127" s="19"/>
    </row>
    <row r="128" spans="5:43" x14ac:dyDescent="0.25">
      <c r="E128" s="52"/>
      <c r="F128" s="80" t="s">
        <v>43</v>
      </c>
      <c r="G128" s="80" t="s">
        <v>102</v>
      </c>
      <c r="H128" s="80"/>
      <c r="I128" s="80"/>
      <c r="J128" s="223">
        <f t="shared" ref="J128:Y128" si="19">J$58 * J34 * J116 / hours_in_year / $H45</f>
        <v>3.40340906459208</v>
      </c>
      <c r="K128" s="223">
        <f t="shared" si="19"/>
        <v>0.2505815606947196</v>
      </c>
      <c r="L128" s="223">
        <f t="shared" si="19"/>
        <v>1.4461927339820679</v>
      </c>
      <c r="M128" s="223">
        <f t="shared" si="19"/>
        <v>6.3118124013524568E-2</v>
      </c>
      <c r="N128" s="223">
        <f t="shared" si="19"/>
        <v>1.5584499625141639</v>
      </c>
      <c r="O128" s="223">
        <f t="shared" si="19"/>
        <v>0.15598696513654858</v>
      </c>
      <c r="P128" s="223">
        <f t="shared" si="19"/>
        <v>1.8239614801375692</v>
      </c>
      <c r="Q128" s="223">
        <f t="shared" si="19"/>
        <v>0.19307634241324445</v>
      </c>
      <c r="R128" s="223">
        <f t="shared" si="19"/>
        <v>-4.4428202637622769E-3</v>
      </c>
      <c r="S128" s="223">
        <f t="shared" si="19"/>
        <v>-6.3093545265571207E-5</v>
      </c>
      <c r="T128" s="223">
        <f t="shared" si="19"/>
        <v>-3.4091298711501503E-2</v>
      </c>
      <c r="U128" s="223">
        <f t="shared" si="19"/>
        <v>0</v>
      </c>
      <c r="V128" s="223">
        <f t="shared" si="19"/>
        <v>-2.9848054399202976E-4</v>
      </c>
      <c r="W128" s="223">
        <f t="shared" si="19"/>
        <v>0</v>
      </c>
      <c r="X128" s="223">
        <f t="shared" si="19"/>
        <v>-0.52019669866827911</v>
      </c>
      <c r="Y128" s="223">
        <f t="shared" si="19"/>
        <v>0</v>
      </c>
      <c r="AQ128" s="19"/>
    </row>
    <row r="129" spans="3:43" x14ac:dyDescent="0.25">
      <c r="E129" s="52"/>
      <c r="F129" t="s">
        <v>44</v>
      </c>
      <c r="G129" t="s">
        <v>102</v>
      </c>
      <c r="J129" s="211">
        <f t="shared" ref="J129:Y129" si="20">J$58 * J35 * J117 / hours_in_year / $H46</f>
        <v>0</v>
      </c>
      <c r="K129" s="211">
        <f t="shared" si="20"/>
        <v>0</v>
      </c>
      <c r="L129" s="211">
        <f t="shared" si="20"/>
        <v>0</v>
      </c>
      <c r="M129" s="211">
        <f t="shared" si="20"/>
        <v>0</v>
      </c>
      <c r="N129" s="211">
        <f t="shared" si="20"/>
        <v>0</v>
      </c>
      <c r="O129" s="211">
        <f t="shared" si="20"/>
        <v>0</v>
      </c>
      <c r="P129" s="211">
        <f t="shared" si="20"/>
        <v>0</v>
      </c>
      <c r="Q129" s="211">
        <f t="shared" si="20"/>
        <v>0</v>
      </c>
      <c r="R129" s="211">
        <f t="shared" si="20"/>
        <v>0</v>
      </c>
      <c r="S129" s="211">
        <f t="shared" si="20"/>
        <v>0</v>
      </c>
      <c r="T129" s="211">
        <f t="shared" si="20"/>
        <v>0</v>
      </c>
      <c r="U129" s="211">
        <f t="shared" si="20"/>
        <v>0</v>
      </c>
      <c r="V129" s="211">
        <f t="shared" si="20"/>
        <v>0</v>
      </c>
      <c r="W129" s="211">
        <f t="shared" si="20"/>
        <v>0</v>
      </c>
      <c r="X129" s="211">
        <f t="shared" si="20"/>
        <v>0</v>
      </c>
      <c r="Y129" s="211">
        <f t="shared" si="20"/>
        <v>0</v>
      </c>
      <c r="AQ129" s="19"/>
    </row>
    <row r="130" spans="3:43" x14ac:dyDescent="0.25">
      <c r="E130" s="52"/>
      <c r="F130" t="s">
        <v>45</v>
      </c>
      <c r="G130" t="s">
        <v>102</v>
      </c>
      <c r="J130" s="211">
        <f t="shared" ref="J130:Y130" si="21">J$58 * J36 * J118 / hours_in_year / $H47</f>
        <v>0</v>
      </c>
      <c r="K130" s="211">
        <f t="shared" si="21"/>
        <v>0</v>
      </c>
      <c r="L130" s="211">
        <f t="shared" si="21"/>
        <v>0</v>
      </c>
      <c r="M130" s="211">
        <f t="shared" si="21"/>
        <v>0</v>
      </c>
      <c r="N130" s="211">
        <f t="shared" si="21"/>
        <v>0</v>
      </c>
      <c r="O130" s="211">
        <f t="shared" si="21"/>
        <v>0</v>
      </c>
      <c r="P130" s="211">
        <f t="shared" si="21"/>
        <v>0</v>
      </c>
      <c r="Q130" s="211">
        <f t="shared" si="21"/>
        <v>0</v>
      </c>
      <c r="R130" s="211">
        <f t="shared" si="21"/>
        <v>0</v>
      </c>
      <c r="S130" s="211">
        <f t="shared" si="21"/>
        <v>0</v>
      </c>
      <c r="T130" s="211">
        <f t="shared" si="21"/>
        <v>0</v>
      </c>
      <c r="U130" s="211">
        <f t="shared" si="21"/>
        <v>0</v>
      </c>
      <c r="V130" s="211">
        <f t="shared" si="21"/>
        <v>0</v>
      </c>
      <c r="W130" s="211">
        <f t="shared" si="21"/>
        <v>0</v>
      </c>
      <c r="X130" s="211">
        <f t="shared" si="21"/>
        <v>0</v>
      </c>
      <c r="Y130" s="211">
        <f t="shared" si="21"/>
        <v>0</v>
      </c>
      <c r="AQ130" s="19"/>
    </row>
    <row r="131" spans="3:43" x14ac:dyDescent="0.25">
      <c r="E131" s="52"/>
      <c r="F131" t="s">
        <v>46</v>
      </c>
      <c r="G131" t="s">
        <v>102</v>
      </c>
      <c r="J131" s="211">
        <f t="shared" ref="J131:Y131" si="22">J$58 * J37 * J119 / hours_in_year / $H48</f>
        <v>3.3966158329262277</v>
      </c>
      <c r="K131" s="211">
        <f t="shared" si="22"/>
        <v>0.25008139789892175</v>
      </c>
      <c r="L131" s="211">
        <f t="shared" si="22"/>
        <v>1.4433061217385907</v>
      </c>
      <c r="M131" s="211">
        <f t="shared" si="22"/>
        <v>6.2992139734056457E-2</v>
      </c>
      <c r="N131" s="211">
        <f t="shared" si="22"/>
        <v>1.5553392839462714</v>
      </c>
      <c r="O131" s="211">
        <f t="shared" si="22"/>
        <v>0.15567561390873111</v>
      </c>
      <c r="P131" s="211">
        <f t="shared" si="22"/>
        <v>1.820320838460648</v>
      </c>
      <c r="Q131" s="211">
        <f t="shared" si="22"/>
        <v>0.19269096049225992</v>
      </c>
      <c r="R131" s="211">
        <f t="shared" si="22"/>
        <v>-4.4339523590441882E-3</v>
      </c>
      <c r="S131" s="211">
        <f t="shared" si="22"/>
        <v>-6.2967610045480246E-5</v>
      </c>
      <c r="T131" s="211">
        <f t="shared" si="22"/>
        <v>-3.402325220708733E-2</v>
      </c>
      <c r="U131" s="211">
        <f t="shared" si="22"/>
        <v>0</v>
      </c>
      <c r="V131" s="211">
        <f t="shared" si="22"/>
        <v>-2.9788477444314345E-4</v>
      </c>
      <c r="W131" s="211">
        <f t="shared" si="22"/>
        <v>0</v>
      </c>
      <c r="X131" s="211">
        <f t="shared" si="22"/>
        <v>-0.51915838190447017</v>
      </c>
      <c r="Y131" s="211">
        <f t="shared" si="22"/>
        <v>0</v>
      </c>
      <c r="AQ131" s="19"/>
    </row>
    <row r="132" spans="3:43" x14ac:dyDescent="0.25">
      <c r="E132" s="52"/>
      <c r="F132" t="s">
        <v>47</v>
      </c>
      <c r="G132" t="s">
        <v>102</v>
      </c>
      <c r="J132" s="211">
        <f t="shared" ref="J132:Y132" si="23">J$58 * J38 * J120 / hours_in_year / $H49</f>
        <v>7.4630220660681692</v>
      </c>
      <c r="K132" s="211">
        <f t="shared" si="23"/>
        <v>0.54947720985712178</v>
      </c>
      <c r="L132" s="211">
        <f t="shared" si="23"/>
        <v>3.1712227594919544</v>
      </c>
      <c r="M132" s="211">
        <f t="shared" si="23"/>
        <v>0.13840591693265045</v>
      </c>
      <c r="N132" s="211">
        <f t="shared" si="23"/>
        <v>3.4173812898686431</v>
      </c>
      <c r="O132" s="211">
        <f t="shared" si="23"/>
        <v>0.3420494394706553</v>
      </c>
      <c r="P132" s="211">
        <f t="shared" si="23"/>
        <v>3.9995970262706444</v>
      </c>
      <c r="Q132" s="211">
        <f t="shared" si="23"/>
        <v>0.42337931659663181</v>
      </c>
      <c r="R132" s="211">
        <f t="shared" si="23"/>
        <v>-9.7422510884705334E-3</v>
      </c>
      <c r="S132" s="211">
        <f t="shared" si="23"/>
        <v>-1.3835202046153839E-4</v>
      </c>
      <c r="T132" s="211">
        <f t="shared" si="23"/>
        <v>-7.4755666955171426E-2</v>
      </c>
      <c r="U132" s="211">
        <f t="shared" si="23"/>
        <v>0</v>
      </c>
      <c r="V132" s="211">
        <f t="shared" si="23"/>
        <v>-6.5451047576954634E-4</v>
      </c>
      <c r="W132" s="211">
        <f t="shared" si="23"/>
        <v>0</v>
      </c>
      <c r="X132" s="211">
        <f t="shared" si="23"/>
        <v>-1.1406913971190507</v>
      </c>
      <c r="Y132" s="211">
        <f t="shared" si="23"/>
        <v>0</v>
      </c>
      <c r="AQ132" s="19"/>
    </row>
    <row r="133" spans="3:43" x14ac:dyDescent="0.25">
      <c r="E133" s="52"/>
      <c r="F133" t="s">
        <v>51</v>
      </c>
      <c r="G133" t="s">
        <v>102</v>
      </c>
      <c r="J133" s="211">
        <f t="shared" ref="J133:Y133" si="24">J$58 * J39 * J121 / hours_in_year / $H50</f>
        <v>0</v>
      </c>
      <c r="K133" s="211">
        <f t="shared" si="24"/>
        <v>0</v>
      </c>
      <c r="L133" s="211">
        <f t="shared" si="24"/>
        <v>0</v>
      </c>
      <c r="M133" s="211">
        <f t="shared" si="24"/>
        <v>0</v>
      </c>
      <c r="N133" s="211">
        <f t="shared" si="24"/>
        <v>0</v>
      </c>
      <c r="O133" s="211">
        <f t="shared" si="24"/>
        <v>0</v>
      </c>
      <c r="P133" s="211">
        <f t="shared" si="24"/>
        <v>0</v>
      </c>
      <c r="Q133" s="211">
        <f t="shared" si="24"/>
        <v>0</v>
      </c>
      <c r="R133" s="211">
        <f t="shared" si="24"/>
        <v>0</v>
      </c>
      <c r="S133" s="211">
        <f t="shared" si="24"/>
        <v>0</v>
      </c>
      <c r="T133" s="211">
        <f t="shared" si="24"/>
        <v>0</v>
      </c>
      <c r="U133" s="211">
        <f t="shared" si="24"/>
        <v>0</v>
      </c>
      <c r="V133" s="211">
        <f t="shared" si="24"/>
        <v>0</v>
      </c>
      <c r="W133" s="211">
        <f t="shared" si="24"/>
        <v>0</v>
      </c>
      <c r="X133" s="211">
        <f t="shared" si="24"/>
        <v>0</v>
      </c>
      <c r="Y133" s="211">
        <f t="shared" si="24"/>
        <v>0</v>
      </c>
      <c r="AQ133" s="19"/>
    </row>
    <row r="134" spans="3:43" x14ac:dyDescent="0.25">
      <c r="E134" s="52"/>
      <c r="F134" t="s">
        <v>48</v>
      </c>
      <c r="G134" t="s">
        <v>102</v>
      </c>
      <c r="J134" s="211">
        <f t="shared" ref="J134:Y134" si="25">J$58 * J40 * J122 / hours_in_year / $H51</f>
        <v>7.3828528837178267</v>
      </c>
      <c r="K134" s="211">
        <f t="shared" si="25"/>
        <v>0.54357462264185963</v>
      </c>
      <c r="L134" s="211">
        <f t="shared" si="25"/>
        <v>3.1371568900052242</v>
      </c>
      <c r="M134" s="211">
        <f t="shared" si="25"/>
        <v>0.13691913462185046</v>
      </c>
      <c r="N134" s="211">
        <f t="shared" si="25"/>
        <v>3.3806711392938817</v>
      </c>
      <c r="O134" s="211">
        <f t="shared" si="25"/>
        <v>0.33837508025759161</v>
      </c>
      <c r="P134" s="211">
        <f t="shared" si="25"/>
        <v>3.956632605090002</v>
      </c>
      <c r="Q134" s="211">
        <f t="shared" si="25"/>
        <v>0.41883129659412882</v>
      </c>
      <c r="R134" s="211">
        <f t="shared" si="25"/>
        <v>-9.6375980006061027E-3</v>
      </c>
      <c r="S134" s="211">
        <f t="shared" si="25"/>
        <v>-1.368658171167367E-4</v>
      </c>
      <c r="T134" s="211">
        <f t="shared" si="25"/>
        <v>-7.395262756405141E-2</v>
      </c>
      <c r="U134" s="211">
        <f t="shared" si="25"/>
        <v>0</v>
      </c>
      <c r="V134" s="211">
        <f t="shared" si="25"/>
        <v>-6.4747960151811555E-4</v>
      </c>
      <c r="W134" s="211">
        <f t="shared" si="25"/>
        <v>0</v>
      </c>
      <c r="X134" s="211">
        <f t="shared" si="25"/>
        <v>0</v>
      </c>
      <c r="Y134" s="211">
        <f t="shared" si="25"/>
        <v>0</v>
      </c>
      <c r="AQ134" s="19"/>
    </row>
    <row r="135" spans="3:43" x14ac:dyDescent="0.25">
      <c r="E135" s="52"/>
      <c r="F135" t="s">
        <v>49</v>
      </c>
      <c r="G135" t="s">
        <v>102</v>
      </c>
      <c r="J135" s="211">
        <f t="shared" ref="J135:Y135" si="26">J$58 * J41 * J123 / hours_in_year / $H52</f>
        <v>7.2414189204282131</v>
      </c>
      <c r="K135" s="211">
        <f t="shared" si="26"/>
        <v>0.5331613156946976</v>
      </c>
      <c r="L135" s="211">
        <f t="shared" si="26"/>
        <v>3.0770580990089558</v>
      </c>
      <c r="M135" s="211">
        <f t="shared" si="26"/>
        <v>0.13429616269422881</v>
      </c>
      <c r="N135" s="211">
        <f t="shared" si="26"/>
        <v>3.3159073243648804</v>
      </c>
      <c r="O135" s="211">
        <f t="shared" si="26"/>
        <v>0.33189279902660324</v>
      </c>
      <c r="P135" s="211">
        <f t="shared" si="26"/>
        <v>0</v>
      </c>
      <c r="Q135" s="211">
        <f t="shared" si="26"/>
        <v>0.41080770853677007</v>
      </c>
      <c r="R135" s="211">
        <f t="shared" si="26"/>
        <v>-9.4529696864182472E-3</v>
      </c>
      <c r="S135" s="211">
        <f t="shared" si="26"/>
        <v>0</v>
      </c>
      <c r="T135" s="211">
        <f t="shared" si="26"/>
        <v>-7.2535910560908662E-2</v>
      </c>
      <c r="U135" s="211">
        <f t="shared" si="26"/>
        <v>0</v>
      </c>
      <c r="V135" s="211">
        <f t="shared" si="26"/>
        <v>0</v>
      </c>
      <c r="W135" s="211">
        <f t="shared" si="26"/>
        <v>0</v>
      </c>
      <c r="X135" s="211">
        <f t="shared" si="26"/>
        <v>0</v>
      </c>
      <c r="Y135" s="211">
        <f t="shared" si="26"/>
        <v>0</v>
      </c>
      <c r="AQ135" s="19"/>
    </row>
    <row r="136" spans="3:43" x14ac:dyDescent="0.25">
      <c r="E136" s="52"/>
      <c r="F136" s="17" t="s">
        <v>50</v>
      </c>
      <c r="G136" s="17" t="s">
        <v>102</v>
      </c>
      <c r="H136" s="17"/>
      <c r="I136" s="17"/>
      <c r="J136" s="220">
        <f t="shared" ref="J136:Y136" si="27">J$58 * J42 * J124 / hours_in_year / $H53</f>
        <v>6.8416663827394162</v>
      </c>
      <c r="K136" s="220">
        <f t="shared" si="27"/>
        <v>0.50372888107263736</v>
      </c>
      <c r="L136" s="220">
        <f t="shared" si="27"/>
        <v>2.9071933532718099</v>
      </c>
      <c r="M136" s="220">
        <f t="shared" si="27"/>
        <v>0.12688252837355193</v>
      </c>
      <c r="N136" s="220">
        <f t="shared" si="27"/>
        <v>3.1328572367755072</v>
      </c>
      <c r="O136" s="220">
        <f t="shared" si="27"/>
        <v>0</v>
      </c>
      <c r="P136" s="220">
        <f t="shared" si="27"/>
        <v>0</v>
      </c>
      <c r="Q136" s="220">
        <f t="shared" si="27"/>
        <v>0.38812963593881261</v>
      </c>
      <c r="R136" s="220">
        <f t="shared" si="27"/>
        <v>0</v>
      </c>
      <c r="S136" s="220">
        <f t="shared" si="27"/>
        <v>0</v>
      </c>
      <c r="T136" s="220">
        <f t="shared" si="27"/>
        <v>0</v>
      </c>
      <c r="U136" s="220">
        <f t="shared" si="27"/>
        <v>0</v>
      </c>
      <c r="V136" s="220">
        <f t="shared" si="27"/>
        <v>0</v>
      </c>
      <c r="W136" s="220">
        <f t="shared" si="27"/>
        <v>0</v>
      </c>
      <c r="X136" s="220">
        <f t="shared" si="27"/>
        <v>0</v>
      </c>
      <c r="Y136" s="220">
        <f t="shared" si="27"/>
        <v>0</v>
      </c>
      <c r="AQ136" s="19"/>
    </row>
    <row r="137" spans="3:43" x14ac:dyDescent="0.25">
      <c r="D137" s="52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AQ137" s="19"/>
    </row>
    <row r="138" spans="3:43" x14ac:dyDescent="0.25">
      <c r="C138" s="5" t="str">
        <f ca="1">INDEX('Version control'!$H$36:$H$62,MATCH($A$1,'Version control'!$F$36:$F$62,0),1)&amp;"-C: System peak load, all unit rates"</f>
        <v>Section 509-C: System peak load, all unit rates</v>
      </c>
      <c r="D138" s="5"/>
      <c r="E138" s="5"/>
      <c r="F138" s="5"/>
      <c r="G138" s="5"/>
      <c r="H138" s="5"/>
      <c r="I138" s="5"/>
      <c r="J138" s="205"/>
      <c r="K138" s="205"/>
      <c r="L138" s="205"/>
      <c r="M138" s="205"/>
      <c r="N138" s="205"/>
      <c r="O138" s="205"/>
      <c r="P138" s="205"/>
      <c r="Q138" s="205"/>
      <c r="R138" s="205"/>
      <c r="S138" s="205"/>
      <c r="T138" s="205"/>
      <c r="U138" s="205"/>
      <c r="V138" s="205"/>
      <c r="W138" s="205"/>
      <c r="X138" s="205"/>
      <c r="Y138" s="205"/>
      <c r="Z138" s="5"/>
      <c r="AA138" s="5"/>
      <c r="AQ138" s="19"/>
    </row>
    <row r="139" spans="3:43" x14ac:dyDescent="0.25">
      <c r="H139" s="79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</row>
    <row r="140" spans="3:43" x14ac:dyDescent="0.25">
      <c r="E140" s="52" t="s">
        <v>667</v>
      </c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  <c r="AQ140" s="19"/>
    </row>
    <row r="141" spans="3:43" x14ac:dyDescent="0.25">
      <c r="E141" s="73" t="s">
        <v>346</v>
      </c>
      <c r="J141" s="211"/>
      <c r="K141" s="211"/>
      <c r="L141" s="211"/>
      <c r="M141" s="211"/>
      <c r="N141" s="211"/>
      <c r="O141" s="211"/>
      <c r="P141" s="211"/>
      <c r="Q141" s="211"/>
      <c r="R141" s="211"/>
      <c r="S141" s="211"/>
      <c r="T141" s="211"/>
      <c r="U141" s="211"/>
      <c r="V141" s="211"/>
      <c r="W141" s="211"/>
      <c r="X141" s="211"/>
      <c r="Y141" s="211"/>
      <c r="AQ141" s="19"/>
    </row>
    <row r="142" spans="3:43" x14ac:dyDescent="0.25">
      <c r="C142" s="52"/>
      <c r="F142" s="80" t="s">
        <v>43</v>
      </c>
      <c r="G142" s="80" t="s">
        <v>102</v>
      </c>
      <c r="H142" s="80"/>
      <c r="I142" s="80"/>
      <c r="J142" s="223">
        <f t="shared" ref="J142:Y150" si="28">J82 + J105 + J128</f>
        <v>1211.3620875826575</v>
      </c>
      <c r="K142" s="223">
        <f t="shared" si="28"/>
        <v>2.989328854499961</v>
      </c>
      <c r="L142" s="223">
        <f t="shared" si="28"/>
        <v>449.23635064480658</v>
      </c>
      <c r="M142" s="223">
        <f t="shared" si="28"/>
        <v>2.1456246518431294</v>
      </c>
      <c r="N142" s="223">
        <f t="shared" si="28"/>
        <v>461.78848905694991</v>
      </c>
      <c r="O142" s="223">
        <f t="shared" si="28"/>
        <v>41.086048063667683</v>
      </c>
      <c r="P142" s="223">
        <f t="shared" si="28"/>
        <v>446.21818687202494</v>
      </c>
      <c r="Q142" s="223">
        <f t="shared" si="28"/>
        <v>43.175810741874379</v>
      </c>
      <c r="R142" s="223">
        <f t="shared" si="28"/>
        <v>-2.4307035052724024</v>
      </c>
      <c r="S142" s="223">
        <f t="shared" si="28"/>
        <v>-2.5390190164956496E-2</v>
      </c>
      <c r="T142" s="223">
        <f t="shared" si="28"/>
        <v>-8.3170337183427954</v>
      </c>
      <c r="U142" s="223">
        <f t="shared" si="28"/>
        <v>0</v>
      </c>
      <c r="V142" s="223">
        <f t="shared" si="28"/>
        <v>-8.6701227654623292E-2</v>
      </c>
      <c r="W142" s="223">
        <f t="shared" si="28"/>
        <v>0</v>
      </c>
      <c r="X142" s="223">
        <f t="shared" si="28"/>
        <v>-147.94974817264949</v>
      </c>
      <c r="Y142" s="223">
        <f t="shared" si="28"/>
        <v>0</v>
      </c>
      <c r="AQ142" s="19"/>
    </row>
    <row r="143" spans="3:43" x14ac:dyDescent="0.25">
      <c r="C143" s="52"/>
      <c r="F143" t="s">
        <v>44</v>
      </c>
      <c r="G143" t="s">
        <v>102</v>
      </c>
      <c r="J143" s="211">
        <f t="shared" si="28"/>
        <v>0</v>
      </c>
      <c r="K143" s="211">
        <f t="shared" si="28"/>
        <v>0</v>
      </c>
      <c r="L143" s="211">
        <f t="shared" si="28"/>
        <v>0</v>
      </c>
      <c r="M143" s="211">
        <f t="shared" si="28"/>
        <v>0</v>
      </c>
      <c r="N143" s="211">
        <f t="shared" si="28"/>
        <v>0</v>
      </c>
      <c r="O143" s="211">
        <f t="shared" si="28"/>
        <v>0</v>
      </c>
      <c r="P143" s="211">
        <f t="shared" si="28"/>
        <v>0</v>
      </c>
      <c r="Q143" s="211">
        <f t="shared" si="28"/>
        <v>0</v>
      </c>
      <c r="R143" s="211">
        <f t="shared" si="28"/>
        <v>0</v>
      </c>
      <c r="S143" s="211">
        <f t="shared" si="28"/>
        <v>0</v>
      </c>
      <c r="T143" s="211">
        <f t="shared" si="28"/>
        <v>0</v>
      </c>
      <c r="U143" s="211">
        <f t="shared" si="28"/>
        <v>0</v>
      </c>
      <c r="V143" s="211">
        <f t="shared" si="28"/>
        <v>0</v>
      </c>
      <c r="W143" s="211">
        <f t="shared" si="28"/>
        <v>0</v>
      </c>
      <c r="X143" s="211">
        <f t="shared" si="28"/>
        <v>0</v>
      </c>
      <c r="Y143" s="211">
        <f t="shared" si="28"/>
        <v>0</v>
      </c>
      <c r="AQ143" s="19"/>
    </row>
    <row r="144" spans="3:43" x14ac:dyDescent="0.25">
      <c r="C144" s="52"/>
      <c r="F144" t="s">
        <v>45</v>
      </c>
      <c r="G144" t="s">
        <v>102</v>
      </c>
      <c r="J144" s="211">
        <f t="shared" si="28"/>
        <v>0</v>
      </c>
      <c r="K144" s="211">
        <f t="shared" si="28"/>
        <v>0</v>
      </c>
      <c r="L144" s="211">
        <f t="shared" si="28"/>
        <v>0</v>
      </c>
      <c r="M144" s="211">
        <f t="shared" si="28"/>
        <v>0</v>
      </c>
      <c r="N144" s="211">
        <f t="shared" si="28"/>
        <v>0</v>
      </c>
      <c r="O144" s="211">
        <f t="shared" si="28"/>
        <v>0</v>
      </c>
      <c r="P144" s="211">
        <f t="shared" si="28"/>
        <v>0</v>
      </c>
      <c r="Q144" s="211">
        <f t="shared" si="28"/>
        <v>0</v>
      </c>
      <c r="R144" s="211">
        <f t="shared" si="28"/>
        <v>0</v>
      </c>
      <c r="S144" s="211">
        <f t="shared" si="28"/>
        <v>0</v>
      </c>
      <c r="T144" s="211">
        <f t="shared" si="28"/>
        <v>0</v>
      </c>
      <c r="U144" s="211">
        <f t="shared" si="28"/>
        <v>0</v>
      </c>
      <c r="V144" s="211">
        <f t="shared" si="28"/>
        <v>0</v>
      </c>
      <c r="W144" s="211">
        <f t="shared" si="28"/>
        <v>0</v>
      </c>
      <c r="X144" s="211">
        <f t="shared" si="28"/>
        <v>0</v>
      </c>
      <c r="Y144" s="211">
        <f t="shared" si="28"/>
        <v>0</v>
      </c>
      <c r="AQ144" s="19"/>
    </row>
    <row r="145" spans="3:43" x14ac:dyDescent="0.25">
      <c r="C145" s="52"/>
      <c r="F145" t="s">
        <v>46</v>
      </c>
      <c r="G145" t="s">
        <v>102</v>
      </c>
      <c r="J145" s="211">
        <f t="shared" si="28"/>
        <v>1208.9441991842889</v>
      </c>
      <c r="K145" s="211">
        <f t="shared" si="28"/>
        <v>2.9833621302394819</v>
      </c>
      <c r="L145" s="211">
        <f t="shared" si="28"/>
        <v>448.33967130220219</v>
      </c>
      <c r="M145" s="211">
        <f t="shared" si="28"/>
        <v>2.1413419679073145</v>
      </c>
      <c r="N145" s="211">
        <f t="shared" si="28"/>
        <v>460.86675554585827</v>
      </c>
      <c r="O145" s="211">
        <f t="shared" si="28"/>
        <v>41.004039983700288</v>
      </c>
      <c r="P145" s="211">
        <f t="shared" si="28"/>
        <v>445.3275318084082</v>
      </c>
      <c r="Q145" s="211">
        <f t="shared" si="28"/>
        <v>43.089631478916544</v>
      </c>
      <c r="R145" s="211">
        <f t="shared" si="28"/>
        <v>-2.4258518016690638</v>
      </c>
      <c r="S145" s="211">
        <f t="shared" si="28"/>
        <v>-2.5339511142671151E-2</v>
      </c>
      <c r="T145" s="211">
        <f t="shared" si="28"/>
        <v>-8.3004328526375204</v>
      </c>
      <c r="U145" s="211">
        <f t="shared" si="28"/>
        <v>0</v>
      </c>
      <c r="V145" s="211">
        <f t="shared" si="28"/>
        <v>-8.6528171311999302E-2</v>
      </c>
      <c r="W145" s="211">
        <f t="shared" si="28"/>
        <v>0</v>
      </c>
      <c r="X145" s="211">
        <f t="shared" si="28"/>
        <v>-147.65443929406138</v>
      </c>
      <c r="Y145" s="211">
        <f t="shared" si="28"/>
        <v>0</v>
      </c>
      <c r="AQ145" s="19"/>
    </row>
    <row r="146" spans="3:43" x14ac:dyDescent="0.25">
      <c r="C146" s="52"/>
      <c r="F146" t="s">
        <v>47</v>
      </c>
      <c r="G146" t="s">
        <v>102</v>
      </c>
      <c r="J146" s="211">
        <f t="shared" si="28"/>
        <v>1155.6546709826298</v>
      </c>
      <c r="K146" s="211">
        <f t="shared" si="28"/>
        <v>4.0813097307075248</v>
      </c>
      <c r="L146" s="211">
        <f t="shared" si="28"/>
        <v>453.1891549850057</v>
      </c>
      <c r="M146" s="211">
        <f t="shared" si="28"/>
        <v>2.6099309884563078</v>
      </c>
      <c r="N146" s="211">
        <f t="shared" si="28"/>
        <v>461.10075978614924</v>
      </c>
      <c r="O146" s="211">
        <f t="shared" si="28"/>
        <v>40.879273583941973</v>
      </c>
      <c r="P146" s="211">
        <f t="shared" si="28"/>
        <v>443.88606678310128</v>
      </c>
      <c r="Q146" s="211">
        <f t="shared" si="28"/>
        <v>39.259692718108901</v>
      </c>
      <c r="R146" s="211">
        <f t="shared" si="28"/>
        <v>-2.456953644131044</v>
      </c>
      <c r="S146" s="211">
        <f t="shared" si="28"/>
        <v>-2.4688656628392727E-2</v>
      </c>
      <c r="T146" s="211">
        <f t="shared" si="28"/>
        <v>-8.2469845089805514</v>
      </c>
      <c r="U146" s="211">
        <f t="shared" si="28"/>
        <v>0</v>
      </c>
      <c r="V146" s="211">
        <f t="shared" si="28"/>
        <v>-8.705358787720395E-2</v>
      </c>
      <c r="W146" s="211">
        <f t="shared" si="28"/>
        <v>0</v>
      </c>
      <c r="X146" s="211">
        <f t="shared" si="28"/>
        <v>-142.22158228909586</v>
      </c>
      <c r="Y146" s="211">
        <f t="shared" si="28"/>
        <v>0</v>
      </c>
      <c r="AQ146" s="19"/>
    </row>
    <row r="147" spans="3:43" x14ac:dyDescent="0.25">
      <c r="C147" s="52"/>
      <c r="F147" t="s">
        <v>51</v>
      </c>
      <c r="G147" t="s">
        <v>102</v>
      </c>
      <c r="H147" s="79"/>
      <c r="J147" s="211">
        <f t="shared" si="28"/>
        <v>0</v>
      </c>
      <c r="K147" s="211">
        <f t="shared" si="28"/>
        <v>0</v>
      </c>
      <c r="L147" s="211">
        <f t="shared" si="28"/>
        <v>0</v>
      </c>
      <c r="M147" s="211">
        <f t="shared" si="28"/>
        <v>0</v>
      </c>
      <c r="N147" s="211">
        <f t="shared" si="28"/>
        <v>0</v>
      </c>
      <c r="O147" s="211">
        <f t="shared" si="28"/>
        <v>0</v>
      </c>
      <c r="P147" s="211">
        <f t="shared" si="28"/>
        <v>0</v>
      </c>
      <c r="Q147" s="211">
        <f t="shared" si="28"/>
        <v>0</v>
      </c>
      <c r="R147" s="211">
        <f t="shared" si="28"/>
        <v>0</v>
      </c>
      <c r="S147" s="211">
        <f t="shared" si="28"/>
        <v>0</v>
      </c>
      <c r="T147" s="211">
        <f t="shared" si="28"/>
        <v>0</v>
      </c>
      <c r="U147" s="211">
        <f t="shared" si="28"/>
        <v>0</v>
      </c>
      <c r="V147" s="211">
        <f t="shared" si="28"/>
        <v>0</v>
      </c>
      <c r="W147" s="211">
        <f t="shared" si="28"/>
        <v>0</v>
      </c>
      <c r="X147" s="211">
        <f t="shared" si="28"/>
        <v>0</v>
      </c>
      <c r="Y147" s="211">
        <f t="shared" si="28"/>
        <v>0</v>
      </c>
      <c r="AQ147" s="19"/>
    </row>
    <row r="148" spans="3:43" x14ac:dyDescent="0.25">
      <c r="C148" s="52"/>
      <c r="F148" t="s">
        <v>48</v>
      </c>
      <c r="G148" t="s">
        <v>102</v>
      </c>
      <c r="J148" s="211">
        <f t="shared" si="28"/>
        <v>1143.2404118216834</v>
      </c>
      <c r="K148" s="211">
        <f t="shared" si="28"/>
        <v>4.0374675363346899</v>
      </c>
      <c r="L148" s="211">
        <f t="shared" si="28"/>
        <v>448.32091210919015</v>
      </c>
      <c r="M148" s="211">
        <f t="shared" si="28"/>
        <v>2.5818946204162496</v>
      </c>
      <c r="N148" s="211">
        <f>N88 + N111 + N134</f>
        <v>456.147528968134</v>
      </c>
      <c r="O148" s="211">
        <f t="shared" si="28"/>
        <v>40.440140762239466</v>
      </c>
      <c r="P148" s="211">
        <f t="shared" si="28"/>
        <v>439.11775942507973</v>
      </c>
      <c r="Q148" s="211">
        <f t="shared" si="28"/>
        <v>38.837957737738591</v>
      </c>
      <c r="R148" s="211">
        <f t="shared" si="28"/>
        <v>-2.4305605874069798</v>
      </c>
      <c r="S148" s="211">
        <f t="shared" si="28"/>
        <v>-2.4423446449767405E-2</v>
      </c>
      <c r="T148" s="211">
        <f t="shared" si="28"/>
        <v>-8.1583938550754844</v>
      </c>
      <c r="U148" s="211">
        <f t="shared" si="28"/>
        <v>0</v>
      </c>
      <c r="V148" s="211">
        <f t="shared" si="28"/>
        <v>-8.6118441913679289E-2</v>
      </c>
      <c r="W148" s="211">
        <f t="shared" si="28"/>
        <v>0</v>
      </c>
      <c r="X148" s="211">
        <f t="shared" si="28"/>
        <v>0</v>
      </c>
      <c r="Y148" s="211">
        <f t="shared" si="28"/>
        <v>0</v>
      </c>
      <c r="AQ148" s="19"/>
    </row>
    <row r="149" spans="3:43" x14ac:dyDescent="0.25">
      <c r="C149" s="52"/>
      <c r="F149" t="s">
        <v>49</v>
      </c>
      <c r="G149" t="s">
        <v>102</v>
      </c>
      <c r="J149" s="211">
        <f t="shared" si="28"/>
        <v>1121.3392545070919</v>
      </c>
      <c r="K149" s="211">
        <f t="shared" si="28"/>
        <v>3.9601214149489676</v>
      </c>
      <c r="L149" s="211">
        <f t="shared" si="28"/>
        <v>439.73238888870759</v>
      </c>
      <c r="M149" s="211">
        <f t="shared" si="28"/>
        <v>2.5324330376496547</v>
      </c>
      <c r="N149" s="211">
        <f t="shared" si="28"/>
        <v>447.40907055878273</v>
      </c>
      <c r="O149" s="211">
        <f t="shared" si="28"/>
        <v>39.665425421966674</v>
      </c>
      <c r="P149" s="211">
        <f t="shared" si="28"/>
        <v>0</v>
      </c>
      <c r="Q149" s="211">
        <f t="shared" si="28"/>
        <v>38.093935558854717</v>
      </c>
      <c r="R149" s="211">
        <f t="shared" si="28"/>
        <v>-2.383998124046693</v>
      </c>
      <c r="S149" s="211">
        <f t="shared" si="28"/>
        <v>0</v>
      </c>
      <c r="T149" s="211">
        <f t="shared" si="28"/>
        <v>-8.0021027850548805</v>
      </c>
      <c r="U149" s="211">
        <f t="shared" si="28"/>
        <v>0</v>
      </c>
      <c r="V149" s="211">
        <f t="shared" si="28"/>
        <v>0</v>
      </c>
      <c r="W149" s="211">
        <f t="shared" si="28"/>
        <v>0</v>
      </c>
      <c r="X149" s="211">
        <f t="shared" si="28"/>
        <v>0</v>
      </c>
      <c r="Y149" s="211">
        <f t="shared" si="28"/>
        <v>0</v>
      </c>
      <c r="AQ149" s="19"/>
    </row>
    <row r="150" spans="3:43" x14ac:dyDescent="0.25">
      <c r="C150" s="52"/>
      <c r="F150" s="17" t="s">
        <v>50</v>
      </c>
      <c r="G150" s="17" t="s">
        <v>102</v>
      </c>
      <c r="H150" s="17"/>
      <c r="I150" s="17"/>
      <c r="J150" s="220">
        <f t="shared" si="28"/>
        <v>1059.437268511678</v>
      </c>
      <c r="K150" s="220">
        <f t="shared" si="28"/>
        <v>3.7415083775626448</v>
      </c>
      <c r="L150" s="220">
        <f t="shared" si="28"/>
        <v>415.45756923059793</v>
      </c>
      <c r="M150" s="220">
        <f t="shared" si="28"/>
        <v>2.392633566792977</v>
      </c>
      <c r="N150" s="220">
        <f t="shared" si="28"/>
        <v>422.71047028359203</v>
      </c>
      <c r="O150" s="220">
        <f t="shared" si="28"/>
        <v>0</v>
      </c>
      <c r="P150" s="220">
        <f t="shared" si="28"/>
        <v>0</v>
      </c>
      <c r="Q150" s="220">
        <f t="shared" si="28"/>
        <v>35.991012419406623</v>
      </c>
      <c r="R150" s="220">
        <f t="shared" si="28"/>
        <v>0</v>
      </c>
      <c r="S150" s="220">
        <f t="shared" si="28"/>
        <v>0</v>
      </c>
      <c r="T150" s="220">
        <f t="shared" si="28"/>
        <v>0</v>
      </c>
      <c r="U150" s="220">
        <f t="shared" si="28"/>
        <v>0</v>
      </c>
      <c r="V150" s="220">
        <f t="shared" si="28"/>
        <v>0</v>
      </c>
      <c r="W150" s="220">
        <f t="shared" si="28"/>
        <v>0</v>
      </c>
      <c r="X150" s="220">
        <f t="shared" si="28"/>
        <v>0</v>
      </c>
      <c r="Y150" s="220">
        <f t="shared" si="28"/>
        <v>0</v>
      </c>
      <c r="AQ150" s="19"/>
    </row>
    <row r="151" spans="3:43" x14ac:dyDescent="0.25">
      <c r="C151" s="52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AQ151" s="19"/>
    </row>
    <row r="152" spans="3:43" x14ac:dyDescent="0.25">
      <c r="E152" s="52" t="s">
        <v>666</v>
      </c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AQ152" s="19"/>
    </row>
    <row r="153" spans="3:43" x14ac:dyDescent="0.25">
      <c r="E153" s="73" t="s">
        <v>614</v>
      </c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AQ153" s="19"/>
    </row>
    <row r="154" spans="3:43" x14ac:dyDescent="0.25">
      <c r="C154" s="52"/>
      <c r="F154" s="80" t="s">
        <v>43</v>
      </c>
      <c r="G154" s="80" t="s">
        <v>113</v>
      </c>
      <c r="H154" s="213">
        <f t="shared" ref="H154:H162" si="29">SUM(J142:Y142) * thousand</f>
        <v>2499192.3496542401</v>
      </c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AQ154" s="19"/>
    </row>
    <row r="155" spans="3:43" x14ac:dyDescent="0.25">
      <c r="C155" s="52"/>
      <c r="F155" t="s">
        <v>44</v>
      </c>
      <c r="G155" t="s">
        <v>113</v>
      </c>
      <c r="H155" s="215">
        <f t="shared" si="29"/>
        <v>0</v>
      </c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AQ155" s="19"/>
    </row>
    <row r="156" spans="3:43" x14ac:dyDescent="0.25">
      <c r="C156" s="52"/>
      <c r="F156" t="s">
        <v>45</v>
      </c>
      <c r="G156" t="s">
        <v>113</v>
      </c>
      <c r="H156" s="215">
        <f t="shared" si="29"/>
        <v>0</v>
      </c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AQ156" s="19"/>
    </row>
    <row r="157" spans="3:43" x14ac:dyDescent="0.25">
      <c r="C157" s="52"/>
      <c r="F157" t="s">
        <v>46</v>
      </c>
      <c r="G157" t="s">
        <v>113</v>
      </c>
      <c r="H157" s="215">
        <f t="shared" si="29"/>
        <v>2494203.9417706993</v>
      </c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AQ157" s="19"/>
    </row>
    <row r="158" spans="3:43" x14ac:dyDescent="0.25">
      <c r="C158" s="52"/>
      <c r="F158" t="s">
        <v>47</v>
      </c>
      <c r="G158" t="s">
        <v>113</v>
      </c>
      <c r="H158" s="215">
        <f t="shared" si="29"/>
        <v>2447623.5968713881</v>
      </c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AQ158" s="19"/>
    </row>
    <row r="159" spans="3:43" x14ac:dyDescent="0.25">
      <c r="C159" s="52"/>
      <c r="F159" t="s">
        <v>51</v>
      </c>
      <c r="G159" t="s">
        <v>113</v>
      </c>
      <c r="H159" s="215">
        <f t="shared" si="29"/>
        <v>0</v>
      </c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AQ159" s="19"/>
    </row>
    <row r="160" spans="3:43" x14ac:dyDescent="0.25">
      <c r="C160" s="52"/>
      <c r="F160" t="s">
        <v>48</v>
      </c>
      <c r="G160" t="s">
        <v>113</v>
      </c>
      <c r="H160" s="215">
        <f t="shared" si="29"/>
        <v>2562024.5766499704</v>
      </c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AQ160" s="19"/>
    </row>
    <row r="161" spans="3:43" x14ac:dyDescent="0.25">
      <c r="C161" s="52"/>
      <c r="F161" t="s">
        <v>49</v>
      </c>
      <c r="G161" t="s">
        <v>113</v>
      </c>
      <c r="H161" s="215">
        <f t="shared" si="29"/>
        <v>2082346.5284789014</v>
      </c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AQ161" s="19"/>
    </row>
    <row r="162" spans="3:43" x14ac:dyDescent="0.25">
      <c r="C162" s="52"/>
      <c r="F162" s="17" t="s">
        <v>50</v>
      </c>
      <c r="G162" s="17" t="s">
        <v>113</v>
      </c>
      <c r="H162" s="217">
        <f t="shared" si="29"/>
        <v>1939730.4623896303</v>
      </c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AQ162" s="19"/>
    </row>
    <row r="163" spans="3:43" x14ac:dyDescent="0.25">
      <c r="C163" s="52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AQ163" s="19"/>
    </row>
    <row r="164" spans="3:43" x14ac:dyDescent="0.25">
      <c r="C164" s="5" t="str">
        <f ca="1">INDEX('Version control'!$H$36:$H$62,MATCH($A$1,'Version control'!$F$36:$F$62,0),1)&amp;"-D: Unit rate contributions to chargeable peak load"</f>
        <v>Section 509-D: Unit rate contributions to chargeable peak load</v>
      </c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Q164" s="19"/>
    </row>
    <row r="165" spans="3:43" x14ac:dyDescent="0.25">
      <c r="H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</row>
    <row r="166" spans="3:43" x14ac:dyDescent="0.25">
      <c r="E166" s="52" t="s">
        <v>797</v>
      </c>
      <c r="H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</row>
    <row r="167" spans="3:43" x14ac:dyDescent="0.25">
      <c r="E167" s="73" t="s">
        <v>526</v>
      </c>
      <c r="F167" s="73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AQ167" s="19"/>
    </row>
    <row r="168" spans="3:43" x14ac:dyDescent="0.25">
      <c r="C168" s="52"/>
      <c r="F168" s="80" t="s">
        <v>43</v>
      </c>
      <c r="G168" s="80" t="s">
        <v>102</v>
      </c>
      <c r="H168" s="67"/>
      <c r="I168" s="80"/>
      <c r="J168" s="223">
        <f t="shared" ref="J168:Y176" si="30">J142 * (1 - J23)</f>
        <v>1211.3620875826575</v>
      </c>
      <c r="K168" s="223">
        <f t="shared" si="30"/>
        <v>2.989328854499961</v>
      </c>
      <c r="L168" s="223">
        <f t="shared" si="30"/>
        <v>449.23635064480658</v>
      </c>
      <c r="M168" s="223">
        <f t="shared" si="30"/>
        <v>2.1456246518431294</v>
      </c>
      <c r="N168" s="223">
        <f t="shared" si="30"/>
        <v>461.78848905694991</v>
      </c>
      <c r="O168" s="223">
        <f t="shared" si="30"/>
        <v>41.086048063667683</v>
      </c>
      <c r="P168" s="223">
        <f t="shared" si="30"/>
        <v>446.21818687202494</v>
      </c>
      <c r="Q168" s="223">
        <f t="shared" si="30"/>
        <v>43.175810741874379</v>
      </c>
      <c r="R168" s="223">
        <f t="shared" si="30"/>
        <v>-2.4307035052724024</v>
      </c>
      <c r="S168" s="223">
        <f t="shared" si="30"/>
        <v>-2.5390190164956496E-2</v>
      </c>
      <c r="T168" s="223">
        <f t="shared" si="30"/>
        <v>-8.3170337183427954</v>
      </c>
      <c r="U168" s="223">
        <f t="shared" si="30"/>
        <v>0</v>
      </c>
      <c r="V168" s="223">
        <f t="shared" si="30"/>
        <v>-8.6701227654623292E-2</v>
      </c>
      <c r="W168" s="223">
        <f t="shared" si="30"/>
        <v>0</v>
      </c>
      <c r="X168" s="223">
        <f t="shared" si="30"/>
        <v>-147.94974817264949</v>
      </c>
      <c r="Y168" s="223">
        <f t="shared" si="30"/>
        <v>0</v>
      </c>
      <c r="AQ168" s="19"/>
    </row>
    <row r="169" spans="3:43" x14ac:dyDescent="0.25">
      <c r="C169" s="52"/>
      <c r="F169" t="s">
        <v>44</v>
      </c>
      <c r="G169" t="s">
        <v>102</v>
      </c>
      <c r="H169" s="79"/>
      <c r="J169" s="211">
        <f t="shared" si="30"/>
        <v>0</v>
      </c>
      <c r="K169" s="211">
        <f t="shared" si="30"/>
        <v>0</v>
      </c>
      <c r="L169" s="211">
        <f t="shared" si="30"/>
        <v>0</v>
      </c>
      <c r="M169" s="211">
        <f t="shared" si="30"/>
        <v>0</v>
      </c>
      <c r="N169" s="211">
        <f t="shared" si="30"/>
        <v>0</v>
      </c>
      <c r="O169" s="211">
        <f t="shared" si="30"/>
        <v>0</v>
      </c>
      <c r="P169" s="211">
        <f t="shared" si="30"/>
        <v>0</v>
      </c>
      <c r="Q169" s="211">
        <f t="shared" si="30"/>
        <v>0</v>
      </c>
      <c r="R169" s="211">
        <f t="shared" si="30"/>
        <v>0</v>
      </c>
      <c r="S169" s="211">
        <f t="shared" si="30"/>
        <v>0</v>
      </c>
      <c r="T169" s="211">
        <f t="shared" si="30"/>
        <v>0</v>
      </c>
      <c r="U169" s="211">
        <f t="shared" si="30"/>
        <v>0</v>
      </c>
      <c r="V169" s="211">
        <f t="shared" si="30"/>
        <v>0</v>
      </c>
      <c r="W169" s="211">
        <f t="shared" si="30"/>
        <v>0</v>
      </c>
      <c r="X169" s="211">
        <f t="shared" si="30"/>
        <v>0</v>
      </c>
      <c r="Y169" s="211">
        <f t="shared" si="30"/>
        <v>0</v>
      </c>
      <c r="AQ169" s="19"/>
    </row>
    <row r="170" spans="3:43" x14ac:dyDescent="0.25">
      <c r="C170" s="52"/>
      <c r="F170" t="s">
        <v>45</v>
      </c>
      <c r="G170" t="s">
        <v>102</v>
      </c>
      <c r="H170" s="79"/>
      <c r="J170" s="211">
        <f t="shared" si="30"/>
        <v>0</v>
      </c>
      <c r="K170" s="211">
        <f t="shared" si="30"/>
        <v>0</v>
      </c>
      <c r="L170" s="211">
        <f t="shared" si="30"/>
        <v>0</v>
      </c>
      <c r="M170" s="211">
        <f t="shared" si="30"/>
        <v>0</v>
      </c>
      <c r="N170" s="211">
        <f t="shared" si="30"/>
        <v>0</v>
      </c>
      <c r="O170" s="211">
        <f t="shared" si="30"/>
        <v>0</v>
      </c>
      <c r="P170" s="211">
        <f t="shared" si="30"/>
        <v>0</v>
      </c>
      <c r="Q170" s="211">
        <f t="shared" si="30"/>
        <v>0</v>
      </c>
      <c r="R170" s="211">
        <f t="shared" si="30"/>
        <v>0</v>
      </c>
      <c r="S170" s="211">
        <f t="shared" si="30"/>
        <v>0</v>
      </c>
      <c r="T170" s="211">
        <f t="shared" si="30"/>
        <v>0</v>
      </c>
      <c r="U170" s="211">
        <f t="shared" si="30"/>
        <v>0</v>
      </c>
      <c r="V170" s="211">
        <f t="shared" si="30"/>
        <v>0</v>
      </c>
      <c r="W170" s="211">
        <f t="shared" si="30"/>
        <v>0</v>
      </c>
      <c r="X170" s="211">
        <f t="shared" si="30"/>
        <v>0</v>
      </c>
      <c r="Y170" s="211">
        <f t="shared" si="30"/>
        <v>0</v>
      </c>
      <c r="AQ170" s="19"/>
    </row>
    <row r="171" spans="3:43" x14ac:dyDescent="0.25">
      <c r="C171" s="52"/>
      <c r="F171" t="s">
        <v>46</v>
      </c>
      <c r="G171" t="s">
        <v>102</v>
      </c>
      <c r="H171" s="79"/>
      <c r="J171" s="211">
        <f t="shared" si="30"/>
        <v>1208.9441991842889</v>
      </c>
      <c r="K171" s="211">
        <f t="shared" si="30"/>
        <v>2.9833621302394819</v>
      </c>
      <c r="L171" s="211">
        <f t="shared" si="30"/>
        <v>448.33967130220219</v>
      </c>
      <c r="M171" s="211">
        <f t="shared" si="30"/>
        <v>2.1413419679073145</v>
      </c>
      <c r="N171" s="211">
        <f t="shared" si="30"/>
        <v>460.86675554585827</v>
      </c>
      <c r="O171" s="211">
        <f t="shared" si="30"/>
        <v>41.004039983700288</v>
      </c>
      <c r="P171" s="211">
        <f t="shared" si="30"/>
        <v>356.26202544672657</v>
      </c>
      <c r="Q171" s="211">
        <f t="shared" si="30"/>
        <v>43.089631478916544</v>
      </c>
      <c r="R171" s="211">
        <f t="shared" si="30"/>
        <v>-2.4258518016690638</v>
      </c>
      <c r="S171" s="211">
        <f t="shared" si="30"/>
        <v>-2.5339511142671151E-2</v>
      </c>
      <c r="T171" s="211">
        <f t="shared" si="30"/>
        <v>-8.3004328526375204</v>
      </c>
      <c r="U171" s="211">
        <f t="shared" si="30"/>
        <v>0</v>
      </c>
      <c r="V171" s="211">
        <f t="shared" si="30"/>
        <v>-8.6528171311999302E-2</v>
      </c>
      <c r="W171" s="211">
        <f t="shared" si="30"/>
        <v>0</v>
      </c>
      <c r="X171" s="211">
        <f t="shared" si="30"/>
        <v>-147.65443929406138</v>
      </c>
      <c r="Y171" s="211">
        <f t="shared" si="30"/>
        <v>0</v>
      </c>
      <c r="AQ171" s="19"/>
    </row>
    <row r="172" spans="3:43" x14ac:dyDescent="0.25">
      <c r="C172" s="52"/>
      <c r="F172" t="s">
        <v>47</v>
      </c>
      <c r="G172" t="s">
        <v>102</v>
      </c>
      <c r="H172" s="79"/>
      <c r="J172" s="211">
        <f t="shared" si="30"/>
        <v>1155.6546709826298</v>
      </c>
      <c r="K172" s="211">
        <f t="shared" si="30"/>
        <v>4.0813097307075248</v>
      </c>
      <c r="L172" s="211">
        <f t="shared" si="30"/>
        <v>453.1891549850057</v>
      </c>
      <c r="M172" s="211">
        <f t="shared" si="30"/>
        <v>2.6099309884563078</v>
      </c>
      <c r="N172" s="211">
        <f t="shared" si="30"/>
        <v>461.10075978614924</v>
      </c>
      <c r="O172" s="211">
        <f t="shared" si="30"/>
        <v>40.879273583941973</v>
      </c>
      <c r="P172" s="211">
        <f t="shared" si="30"/>
        <v>0</v>
      </c>
      <c r="Q172" s="211">
        <f t="shared" si="30"/>
        <v>39.259692718108901</v>
      </c>
      <c r="R172" s="211">
        <f t="shared" si="30"/>
        <v>-2.456953644131044</v>
      </c>
      <c r="S172" s="211">
        <f t="shared" si="30"/>
        <v>-2.4688656628392727E-2</v>
      </c>
      <c r="T172" s="211">
        <f t="shared" si="30"/>
        <v>-8.2469845089805514</v>
      </c>
      <c r="U172" s="211">
        <f t="shared" si="30"/>
        <v>0</v>
      </c>
      <c r="V172" s="211">
        <f t="shared" si="30"/>
        <v>-8.705358787720395E-2</v>
      </c>
      <c r="W172" s="211">
        <f t="shared" si="30"/>
        <v>0</v>
      </c>
      <c r="X172" s="211">
        <f t="shared" si="30"/>
        <v>-142.22158228909586</v>
      </c>
      <c r="Y172" s="211">
        <f t="shared" si="30"/>
        <v>0</v>
      </c>
      <c r="AQ172" s="19"/>
    </row>
    <row r="173" spans="3:43" x14ac:dyDescent="0.25">
      <c r="C173" s="52"/>
      <c r="F173" t="s">
        <v>51</v>
      </c>
      <c r="G173" t="s">
        <v>102</v>
      </c>
      <c r="H173" s="79"/>
      <c r="J173" s="211">
        <f t="shared" si="30"/>
        <v>0</v>
      </c>
      <c r="K173" s="211">
        <f t="shared" si="30"/>
        <v>0</v>
      </c>
      <c r="L173" s="211">
        <f t="shared" si="30"/>
        <v>0</v>
      </c>
      <c r="M173" s="211">
        <f t="shared" si="30"/>
        <v>0</v>
      </c>
      <c r="N173" s="211">
        <f t="shared" si="30"/>
        <v>0</v>
      </c>
      <c r="O173" s="211">
        <f t="shared" si="30"/>
        <v>0</v>
      </c>
      <c r="P173" s="211">
        <f t="shared" si="30"/>
        <v>0</v>
      </c>
      <c r="Q173" s="211">
        <f t="shared" si="30"/>
        <v>0</v>
      </c>
      <c r="R173" s="211">
        <f t="shared" si="30"/>
        <v>0</v>
      </c>
      <c r="S173" s="211">
        <f t="shared" si="30"/>
        <v>0</v>
      </c>
      <c r="T173" s="211">
        <f t="shared" si="30"/>
        <v>0</v>
      </c>
      <c r="U173" s="211">
        <f t="shared" si="30"/>
        <v>0</v>
      </c>
      <c r="V173" s="211">
        <f t="shared" si="30"/>
        <v>0</v>
      </c>
      <c r="W173" s="211">
        <f t="shared" si="30"/>
        <v>0</v>
      </c>
      <c r="X173" s="211">
        <f t="shared" si="30"/>
        <v>0</v>
      </c>
      <c r="Y173" s="211">
        <f t="shared" si="30"/>
        <v>0</v>
      </c>
      <c r="AQ173" s="19"/>
    </row>
    <row r="174" spans="3:43" x14ac:dyDescent="0.25">
      <c r="C174" s="52"/>
      <c r="F174" t="s">
        <v>48</v>
      </c>
      <c r="G174" t="s">
        <v>102</v>
      </c>
      <c r="H174" s="79"/>
      <c r="J174" s="211">
        <f t="shared" si="30"/>
        <v>1143.2404118216834</v>
      </c>
      <c r="K174" s="211">
        <f t="shared" si="30"/>
        <v>4.0374675363346899</v>
      </c>
      <c r="L174" s="211">
        <f t="shared" si="30"/>
        <v>448.32091210919015</v>
      </c>
      <c r="M174" s="211">
        <f t="shared" si="30"/>
        <v>2.5818946204162496</v>
      </c>
      <c r="N174" s="211">
        <f t="shared" si="30"/>
        <v>364.9180231745072</v>
      </c>
      <c r="O174" s="211">
        <f t="shared" si="30"/>
        <v>0</v>
      </c>
      <c r="P174" s="211">
        <f t="shared" si="30"/>
        <v>0</v>
      </c>
      <c r="Q174" s="211">
        <f t="shared" si="30"/>
        <v>38.837957737738591</v>
      </c>
      <c r="R174" s="211">
        <f t="shared" si="30"/>
        <v>-2.4305605874069798</v>
      </c>
      <c r="S174" s="211">
        <f t="shared" si="30"/>
        <v>-2.4423446449767405E-2</v>
      </c>
      <c r="T174" s="211">
        <f t="shared" si="30"/>
        <v>-8.1583938550754844</v>
      </c>
      <c r="U174" s="211">
        <f t="shared" si="30"/>
        <v>0</v>
      </c>
      <c r="V174" s="211">
        <f t="shared" si="30"/>
        <v>-8.6118441913679289E-2</v>
      </c>
      <c r="W174" s="211">
        <f t="shared" si="30"/>
        <v>0</v>
      </c>
      <c r="X174" s="211">
        <f t="shared" si="30"/>
        <v>0</v>
      </c>
      <c r="Y174" s="211">
        <f t="shared" si="30"/>
        <v>0</v>
      </c>
      <c r="AQ174" s="19"/>
    </row>
    <row r="175" spans="3:43" x14ac:dyDescent="0.25">
      <c r="C175" s="52"/>
      <c r="F175" t="s">
        <v>49</v>
      </c>
      <c r="G175" t="s">
        <v>102</v>
      </c>
      <c r="H175" s="79"/>
      <c r="J175" s="211">
        <f t="shared" si="30"/>
        <v>1121.3392545070919</v>
      </c>
      <c r="K175" s="211">
        <f t="shared" si="30"/>
        <v>3.9601214149489676</v>
      </c>
      <c r="L175" s="211">
        <f t="shared" si="30"/>
        <v>439.73238888870759</v>
      </c>
      <c r="M175" s="211">
        <f t="shared" si="30"/>
        <v>2.5324330376496547</v>
      </c>
      <c r="N175" s="211">
        <f t="shared" si="30"/>
        <v>0</v>
      </c>
      <c r="O175" s="211">
        <f t="shared" si="30"/>
        <v>0</v>
      </c>
      <c r="P175" s="211">
        <f t="shared" si="30"/>
        <v>0</v>
      </c>
      <c r="Q175" s="211">
        <f t="shared" si="30"/>
        <v>38.093935558854717</v>
      </c>
      <c r="R175" s="211">
        <f t="shared" si="30"/>
        <v>-2.383998124046693</v>
      </c>
      <c r="S175" s="211">
        <f t="shared" si="30"/>
        <v>0</v>
      </c>
      <c r="T175" s="211">
        <f t="shared" si="30"/>
        <v>-8.0021027850548805</v>
      </c>
      <c r="U175" s="211">
        <f t="shared" si="30"/>
        <v>0</v>
      </c>
      <c r="V175" s="211">
        <f t="shared" si="30"/>
        <v>0</v>
      </c>
      <c r="W175" s="211">
        <f t="shared" si="30"/>
        <v>0</v>
      </c>
      <c r="X175" s="211">
        <f t="shared" si="30"/>
        <v>0</v>
      </c>
      <c r="Y175" s="211">
        <f t="shared" si="30"/>
        <v>0</v>
      </c>
      <c r="AQ175" s="19"/>
    </row>
    <row r="176" spans="3:43" x14ac:dyDescent="0.25">
      <c r="C176" s="52"/>
      <c r="F176" s="17" t="s">
        <v>50</v>
      </c>
      <c r="G176" s="17" t="s">
        <v>102</v>
      </c>
      <c r="H176" s="159"/>
      <c r="I176" s="17"/>
      <c r="J176" s="220">
        <f t="shared" si="30"/>
        <v>0</v>
      </c>
      <c r="K176" s="220">
        <f t="shared" si="30"/>
        <v>0</v>
      </c>
      <c r="L176" s="220">
        <f t="shared" si="30"/>
        <v>0</v>
      </c>
      <c r="M176" s="220">
        <f t="shared" si="30"/>
        <v>0</v>
      </c>
      <c r="N176" s="220">
        <f t="shared" si="30"/>
        <v>0</v>
      </c>
      <c r="O176" s="220">
        <f t="shared" si="30"/>
        <v>0</v>
      </c>
      <c r="P176" s="220">
        <f t="shared" si="30"/>
        <v>0</v>
      </c>
      <c r="Q176" s="220">
        <f t="shared" si="30"/>
        <v>35.991012419406623</v>
      </c>
      <c r="R176" s="220">
        <f t="shared" si="30"/>
        <v>0</v>
      </c>
      <c r="S176" s="220">
        <f t="shared" si="30"/>
        <v>0</v>
      </c>
      <c r="T176" s="220">
        <f t="shared" si="30"/>
        <v>0</v>
      </c>
      <c r="U176" s="220">
        <f t="shared" si="30"/>
        <v>0</v>
      </c>
      <c r="V176" s="220">
        <f t="shared" si="30"/>
        <v>0</v>
      </c>
      <c r="W176" s="220">
        <f t="shared" si="30"/>
        <v>0</v>
      </c>
      <c r="X176" s="220">
        <f t="shared" si="30"/>
        <v>0</v>
      </c>
      <c r="Y176" s="220">
        <f t="shared" si="30"/>
        <v>0</v>
      </c>
      <c r="AQ176" s="19"/>
    </row>
    <row r="177" spans="2:43" x14ac:dyDescent="0.25">
      <c r="C177" s="52"/>
      <c r="F177" s="66" t="s">
        <v>111</v>
      </c>
      <c r="G177" s="66" t="s">
        <v>102</v>
      </c>
      <c r="H177" s="63"/>
      <c r="I177" s="66"/>
      <c r="J177" s="235">
        <f t="shared" ref="J177:Y177" si="31">SUM(J168:J176)</f>
        <v>5840.5406240783514</v>
      </c>
      <c r="K177" s="235">
        <f t="shared" si="31"/>
        <v>18.051589666730624</v>
      </c>
      <c r="L177" s="235">
        <f t="shared" si="31"/>
        <v>2238.8184779299122</v>
      </c>
      <c r="M177" s="235">
        <f t="shared" si="31"/>
        <v>12.011225266272657</v>
      </c>
      <c r="N177" s="235">
        <f t="shared" si="31"/>
        <v>1748.6740275634645</v>
      </c>
      <c r="O177" s="235">
        <f t="shared" si="31"/>
        <v>122.96936163130994</v>
      </c>
      <c r="P177" s="235">
        <f t="shared" si="31"/>
        <v>802.48021231875146</v>
      </c>
      <c r="Q177" s="235">
        <f t="shared" si="31"/>
        <v>238.44804065489976</v>
      </c>
      <c r="R177" s="235">
        <f t="shared" si="31"/>
        <v>-12.128067662526183</v>
      </c>
      <c r="S177" s="235">
        <f t="shared" si="31"/>
        <v>-9.9841804385787783E-2</v>
      </c>
      <c r="T177" s="235">
        <f t="shared" si="31"/>
        <v>-41.024947720091227</v>
      </c>
      <c r="U177" s="235">
        <f t="shared" si="31"/>
        <v>0</v>
      </c>
      <c r="V177" s="235">
        <f t="shared" si="31"/>
        <v>-0.34640142875750585</v>
      </c>
      <c r="W177" s="235">
        <f t="shared" si="31"/>
        <v>0</v>
      </c>
      <c r="X177" s="235">
        <f t="shared" si="31"/>
        <v>-437.82576975580673</v>
      </c>
      <c r="Y177" s="235">
        <f t="shared" si="31"/>
        <v>0</v>
      </c>
      <c r="AQ177" s="19"/>
    </row>
    <row r="178" spans="2:43" x14ac:dyDescent="0.25">
      <c r="H178" s="74"/>
    </row>
    <row r="179" spans="2:43" x14ac:dyDescent="0.25">
      <c r="B179" s="82" t="s">
        <v>287</v>
      </c>
      <c r="C179" s="82"/>
      <c r="D179" s="82"/>
      <c r="E179" s="82"/>
      <c r="F179" s="82"/>
      <c r="G179" s="82"/>
      <c r="H179" s="82"/>
      <c r="I179" s="82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82"/>
      <c r="AA179" s="82"/>
      <c r="AQ179" s="19"/>
    </row>
    <row r="180" spans="2:43" x14ac:dyDescent="0.25">
      <c r="C180" s="52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AQ180" s="19"/>
    </row>
    <row r="181" spans="2:43" x14ac:dyDescent="0.25">
      <c r="C181" s="73" t="s">
        <v>350</v>
      </c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AQ181" s="19"/>
    </row>
    <row r="182" spans="2:43" x14ac:dyDescent="0.25">
      <c r="C182" s="73" t="s">
        <v>714</v>
      </c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AQ182" s="19"/>
    </row>
    <row r="183" spans="2:43" x14ac:dyDescent="0.25">
      <c r="C183" s="52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AQ183" s="19"/>
    </row>
    <row r="184" spans="2:43" x14ac:dyDescent="0.25">
      <c r="C184" s="5" t="str">
        <f ca="1">INDEX('Version control'!$H$36:$H$62,MATCH($A$1,'Version control'!$F$36:$F$62,0),1)&amp;"-E: Adjustment of import and exceeded capacity"</f>
        <v>Section 509-E: Adjustment of import and exceeded capacity</v>
      </c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Q184" s="19"/>
    </row>
    <row r="185" spans="2:43" x14ac:dyDescent="0.25">
      <c r="C185" s="52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AQ185" s="19"/>
    </row>
    <row r="186" spans="2:43" x14ac:dyDescent="0.25">
      <c r="D186" s="73" t="s">
        <v>351</v>
      </c>
      <c r="E186" s="73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AQ186" s="19"/>
    </row>
    <row r="187" spans="2:43" x14ac:dyDescent="0.25"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AQ187" s="19"/>
    </row>
    <row r="188" spans="2:43" x14ac:dyDescent="0.25">
      <c r="C188" s="52"/>
      <c r="E188" t="s">
        <v>202</v>
      </c>
      <c r="G188" t="s">
        <v>169</v>
      </c>
      <c r="J188" s="229">
        <f>'Volume adjustments'!J286</f>
        <v>0</v>
      </c>
      <c r="K188" s="229">
        <f>'Volume adjustments'!K286</f>
        <v>0</v>
      </c>
      <c r="L188" s="229">
        <f>'Volume adjustments'!L286</f>
        <v>0</v>
      </c>
      <c r="M188" s="229">
        <f>'Volume adjustments'!M286</f>
        <v>0</v>
      </c>
      <c r="N188" s="229">
        <f>'Volume adjustments'!N286</f>
        <v>1572912.5297677796</v>
      </c>
      <c r="O188" s="229">
        <f>'Volume adjustments'!O286</f>
        <v>123014.40869069165</v>
      </c>
      <c r="P188" s="229">
        <f>'Volume adjustments'!P286</f>
        <v>1347106.3860908034</v>
      </c>
      <c r="Q188" s="229">
        <f>'Volume adjustments'!Q286</f>
        <v>0</v>
      </c>
      <c r="R188" s="229">
        <f>'Volume adjustments'!R286</f>
        <v>0</v>
      </c>
      <c r="S188" s="229">
        <f>'Volume adjustments'!S286</f>
        <v>0</v>
      </c>
      <c r="T188" s="229">
        <f>'Volume adjustments'!T286</f>
        <v>0</v>
      </c>
      <c r="U188" s="229">
        <f>'Volume adjustments'!U286</f>
        <v>0</v>
      </c>
      <c r="V188" s="229">
        <f>'Volume adjustments'!V286</f>
        <v>0</v>
      </c>
      <c r="W188" s="229">
        <f>'Volume adjustments'!W286</f>
        <v>0</v>
      </c>
      <c r="X188" s="229">
        <f>'Volume adjustments'!X286</f>
        <v>0</v>
      </c>
      <c r="Y188" s="229">
        <f>'Volume adjustments'!Y286</f>
        <v>0</v>
      </c>
      <c r="AQ188" s="19"/>
    </row>
    <row r="189" spans="2:43" x14ac:dyDescent="0.25">
      <c r="C189" s="52"/>
      <c r="E189" t="s">
        <v>203</v>
      </c>
      <c r="G189" t="s">
        <v>169</v>
      </c>
      <c r="J189" s="229">
        <f>'Volume adjustments'!J297</f>
        <v>0</v>
      </c>
      <c r="K189" s="229">
        <f>'Volume adjustments'!K297</f>
        <v>0</v>
      </c>
      <c r="L189" s="229">
        <f>'Volume adjustments'!L297</f>
        <v>0</v>
      </c>
      <c r="M189" s="229">
        <f>'Volume adjustments'!M297</f>
        <v>0</v>
      </c>
      <c r="N189" s="229">
        <f>'Volume adjustments'!N297</f>
        <v>22317.230517560045</v>
      </c>
      <c r="O189" s="229">
        <f>'Volume adjustments'!O297</f>
        <v>962.97776353043525</v>
      </c>
      <c r="P189" s="229">
        <f>'Volume adjustments'!P297</f>
        <v>14390.505285438476</v>
      </c>
      <c r="Q189" s="229">
        <f>'Volume adjustments'!Q297</f>
        <v>0</v>
      </c>
      <c r="R189" s="229">
        <f>'Volume adjustments'!R297</f>
        <v>0</v>
      </c>
      <c r="S189" s="229">
        <f>'Volume adjustments'!S297</f>
        <v>0</v>
      </c>
      <c r="T189" s="229">
        <f>'Volume adjustments'!T297</f>
        <v>0</v>
      </c>
      <c r="U189" s="229">
        <f>'Volume adjustments'!U297</f>
        <v>0</v>
      </c>
      <c r="V189" s="229">
        <f>'Volume adjustments'!V297</f>
        <v>0</v>
      </c>
      <c r="W189" s="229">
        <f>'Volume adjustments'!W297</f>
        <v>0</v>
      </c>
      <c r="X189" s="229">
        <f>'Volume adjustments'!X297</f>
        <v>0</v>
      </c>
      <c r="Y189" s="229">
        <f>'Volume adjustments'!Y297</f>
        <v>0</v>
      </c>
      <c r="AQ189" s="19"/>
    </row>
    <row r="190" spans="2:43" x14ac:dyDescent="0.25">
      <c r="C190" s="52"/>
      <c r="J190" s="229"/>
      <c r="K190" s="229"/>
      <c r="L190" s="229"/>
      <c r="M190" s="229"/>
      <c r="N190" s="229"/>
      <c r="O190" s="229"/>
      <c r="P190" s="229"/>
      <c r="Q190" s="229"/>
      <c r="R190" s="229"/>
      <c r="S190" s="229"/>
      <c r="T190" s="229"/>
      <c r="U190" s="229"/>
      <c r="V190" s="229"/>
      <c r="W190" s="229"/>
      <c r="X190" s="229"/>
      <c r="Y190" s="229"/>
      <c r="AQ190" s="19"/>
    </row>
    <row r="191" spans="2:43" x14ac:dyDescent="0.25">
      <c r="C191" s="52"/>
      <c r="E191" t="s">
        <v>264</v>
      </c>
      <c r="G191" t="s">
        <v>169</v>
      </c>
      <c r="J191" s="211">
        <f t="shared" ref="J191:Y191" si="32">SUM(J188:J189)</f>
        <v>0</v>
      </c>
      <c r="K191" s="211">
        <f t="shared" si="32"/>
        <v>0</v>
      </c>
      <c r="L191" s="211">
        <f t="shared" si="32"/>
        <v>0</v>
      </c>
      <c r="M191" s="211">
        <f t="shared" si="32"/>
        <v>0</v>
      </c>
      <c r="N191" s="211">
        <f t="shared" si="32"/>
        <v>1595229.7602853398</v>
      </c>
      <c r="O191" s="211">
        <f t="shared" si="32"/>
        <v>123977.38645422208</v>
      </c>
      <c r="P191" s="211">
        <f t="shared" si="32"/>
        <v>1361496.8913762418</v>
      </c>
      <c r="Q191" s="211">
        <f t="shared" si="32"/>
        <v>0</v>
      </c>
      <c r="R191" s="211">
        <f t="shared" si="32"/>
        <v>0</v>
      </c>
      <c r="S191" s="211">
        <f t="shared" si="32"/>
        <v>0</v>
      </c>
      <c r="T191" s="211">
        <f t="shared" si="32"/>
        <v>0</v>
      </c>
      <c r="U191" s="211">
        <f t="shared" si="32"/>
        <v>0</v>
      </c>
      <c r="V191" s="211">
        <f t="shared" si="32"/>
        <v>0</v>
      </c>
      <c r="W191" s="211">
        <f t="shared" si="32"/>
        <v>0</v>
      </c>
      <c r="X191" s="211">
        <f t="shared" si="32"/>
        <v>0</v>
      </c>
      <c r="Y191" s="211">
        <f t="shared" si="32"/>
        <v>0</v>
      </c>
      <c r="AQ191" s="19"/>
    </row>
    <row r="192" spans="2:43" x14ac:dyDescent="0.25">
      <c r="C192" s="52"/>
      <c r="E192" t="s">
        <v>265</v>
      </c>
      <c r="G192" t="s">
        <v>102</v>
      </c>
      <c r="J192" s="211">
        <f t="shared" ref="J192:Y192" si="33">J191 * PowerFactor / thousand</f>
        <v>0</v>
      </c>
      <c r="K192" s="211">
        <f t="shared" si="33"/>
        <v>0</v>
      </c>
      <c r="L192" s="211">
        <f t="shared" si="33"/>
        <v>0</v>
      </c>
      <c r="M192" s="211">
        <f t="shared" si="33"/>
        <v>0</v>
      </c>
      <c r="N192" s="211">
        <f t="shared" si="33"/>
        <v>1515.4682722710727</v>
      </c>
      <c r="O192" s="211">
        <f t="shared" si="33"/>
        <v>117.77851713151098</v>
      </c>
      <c r="P192" s="211">
        <f t="shared" si="33"/>
        <v>1293.4220468074298</v>
      </c>
      <c r="Q192" s="211">
        <f t="shared" si="33"/>
        <v>0</v>
      </c>
      <c r="R192" s="211">
        <f t="shared" si="33"/>
        <v>0</v>
      </c>
      <c r="S192" s="211">
        <f t="shared" si="33"/>
        <v>0</v>
      </c>
      <c r="T192" s="211">
        <f t="shared" si="33"/>
        <v>0</v>
      </c>
      <c r="U192" s="211">
        <f t="shared" si="33"/>
        <v>0</v>
      </c>
      <c r="V192" s="211">
        <f t="shared" si="33"/>
        <v>0</v>
      </c>
      <c r="W192" s="211">
        <f t="shared" si="33"/>
        <v>0</v>
      </c>
      <c r="X192" s="211">
        <f t="shared" si="33"/>
        <v>0</v>
      </c>
      <c r="Y192" s="211">
        <f t="shared" si="33"/>
        <v>0</v>
      </c>
      <c r="AQ192" s="19"/>
    </row>
    <row r="193" spans="3:43" x14ac:dyDescent="0.25">
      <c r="C193" s="52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AQ193" s="19"/>
    </row>
    <row r="194" spans="3:43" x14ac:dyDescent="0.25">
      <c r="C194" s="5" t="str">
        <f ca="1">INDEX('Version control'!$H$36:$H$62,MATCH($A$1,'Version control'!$F$36:$F$62,0),1)&amp;"-F: Calculation of LV circuit diversity factor"</f>
        <v>Section 509-F: Calculation of LV circuit diversity factor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Q194" s="19"/>
    </row>
    <row r="195" spans="3:43" x14ac:dyDescent="0.25">
      <c r="C195" s="52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AQ195" s="19"/>
    </row>
    <row r="196" spans="3:43" x14ac:dyDescent="0.25">
      <c r="C196" s="52"/>
      <c r="D196" s="73" t="s">
        <v>715</v>
      </c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AQ196" s="19"/>
    </row>
    <row r="197" spans="3:43" x14ac:dyDescent="0.25">
      <c r="D197" s="52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AQ197" s="19"/>
    </row>
    <row r="198" spans="3:43" x14ac:dyDescent="0.25">
      <c r="E198" t="s">
        <v>447</v>
      </c>
      <c r="G198" t="s">
        <v>174</v>
      </c>
      <c r="H198" s="74"/>
      <c r="I198" t="s">
        <v>359</v>
      </c>
      <c r="J198" s="344" t="b">
        <f>'Fixed inputs'!J131</f>
        <v>1</v>
      </c>
      <c r="K198" s="344" t="b">
        <f>'Fixed inputs'!K131</f>
        <v>0</v>
      </c>
      <c r="L198" s="344" t="b">
        <f>'Fixed inputs'!L131</f>
        <v>1</v>
      </c>
      <c r="M198" s="344" t="b">
        <f>'Fixed inputs'!M131</f>
        <v>0</v>
      </c>
      <c r="N198" s="344" t="b">
        <f>'Fixed inputs'!N131</f>
        <v>1</v>
      </c>
      <c r="O198" s="344" t="b">
        <f>'Fixed inputs'!O131</f>
        <v>1</v>
      </c>
      <c r="P198" s="344" t="b">
        <f>'Fixed inputs'!P131</f>
        <v>1</v>
      </c>
      <c r="Q198" s="344" t="b">
        <f>'Fixed inputs'!Q131</f>
        <v>1</v>
      </c>
      <c r="R198" s="344" t="b">
        <f>'Fixed inputs'!R131</f>
        <v>1</v>
      </c>
      <c r="S198" s="344" t="b">
        <f>'Fixed inputs'!S131</f>
        <v>1</v>
      </c>
      <c r="T198" s="344" t="b">
        <f>'Fixed inputs'!T131</f>
        <v>1</v>
      </c>
      <c r="U198" s="344" t="b">
        <f>'Fixed inputs'!U131</f>
        <v>1</v>
      </c>
      <c r="V198" s="344" t="b">
        <f>'Fixed inputs'!V131</f>
        <v>1</v>
      </c>
      <c r="W198" s="344" t="b">
        <f>'Fixed inputs'!W131</f>
        <v>1</v>
      </c>
      <c r="X198" s="344" t="b">
        <f>'Fixed inputs'!X131</f>
        <v>1</v>
      </c>
      <c r="Y198" s="344" t="b">
        <f>'Fixed inputs'!Y131</f>
        <v>1</v>
      </c>
      <c r="AA198" t="s">
        <v>716</v>
      </c>
    </row>
    <row r="199" spans="3:43" x14ac:dyDescent="0.25">
      <c r="D199" s="52"/>
      <c r="H199" s="345"/>
      <c r="J199" s="79"/>
      <c r="L199" s="79"/>
      <c r="AQ199" s="19"/>
    </row>
    <row r="200" spans="3:43" x14ac:dyDescent="0.25">
      <c r="C200" s="52"/>
      <c r="E200" t="s">
        <v>326</v>
      </c>
      <c r="G200" t="s">
        <v>102</v>
      </c>
      <c r="H200" s="79"/>
      <c r="I200" t="s">
        <v>359</v>
      </c>
      <c r="J200" s="215">
        <f t="shared" ref="J200:Q200" si="34">IF(J61 = 0, 0, J59 / (hours_in_year * J61))</f>
        <v>1410.4576390745815</v>
      </c>
      <c r="K200" s="215">
        <f t="shared" si="34"/>
        <v>273.71693776181661</v>
      </c>
      <c r="L200" s="215">
        <f t="shared" si="34"/>
        <v>556.2348790902422</v>
      </c>
      <c r="M200" s="215">
        <f t="shared" si="34"/>
        <v>18.0051369235516</v>
      </c>
      <c r="N200" s="215">
        <f t="shared" si="34"/>
        <v>511.03388899962738</v>
      </c>
      <c r="O200" s="215">
        <f t="shared" si="34"/>
        <v>46.74155911936024</v>
      </c>
      <c r="P200" s="215">
        <f t="shared" si="34"/>
        <v>495.61067443308809</v>
      </c>
      <c r="Q200" s="215">
        <f t="shared" si="34"/>
        <v>53.432078697809438</v>
      </c>
      <c r="R200" s="321"/>
      <c r="S200" s="321"/>
      <c r="T200" s="321"/>
      <c r="U200" s="321"/>
      <c r="V200" s="321"/>
      <c r="W200" s="321"/>
      <c r="X200" s="321"/>
      <c r="Y200" s="321"/>
      <c r="AA200" t="s">
        <v>716</v>
      </c>
      <c r="AQ200" s="19"/>
    </row>
    <row r="201" spans="3:43" x14ac:dyDescent="0.25">
      <c r="C201" s="52"/>
      <c r="H201" s="79"/>
      <c r="J201" s="211"/>
      <c r="K201" s="211"/>
      <c r="L201" s="211"/>
      <c r="M201" s="211"/>
      <c r="N201" s="211"/>
      <c r="O201" s="211"/>
      <c r="P201" s="211"/>
      <c r="Q201" s="211"/>
      <c r="R201" s="79"/>
      <c r="S201" s="79"/>
      <c r="T201" s="79"/>
      <c r="U201" s="79"/>
      <c r="V201" s="79"/>
      <c r="W201" s="79"/>
      <c r="X201" s="79"/>
      <c r="Y201" s="79"/>
      <c r="AQ201" s="19"/>
    </row>
    <row r="202" spans="3:43" x14ac:dyDescent="0.25">
      <c r="E202" t="s">
        <v>311</v>
      </c>
      <c r="G202" t="s">
        <v>102</v>
      </c>
      <c r="H202" s="79"/>
      <c r="I202" t="s">
        <v>359</v>
      </c>
      <c r="J202" s="211">
        <f t="shared" ref="J202:Y202" si="35">J192 * J42 / $H53</f>
        <v>0</v>
      </c>
      <c r="K202" s="211">
        <f t="shared" si="35"/>
        <v>0</v>
      </c>
      <c r="L202" s="211">
        <f t="shared" si="35"/>
        <v>0</v>
      </c>
      <c r="M202" s="211">
        <f t="shared" si="35"/>
        <v>0</v>
      </c>
      <c r="N202" s="211">
        <f t="shared" si="35"/>
        <v>1515.4682722710727</v>
      </c>
      <c r="O202" s="211">
        <f t="shared" si="35"/>
        <v>0</v>
      </c>
      <c r="P202" s="211">
        <f t="shared" si="35"/>
        <v>0</v>
      </c>
      <c r="Q202" s="211">
        <f t="shared" si="35"/>
        <v>0</v>
      </c>
      <c r="R202" s="211">
        <f t="shared" si="35"/>
        <v>0</v>
      </c>
      <c r="S202" s="211">
        <f t="shared" si="35"/>
        <v>0</v>
      </c>
      <c r="T202" s="211">
        <f t="shared" si="35"/>
        <v>0</v>
      </c>
      <c r="U202" s="211">
        <f t="shared" si="35"/>
        <v>0</v>
      </c>
      <c r="V202" s="211">
        <f t="shared" si="35"/>
        <v>0</v>
      </c>
      <c r="W202" s="211">
        <f t="shared" si="35"/>
        <v>0</v>
      </c>
      <c r="X202" s="211">
        <f t="shared" si="35"/>
        <v>0</v>
      </c>
      <c r="Y202" s="211">
        <f t="shared" si="35"/>
        <v>0</v>
      </c>
      <c r="AA202" t="s">
        <v>716</v>
      </c>
    </row>
    <row r="203" spans="3:43" x14ac:dyDescent="0.25">
      <c r="H203" s="79"/>
      <c r="J203" s="211"/>
      <c r="K203" s="211"/>
      <c r="L203" s="211"/>
      <c r="M203" s="211"/>
      <c r="N203" s="211"/>
      <c r="O203" s="211"/>
      <c r="P203" s="211"/>
      <c r="Q203" s="211"/>
      <c r="R203" s="211"/>
      <c r="S203" s="211"/>
      <c r="T203" s="211"/>
      <c r="U203" s="211"/>
      <c r="V203" s="211"/>
      <c r="W203" s="211"/>
      <c r="X203" s="211"/>
      <c r="Y203" s="211"/>
    </row>
    <row r="204" spans="3:43" x14ac:dyDescent="0.25">
      <c r="E204" t="s">
        <v>446</v>
      </c>
      <c r="G204" t="s">
        <v>102</v>
      </c>
      <c r="H204" s="79"/>
      <c r="J204" s="211">
        <f t="shared" ref="J204:Y204" si="36">IF(J198, J$200 * J42 / $H53, 0)</f>
        <v>1410.4576390745815</v>
      </c>
      <c r="K204" s="211">
        <f t="shared" si="36"/>
        <v>0</v>
      </c>
      <c r="L204" s="211">
        <f t="shared" si="36"/>
        <v>556.2348790902422</v>
      </c>
      <c r="M204" s="211">
        <f t="shared" si="36"/>
        <v>0</v>
      </c>
      <c r="N204" s="211">
        <f t="shared" si="36"/>
        <v>511.03388899962738</v>
      </c>
      <c r="O204" s="211">
        <f t="shared" si="36"/>
        <v>0</v>
      </c>
      <c r="P204" s="211">
        <f t="shared" si="36"/>
        <v>0</v>
      </c>
      <c r="Q204" s="211">
        <f t="shared" si="36"/>
        <v>53.432078697809438</v>
      </c>
      <c r="R204" s="211">
        <f t="shared" si="36"/>
        <v>0</v>
      </c>
      <c r="S204" s="211">
        <f t="shared" si="36"/>
        <v>0</v>
      </c>
      <c r="T204" s="211">
        <f t="shared" si="36"/>
        <v>0</v>
      </c>
      <c r="U204" s="211">
        <f t="shared" si="36"/>
        <v>0</v>
      </c>
      <c r="V204" s="211">
        <f t="shared" si="36"/>
        <v>0</v>
      </c>
      <c r="W204" s="211">
        <f t="shared" si="36"/>
        <v>0</v>
      </c>
      <c r="X204" s="211">
        <f t="shared" si="36"/>
        <v>0</v>
      </c>
      <c r="Y204" s="211">
        <f t="shared" si="36"/>
        <v>0</v>
      </c>
    </row>
    <row r="205" spans="3:43" x14ac:dyDescent="0.25">
      <c r="H205" s="79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</row>
    <row r="206" spans="3:43" x14ac:dyDescent="0.25">
      <c r="E206" t="s">
        <v>450</v>
      </c>
      <c r="G206" t="s">
        <v>102</v>
      </c>
      <c r="H206" s="79"/>
      <c r="J206" s="211">
        <f t="shared" ref="J206:Y206" si="37">IF(J202 = 0, J204, J202)</f>
        <v>1410.4576390745815</v>
      </c>
      <c r="K206" s="211">
        <f t="shared" si="37"/>
        <v>0</v>
      </c>
      <c r="L206" s="211">
        <f t="shared" si="37"/>
        <v>556.2348790902422</v>
      </c>
      <c r="M206" s="211">
        <f t="shared" si="37"/>
        <v>0</v>
      </c>
      <c r="N206" s="211">
        <f t="shared" si="37"/>
        <v>1515.4682722710727</v>
      </c>
      <c r="O206" s="211">
        <f t="shared" si="37"/>
        <v>0</v>
      </c>
      <c r="P206" s="211">
        <f t="shared" si="37"/>
        <v>0</v>
      </c>
      <c r="Q206" s="211">
        <f t="shared" si="37"/>
        <v>53.432078697809438</v>
      </c>
      <c r="R206" s="211">
        <f t="shared" si="37"/>
        <v>0</v>
      </c>
      <c r="S206" s="211">
        <f t="shared" si="37"/>
        <v>0</v>
      </c>
      <c r="T206" s="211">
        <f t="shared" si="37"/>
        <v>0</v>
      </c>
      <c r="U206" s="211">
        <f t="shared" si="37"/>
        <v>0</v>
      </c>
      <c r="V206" s="211">
        <f t="shared" si="37"/>
        <v>0</v>
      </c>
      <c r="W206" s="211">
        <f t="shared" si="37"/>
        <v>0</v>
      </c>
      <c r="X206" s="211">
        <f t="shared" si="37"/>
        <v>0</v>
      </c>
      <c r="Y206" s="211">
        <f t="shared" si="37"/>
        <v>0</v>
      </c>
    </row>
    <row r="207" spans="3:43" x14ac:dyDescent="0.25">
      <c r="H207" s="79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T207" s="211"/>
      <c r="U207" s="211"/>
      <c r="V207" s="211"/>
      <c r="W207" s="211"/>
      <c r="X207" s="211"/>
      <c r="Y207" s="211"/>
    </row>
    <row r="208" spans="3:43" x14ac:dyDescent="0.25">
      <c r="E208" t="s">
        <v>448</v>
      </c>
      <c r="G208" t="s">
        <v>102</v>
      </c>
      <c r="H208" s="79"/>
      <c r="I208" t="s">
        <v>359</v>
      </c>
      <c r="J208" s="211">
        <f t="shared" ref="J208:Y208" si="38">J150</f>
        <v>1059.437268511678</v>
      </c>
      <c r="K208" s="211">
        <f t="shared" si="38"/>
        <v>3.7415083775626448</v>
      </c>
      <c r="L208" s="211">
        <f t="shared" si="38"/>
        <v>415.45756923059793</v>
      </c>
      <c r="M208" s="211">
        <f t="shared" si="38"/>
        <v>2.392633566792977</v>
      </c>
      <c r="N208" s="211">
        <f t="shared" si="38"/>
        <v>422.71047028359203</v>
      </c>
      <c r="O208" s="211">
        <f t="shared" si="38"/>
        <v>0</v>
      </c>
      <c r="P208" s="211">
        <f t="shared" si="38"/>
        <v>0</v>
      </c>
      <c r="Q208" s="211">
        <f t="shared" si="38"/>
        <v>35.991012419406623</v>
      </c>
      <c r="R208" s="211">
        <f t="shared" si="38"/>
        <v>0</v>
      </c>
      <c r="S208" s="211">
        <f t="shared" si="38"/>
        <v>0</v>
      </c>
      <c r="T208" s="211">
        <f t="shared" si="38"/>
        <v>0</v>
      </c>
      <c r="U208" s="211">
        <f t="shared" si="38"/>
        <v>0</v>
      </c>
      <c r="V208" s="211">
        <f t="shared" si="38"/>
        <v>0</v>
      </c>
      <c r="W208" s="211">
        <f t="shared" si="38"/>
        <v>0</v>
      </c>
      <c r="X208" s="211">
        <f t="shared" si="38"/>
        <v>0</v>
      </c>
      <c r="Y208" s="211">
        <f t="shared" si="38"/>
        <v>0</v>
      </c>
      <c r="AA208" t="s">
        <v>716</v>
      </c>
    </row>
    <row r="209" spans="5:43" x14ac:dyDescent="0.25">
      <c r="H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</row>
    <row r="210" spans="5:43" x14ac:dyDescent="0.25">
      <c r="E210" t="s">
        <v>449</v>
      </c>
      <c r="G210" t="s">
        <v>94</v>
      </c>
      <c r="H210" s="346">
        <f>SUM(J206:Y206) / SUM(J208:Y208) - 1</f>
        <v>0.82272379471633905</v>
      </c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</row>
    <row r="211" spans="5:43" x14ac:dyDescent="0.25">
      <c r="H211" s="74"/>
    </row>
    <row r="212" spans="5:43" x14ac:dyDescent="0.25">
      <c r="E212" s="52" t="s">
        <v>319</v>
      </c>
      <c r="J212" s="79"/>
      <c r="L212" s="79"/>
      <c r="AA212" t="s">
        <v>716</v>
      </c>
      <c r="AQ212" s="19"/>
    </row>
    <row r="213" spans="5:43" x14ac:dyDescent="0.25">
      <c r="E213" s="73" t="s">
        <v>353</v>
      </c>
      <c r="F213" s="73"/>
      <c r="J213" s="79"/>
      <c r="L213" s="79"/>
      <c r="AQ213" s="19"/>
    </row>
    <row r="214" spans="5:43" x14ac:dyDescent="0.25">
      <c r="E214" s="52"/>
      <c r="F214" s="80" t="s">
        <v>43</v>
      </c>
      <c r="G214" s="80" t="s">
        <v>94</v>
      </c>
      <c r="H214" s="114">
        <f t="array" ref="H214:H222">TRANSPOSE('Load &amp; loss characteristics'!K23:S23)</f>
        <v>0.1160000000000001</v>
      </c>
      <c r="J214" s="79"/>
      <c r="K214" s="78"/>
      <c r="L214" s="79"/>
      <c r="M214" s="78"/>
      <c r="AQ214" s="19"/>
    </row>
    <row r="215" spans="5:43" x14ac:dyDescent="0.25">
      <c r="E215" s="52"/>
      <c r="F215" t="s">
        <v>44</v>
      </c>
      <c r="G215" t="s">
        <v>94</v>
      </c>
      <c r="H215" s="120">
        <v>0.1160000000000001</v>
      </c>
      <c r="J215" s="79"/>
      <c r="L215" s="79"/>
      <c r="AQ215" s="19"/>
    </row>
    <row r="216" spans="5:43" x14ac:dyDescent="0.25">
      <c r="E216" s="52"/>
      <c r="F216" t="s">
        <v>45</v>
      </c>
      <c r="G216" t="s">
        <v>94</v>
      </c>
      <c r="H216" s="120">
        <v>0.1160000000000001</v>
      </c>
      <c r="J216" s="79"/>
      <c r="L216" s="79"/>
      <c r="AQ216" s="19"/>
    </row>
    <row r="217" spans="5:43" x14ac:dyDescent="0.25">
      <c r="E217" s="52"/>
      <c r="F217" t="s">
        <v>46</v>
      </c>
      <c r="G217" t="s">
        <v>94</v>
      </c>
      <c r="H217" s="120">
        <v>0.26107999999999998</v>
      </c>
      <c r="J217" s="79"/>
      <c r="L217" s="79"/>
      <c r="AQ217" s="19"/>
    </row>
    <row r="218" spans="5:43" x14ac:dyDescent="0.25">
      <c r="E218" s="52"/>
      <c r="F218" t="s">
        <v>47</v>
      </c>
      <c r="G218" t="s">
        <v>94</v>
      </c>
      <c r="H218" s="120">
        <v>0.26107999999999998</v>
      </c>
      <c r="J218" s="79"/>
      <c r="L218" s="79"/>
      <c r="AQ218" s="19"/>
    </row>
    <row r="219" spans="5:43" x14ac:dyDescent="0.25">
      <c r="E219" s="52"/>
      <c r="F219" t="s">
        <v>51</v>
      </c>
      <c r="G219" t="s">
        <v>94</v>
      </c>
      <c r="H219" s="120">
        <v>0.1160000000000001</v>
      </c>
      <c r="J219" s="79"/>
      <c r="L219" s="79"/>
      <c r="AQ219" s="19"/>
    </row>
    <row r="220" spans="5:43" x14ac:dyDescent="0.25">
      <c r="E220" s="52"/>
      <c r="F220" t="s">
        <v>48</v>
      </c>
      <c r="G220" t="s">
        <v>94</v>
      </c>
      <c r="H220" s="120">
        <v>0.57634999999999992</v>
      </c>
      <c r="J220" s="79"/>
      <c r="L220" s="79"/>
      <c r="AQ220" s="19"/>
    </row>
    <row r="221" spans="5:43" x14ac:dyDescent="0.25">
      <c r="E221" s="52"/>
      <c r="F221" t="s">
        <v>49</v>
      </c>
      <c r="G221" t="s">
        <v>94</v>
      </c>
      <c r="H221" s="120">
        <v>0.57634999999999992</v>
      </c>
      <c r="J221" s="79"/>
      <c r="L221" s="79"/>
      <c r="AQ221" s="19"/>
    </row>
    <row r="222" spans="5:43" x14ac:dyDescent="0.25">
      <c r="E222" s="52"/>
      <c r="F222" s="17" t="s">
        <v>50</v>
      </c>
      <c r="G222" s="17" t="s">
        <v>94</v>
      </c>
      <c r="H222" s="337">
        <v>0.57634999999999992</v>
      </c>
      <c r="J222" s="79"/>
      <c r="L222" s="79"/>
      <c r="AQ222" s="19"/>
    </row>
    <row r="223" spans="5:43" x14ac:dyDescent="0.25">
      <c r="H223" s="74"/>
    </row>
    <row r="224" spans="5:43" x14ac:dyDescent="0.25">
      <c r="E224" s="52" t="s">
        <v>288</v>
      </c>
      <c r="J224" s="79"/>
      <c r="L224" s="79"/>
      <c r="AA224" t="s">
        <v>716</v>
      </c>
      <c r="AQ224" s="19"/>
    </row>
    <row r="225" spans="3:43" x14ac:dyDescent="0.25">
      <c r="E225" s="73" t="s">
        <v>352</v>
      </c>
      <c r="F225" s="73"/>
      <c r="J225" s="79"/>
      <c r="L225" s="79"/>
      <c r="AQ225" s="19"/>
    </row>
    <row r="226" spans="3:43" x14ac:dyDescent="0.25">
      <c r="C226" s="52"/>
      <c r="F226" s="80" t="s">
        <v>43</v>
      </c>
      <c r="G226" s="80" t="s">
        <v>94</v>
      </c>
      <c r="H226" s="147">
        <f t="shared" ref="H226:H233" si="39">IF(F226 = $F$234, $H$210, H214)</f>
        <v>0.1160000000000001</v>
      </c>
      <c r="J226" s="79"/>
      <c r="L226" s="79"/>
      <c r="AQ226" s="19"/>
    </row>
    <row r="227" spans="3:43" x14ac:dyDescent="0.25">
      <c r="C227" s="52"/>
      <c r="F227" t="s">
        <v>44</v>
      </c>
      <c r="G227" t="s">
        <v>94</v>
      </c>
      <c r="H227" s="15">
        <f t="shared" si="39"/>
        <v>0.1160000000000001</v>
      </c>
      <c r="J227" s="79"/>
      <c r="L227" s="79"/>
      <c r="AQ227" s="19"/>
    </row>
    <row r="228" spans="3:43" x14ac:dyDescent="0.25">
      <c r="C228" s="52"/>
      <c r="F228" t="s">
        <v>45</v>
      </c>
      <c r="G228" t="s">
        <v>94</v>
      </c>
      <c r="H228" s="15">
        <f t="shared" si="39"/>
        <v>0.1160000000000001</v>
      </c>
      <c r="J228" s="79"/>
      <c r="L228" s="79"/>
      <c r="AQ228" s="19"/>
    </row>
    <row r="229" spans="3:43" x14ac:dyDescent="0.25">
      <c r="C229" s="52"/>
      <c r="F229" t="s">
        <v>46</v>
      </c>
      <c r="G229" t="s">
        <v>94</v>
      </c>
      <c r="H229" s="15">
        <f t="shared" si="39"/>
        <v>0.26107999999999998</v>
      </c>
      <c r="J229" s="79"/>
      <c r="L229" s="79"/>
      <c r="AQ229" s="19"/>
    </row>
    <row r="230" spans="3:43" x14ac:dyDescent="0.25">
      <c r="C230" s="52"/>
      <c r="F230" t="s">
        <v>47</v>
      </c>
      <c r="G230" t="s">
        <v>94</v>
      </c>
      <c r="H230" s="15">
        <f t="shared" si="39"/>
        <v>0.26107999999999998</v>
      </c>
      <c r="J230" s="79"/>
      <c r="L230" s="79"/>
      <c r="AQ230" s="19"/>
    </row>
    <row r="231" spans="3:43" x14ac:dyDescent="0.25">
      <c r="C231" s="52"/>
      <c r="F231" t="s">
        <v>51</v>
      </c>
      <c r="G231" t="s">
        <v>94</v>
      </c>
      <c r="H231" s="15">
        <f t="shared" si="39"/>
        <v>0.1160000000000001</v>
      </c>
      <c r="J231" s="79"/>
      <c r="L231" s="79"/>
      <c r="AQ231" s="19"/>
    </row>
    <row r="232" spans="3:43" x14ac:dyDescent="0.25">
      <c r="C232" s="52"/>
      <c r="F232" t="s">
        <v>48</v>
      </c>
      <c r="G232" t="s">
        <v>94</v>
      </c>
      <c r="H232" s="15">
        <f t="shared" si="39"/>
        <v>0.57634999999999992</v>
      </c>
      <c r="J232" s="79"/>
      <c r="L232" s="79"/>
      <c r="AQ232" s="19"/>
    </row>
    <row r="233" spans="3:43" x14ac:dyDescent="0.25">
      <c r="C233" s="52"/>
      <c r="F233" t="s">
        <v>49</v>
      </c>
      <c r="G233" t="s">
        <v>94</v>
      </c>
      <c r="H233" s="15">
        <f t="shared" si="39"/>
        <v>0.57634999999999992</v>
      </c>
      <c r="J233" s="79"/>
      <c r="L233" s="79"/>
      <c r="AQ233" s="19"/>
    </row>
    <row r="234" spans="3:43" x14ac:dyDescent="0.25">
      <c r="C234" s="52"/>
      <c r="F234" s="17" t="s">
        <v>50</v>
      </c>
      <c r="G234" s="17" t="s">
        <v>94</v>
      </c>
      <c r="H234" s="16">
        <f>IF(F234 = $F$234, $H$210, H222)</f>
        <v>0.82272379471633905</v>
      </c>
      <c r="J234" s="79"/>
      <c r="L234" s="79"/>
      <c r="AQ234" s="19"/>
    </row>
    <row r="235" spans="3:43" x14ac:dyDescent="0.25">
      <c r="H235" s="74"/>
    </row>
    <row r="236" spans="3:43" x14ac:dyDescent="0.25">
      <c r="C236" s="5" t="str">
        <f ca="1">INDEX('Version control'!$H$36:$H$62,MATCH($A$1,'Version control'!$F$36:$F$62,0),1)&amp;"-G: Import/exceeded capacity contribution to system peak"</f>
        <v>Section 509-G: Import/exceeded capacity contribution to system peak</v>
      </c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Q236" s="19"/>
    </row>
    <row r="237" spans="3:43" x14ac:dyDescent="0.25">
      <c r="H237" s="74"/>
    </row>
    <row r="238" spans="3:43" x14ac:dyDescent="0.25">
      <c r="E238" s="52" t="s">
        <v>354</v>
      </c>
      <c r="F238" s="73"/>
      <c r="H238" s="146"/>
    </row>
    <row r="239" spans="3:43" x14ac:dyDescent="0.25">
      <c r="C239" s="52"/>
      <c r="F239" s="80" t="s">
        <v>43</v>
      </c>
      <c r="G239" s="80" t="s">
        <v>102</v>
      </c>
      <c r="H239" s="67"/>
      <c r="I239" s="80"/>
      <c r="J239" s="223">
        <f t="shared" ref="J239:Y247" si="40">J$192 * J23 * J34 / (1 + $H226) / $H45</f>
        <v>0</v>
      </c>
      <c r="K239" s="223">
        <f t="shared" si="40"/>
        <v>0</v>
      </c>
      <c r="L239" s="223">
        <f t="shared" si="40"/>
        <v>0</v>
      </c>
      <c r="M239" s="223">
        <f t="shared" si="40"/>
        <v>0</v>
      </c>
      <c r="N239" s="223">
        <f t="shared" si="40"/>
        <v>0</v>
      </c>
      <c r="O239" s="223">
        <f t="shared" si="40"/>
        <v>0</v>
      </c>
      <c r="P239" s="223">
        <f t="shared" si="40"/>
        <v>0</v>
      </c>
      <c r="Q239" s="223">
        <f t="shared" si="40"/>
        <v>0</v>
      </c>
      <c r="R239" s="223">
        <f t="shared" si="40"/>
        <v>0</v>
      </c>
      <c r="S239" s="223">
        <f t="shared" si="40"/>
        <v>0</v>
      </c>
      <c r="T239" s="223">
        <f t="shared" si="40"/>
        <v>0</v>
      </c>
      <c r="U239" s="223">
        <f t="shared" si="40"/>
        <v>0</v>
      </c>
      <c r="V239" s="223">
        <f t="shared" si="40"/>
        <v>0</v>
      </c>
      <c r="W239" s="223">
        <f t="shared" si="40"/>
        <v>0</v>
      </c>
      <c r="X239" s="223">
        <f t="shared" si="40"/>
        <v>0</v>
      </c>
      <c r="Y239" s="223">
        <f t="shared" si="40"/>
        <v>0</v>
      </c>
      <c r="AQ239" s="19"/>
    </row>
    <row r="240" spans="3:43" x14ac:dyDescent="0.25">
      <c r="C240" s="52"/>
      <c r="F240" t="s">
        <v>44</v>
      </c>
      <c r="G240" t="s">
        <v>102</v>
      </c>
      <c r="H240" s="79"/>
      <c r="J240" s="211">
        <f t="shared" si="40"/>
        <v>0</v>
      </c>
      <c r="K240" s="211">
        <f t="shared" si="40"/>
        <v>0</v>
      </c>
      <c r="L240" s="211">
        <f t="shared" si="40"/>
        <v>0</v>
      </c>
      <c r="M240" s="211">
        <f t="shared" si="40"/>
        <v>0</v>
      </c>
      <c r="N240" s="211">
        <f t="shared" si="40"/>
        <v>0</v>
      </c>
      <c r="O240" s="211">
        <f t="shared" si="40"/>
        <v>0</v>
      </c>
      <c r="P240" s="211">
        <f t="shared" si="40"/>
        <v>0</v>
      </c>
      <c r="Q240" s="211">
        <f t="shared" si="40"/>
        <v>0</v>
      </c>
      <c r="R240" s="211">
        <f t="shared" si="40"/>
        <v>0</v>
      </c>
      <c r="S240" s="211">
        <f t="shared" si="40"/>
        <v>0</v>
      </c>
      <c r="T240" s="211">
        <f t="shared" si="40"/>
        <v>0</v>
      </c>
      <c r="U240" s="211">
        <f t="shared" si="40"/>
        <v>0</v>
      </c>
      <c r="V240" s="211">
        <f t="shared" si="40"/>
        <v>0</v>
      </c>
      <c r="W240" s="211">
        <f t="shared" si="40"/>
        <v>0</v>
      </c>
      <c r="X240" s="211">
        <f t="shared" si="40"/>
        <v>0</v>
      </c>
      <c r="Y240" s="211">
        <f t="shared" si="40"/>
        <v>0</v>
      </c>
      <c r="AQ240" s="19"/>
    </row>
    <row r="241" spans="3:43" x14ac:dyDescent="0.25">
      <c r="C241" s="52"/>
      <c r="F241" t="s">
        <v>45</v>
      </c>
      <c r="G241" t="s">
        <v>102</v>
      </c>
      <c r="H241" s="79"/>
      <c r="J241" s="211">
        <f t="shared" si="40"/>
        <v>0</v>
      </c>
      <c r="K241" s="211">
        <f t="shared" si="40"/>
        <v>0</v>
      </c>
      <c r="L241" s="211">
        <f t="shared" si="40"/>
        <v>0</v>
      </c>
      <c r="M241" s="211">
        <f t="shared" si="40"/>
        <v>0</v>
      </c>
      <c r="N241" s="211">
        <f t="shared" si="40"/>
        <v>0</v>
      </c>
      <c r="O241" s="211">
        <f t="shared" si="40"/>
        <v>0</v>
      </c>
      <c r="P241" s="211">
        <f t="shared" si="40"/>
        <v>0</v>
      </c>
      <c r="Q241" s="211">
        <f t="shared" si="40"/>
        <v>0</v>
      </c>
      <c r="R241" s="211">
        <f t="shared" si="40"/>
        <v>0</v>
      </c>
      <c r="S241" s="211">
        <f t="shared" si="40"/>
        <v>0</v>
      </c>
      <c r="T241" s="211">
        <f t="shared" si="40"/>
        <v>0</v>
      </c>
      <c r="U241" s="211">
        <f t="shared" si="40"/>
        <v>0</v>
      </c>
      <c r="V241" s="211">
        <f t="shared" si="40"/>
        <v>0</v>
      </c>
      <c r="W241" s="211">
        <f t="shared" si="40"/>
        <v>0</v>
      </c>
      <c r="X241" s="211">
        <f t="shared" si="40"/>
        <v>0</v>
      </c>
      <c r="Y241" s="211">
        <f t="shared" si="40"/>
        <v>0</v>
      </c>
      <c r="AQ241" s="19"/>
    </row>
    <row r="242" spans="3:43" x14ac:dyDescent="0.25">
      <c r="C242" s="52"/>
      <c r="F242" t="s">
        <v>46</v>
      </c>
      <c r="G242" t="s">
        <v>102</v>
      </c>
      <c r="H242" s="79"/>
      <c r="J242" s="211">
        <f t="shared" si="40"/>
        <v>0</v>
      </c>
      <c r="K242" s="211">
        <f t="shared" si="40"/>
        <v>0</v>
      </c>
      <c r="L242" s="211">
        <f t="shared" si="40"/>
        <v>0</v>
      </c>
      <c r="M242" s="211">
        <f t="shared" si="40"/>
        <v>0</v>
      </c>
      <c r="N242" s="211">
        <f t="shared" si="40"/>
        <v>0</v>
      </c>
      <c r="O242" s="211">
        <f t="shared" si="40"/>
        <v>0</v>
      </c>
      <c r="P242" s="211">
        <f t="shared" si="40"/>
        <v>209.63309779888445</v>
      </c>
      <c r="Q242" s="211">
        <f t="shared" si="40"/>
        <v>0</v>
      </c>
      <c r="R242" s="211">
        <f t="shared" si="40"/>
        <v>0</v>
      </c>
      <c r="S242" s="211">
        <f t="shared" si="40"/>
        <v>0</v>
      </c>
      <c r="T242" s="211">
        <f t="shared" si="40"/>
        <v>0</v>
      </c>
      <c r="U242" s="211">
        <f t="shared" si="40"/>
        <v>0</v>
      </c>
      <c r="V242" s="211">
        <f t="shared" si="40"/>
        <v>0</v>
      </c>
      <c r="W242" s="211">
        <f t="shared" si="40"/>
        <v>0</v>
      </c>
      <c r="X242" s="211">
        <f t="shared" si="40"/>
        <v>0</v>
      </c>
      <c r="Y242" s="211">
        <f t="shared" si="40"/>
        <v>0</v>
      </c>
      <c r="AQ242" s="19"/>
    </row>
    <row r="243" spans="3:43" x14ac:dyDescent="0.25">
      <c r="C243" s="52"/>
      <c r="F243" t="s">
        <v>47</v>
      </c>
      <c r="G243" t="s">
        <v>102</v>
      </c>
      <c r="H243" s="79"/>
      <c r="J243" s="211">
        <f t="shared" si="40"/>
        <v>0</v>
      </c>
      <c r="K243" s="211">
        <f t="shared" si="40"/>
        <v>0</v>
      </c>
      <c r="L243" s="211">
        <f t="shared" si="40"/>
        <v>0</v>
      </c>
      <c r="M243" s="211">
        <f t="shared" si="40"/>
        <v>0</v>
      </c>
      <c r="N243" s="211">
        <f t="shared" si="40"/>
        <v>0</v>
      </c>
      <c r="O243" s="211">
        <f t="shared" si="40"/>
        <v>0</v>
      </c>
      <c r="P243" s="211">
        <f t="shared" si="40"/>
        <v>1036.7836327467041</v>
      </c>
      <c r="Q243" s="211">
        <f t="shared" si="40"/>
        <v>0</v>
      </c>
      <c r="R243" s="211">
        <f t="shared" si="40"/>
        <v>0</v>
      </c>
      <c r="S243" s="211">
        <f t="shared" si="40"/>
        <v>0</v>
      </c>
      <c r="T243" s="211">
        <f t="shared" si="40"/>
        <v>0</v>
      </c>
      <c r="U243" s="211">
        <f t="shared" si="40"/>
        <v>0</v>
      </c>
      <c r="V243" s="211">
        <f t="shared" si="40"/>
        <v>0</v>
      </c>
      <c r="W243" s="211">
        <f t="shared" si="40"/>
        <v>0</v>
      </c>
      <c r="X243" s="211">
        <f t="shared" si="40"/>
        <v>0</v>
      </c>
      <c r="Y243" s="211">
        <f t="shared" si="40"/>
        <v>0</v>
      </c>
      <c r="AQ243" s="19"/>
    </row>
    <row r="244" spans="3:43" x14ac:dyDescent="0.25">
      <c r="C244" s="52"/>
      <c r="F244" t="s">
        <v>51</v>
      </c>
      <c r="G244" t="s">
        <v>102</v>
      </c>
      <c r="H244" s="79"/>
      <c r="J244" s="211">
        <f t="shared" si="40"/>
        <v>0</v>
      </c>
      <c r="K244" s="211">
        <f t="shared" si="40"/>
        <v>0</v>
      </c>
      <c r="L244" s="211">
        <f t="shared" si="40"/>
        <v>0</v>
      </c>
      <c r="M244" s="211">
        <f t="shared" si="40"/>
        <v>0</v>
      </c>
      <c r="N244" s="211">
        <f t="shared" si="40"/>
        <v>0</v>
      </c>
      <c r="O244" s="211">
        <f t="shared" si="40"/>
        <v>0</v>
      </c>
      <c r="P244" s="211">
        <f t="shared" si="40"/>
        <v>0</v>
      </c>
      <c r="Q244" s="211">
        <f t="shared" si="40"/>
        <v>0</v>
      </c>
      <c r="R244" s="211">
        <f t="shared" si="40"/>
        <v>0</v>
      </c>
      <c r="S244" s="211">
        <f t="shared" si="40"/>
        <v>0</v>
      </c>
      <c r="T244" s="211">
        <f t="shared" si="40"/>
        <v>0</v>
      </c>
      <c r="U244" s="211">
        <f t="shared" si="40"/>
        <v>0</v>
      </c>
      <c r="V244" s="211">
        <f t="shared" si="40"/>
        <v>0</v>
      </c>
      <c r="W244" s="211">
        <f t="shared" si="40"/>
        <v>0</v>
      </c>
      <c r="X244" s="211">
        <f t="shared" si="40"/>
        <v>0</v>
      </c>
      <c r="Y244" s="211">
        <f t="shared" si="40"/>
        <v>0</v>
      </c>
      <c r="AQ244" s="19"/>
    </row>
    <row r="245" spans="3:43" x14ac:dyDescent="0.25">
      <c r="C245" s="52"/>
      <c r="F245" t="s">
        <v>48</v>
      </c>
      <c r="G245" t="s">
        <v>102</v>
      </c>
      <c r="H245" s="79"/>
      <c r="J245" s="211">
        <f t="shared" si="40"/>
        <v>0</v>
      </c>
      <c r="K245" s="211">
        <f t="shared" si="40"/>
        <v>0</v>
      </c>
      <c r="L245" s="211">
        <f t="shared" si="40"/>
        <v>0</v>
      </c>
      <c r="M245" s="211">
        <f t="shared" si="40"/>
        <v>0</v>
      </c>
      <c r="N245" s="211">
        <f t="shared" si="40"/>
        <v>207.48490887517241</v>
      </c>
      <c r="O245" s="211">
        <f t="shared" si="40"/>
        <v>76.175264880410964</v>
      </c>
      <c r="P245" s="211">
        <f t="shared" si="40"/>
        <v>820.51704685344612</v>
      </c>
      <c r="Q245" s="211">
        <f t="shared" si="40"/>
        <v>0</v>
      </c>
      <c r="R245" s="211">
        <f t="shared" si="40"/>
        <v>0</v>
      </c>
      <c r="S245" s="211">
        <f t="shared" si="40"/>
        <v>0</v>
      </c>
      <c r="T245" s="211">
        <f t="shared" si="40"/>
        <v>0</v>
      </c>
      <c r="U245" s="211">
        <f t="shared" si="40"/>
        <v>0</v>
      </c>
      <c r="V245" s="211">
        <f t="shared" si="40"/>
        <v>0</v>
      </c>
      <c r="W245" s="211">
        <f t="shared" si="40"/>
        <v>0</v>
      </c>
      <c r="X245" s="211">
        <f t="shared" si="40"/>
        <v>0</v>
      </c>
      <c r="Y245" s="211">
        <f t="shared" si="40"/>
        <v>0</v>
      </c>
      <c r="AQ245" s="19"/>
    </row>
    <row r="246" spans="3:43" x14ac:dyDescent="0.25">
      <c r="C246" s="52"/>
      <c r="F246" t="s">
        <v>49</v>
      </c>
      <c r="G246" t="s">
        <v>102</v>
      </c>
      <c r="H246" s="79"/>
      <c r="J246" s="211">
        <f t="shared" si="40"/>
        <v>0</v>
      </c>
      <c r="K246" s="211">
        <f t="shared" si="40"/>
        <v>0</v>
      </c>
      <c r="L246" s="211">
        <f t="shared" si="40"/>
        <v>0</v>
      </c>
      <c r="M246" s="211">
        <f t="shared" si="40"/>
        <v>0</v>
      </c>
      <c r="N246" s="211">
        <f t="shared" si="40"/>
        <v>1017.5505109586999</v>
      </c>
      <c r="O246" s="211">
        <f t="shared" si="40"/>
        <v>74.715968618334117</v>
      </c>
      <c r="P246" s="211">
        <f t="shared" si="40"/>
        <v>0</v>
      </c>
      <c r="Q246" s="211">
        <f t="shared" si="40"/>
        <v>0</v>
      </c>
      <c r="R246" s="211">
        <f t="shared" si="40"/>
        <v>0</v>
      </c>
      <c r="S246" s="211">
        <f t="shared" si="40"/>
        <v>0</v>
      </c>
      <c r="T246" s="211">
        <f t="shared" si="40"/>
        <v>0</v>
      </c>
      <c r="U246" s="211">
        <f t="shared" si="40"/>
        <v>0</v>
      </c>
      <c r="V246" s="211">
        <f t="shared" si="40"/>
        <v>0</v>
      </c>
      <c r="W246" s="211">
        <f t="shared" si="40"/>
        <v>0</v>
      </c>
      <c r="X246" s="211">
        <f t="shared" si="40"/>
        <v>0</v>
      </c>
      <c r="Y246" s="211">
        <f t="shared" si="40"/>
        <v>0</v>
      </c>
      <c r="AQ246" s="19"/>
    </row>
    <row r="247" spans="3:43" x14ac:dyDescent="0.25">
      <c r="C247" s="52"/>
      <c r="F247" s="17" t="s">
        <v>50</v>
      </c>
      <c r="G247" s="17" t="s">
        <v>102</v>
      </c>
      <c r="H247" s="159"/>
      <c r="I247" s="17"/>
      <c r="J247" s="220">
        <f t="shared" si="40"/>
        <v>0</v>
      </c>
      <c r="K247" s="220">
        <f t="shared" si="40"/>
        <v>0</v>
      </c>
      <c r="L247" s="220">
        <f t="shared" si="40"/>
        <v>0</v>
      </c>
      <c r="M247" s="220">
        <f t="shared" si="40"/>
        <v>0</v>
      </c>
      <c r="N247" s="220">
        <f t="shared" si="40"/>
        <v>831.43056378814492</v>
      </c>
      <c r="O247" s="220">
        <f t="shared" si="40"/>
        <v>0</v>
      </c>
      <c r="P247" s="220">
        <f t="shared" si="40"/>
        <v>0</v>
      </c>
      <c r="Q247" s="220">
        <f t="shared" si="40"/>
        <v>0</v>
      </c>
      <c r="R247" s="220">
        <f t="shared" si="40"/>
        <v>0</v>
      </c>
      <c r="S247" s="220">
        <f t="shared" si="40"/>
        <v>0</v>
      </c>
      <c r="T247" s="220">
        <f t="shared" si="40"/>
        <v>0</v>
      </c>
      <c r="U247" s="220">
        <f t="shared" si="40"/>
        <v>0</v>
      </c>
      <c r="V247" s="220">
        <f t="shared" si="40"/>
        <v>0</v>
      </c>
      <c r="W247" s="220">
        <f t="shared" si="40"/>
        <v>0</v>
      </c>
      <c r="X247" s="220">
        <f t="shared" si="40"/>
        <v>0</v>
      </c>
      <c r="Y247" s="220">
        <f t="shared" si="40"/>
        <v>0</v>
      </c>
      <c r="AQ247" s="19"/>
    </row>
    <row r="248" spans="3:43" x14ac:dyDescent="0.25">
      <c r="H248" s="74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</row>
    <row r="249" spans="3:43" x14ac:dyDescent="0.25">
      <c r="C249" s="5" t="str">
        <f ca="1">INDEX('Version control'!$H$36:$H$62,MATCH($A$1,'Version control'!$F$36:$F$62,0),1)&amp;"-H: Estimated capacity contribution to system peak"</f>
        <v>Section 509-H: Estimated capacity contribution to system peak</v>
      </c>
      <c r="D249" s="5"/>
      <c r="E249" s="5"/>
      <c r="F249" s="5"/>
      <c r="G249" s="5"/>
      <c r="H249" s="5"/>
      <c r="I249" s="5"/>
      <c r="J249" s="205"/>
      <c r="K249" s="205"/>
      <c r="L249" s="205"/>
      <c r="M249" s="205"/>
      <c r="N249" s="205"/>
      <c r="O249" s="205"/>
      <c r="P249" s="205"/>
      <c r="Q249" s="205"/>
      <c r="R249" s="205"/>
      <c r="S249" s="205"/>
      <c r="T249" s="205"/>
      <c r="U249" s="205"/>
      <c r="V249" s="205"/>
      <c r="W249" s="205"/>
      <c r="X249" s="205"/>
      <c r="Y249" s="205"/>
      <c r="Z249" s="5"/>
      <c r="AA249" s="5"/>
      <c r="AQ249" s="19"/>
    </row>
    <row r="250" spans="3:43" x14ac:dyDescent="0.25">
      <c r="H250" s="74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</row>
    <row r="251" spans="3:43" x14ac:dyDescent="0.25">
      <c r="E251" s="52" t="s">
        <v>355</v>
      </c>
      <c r="F251" s="73"/>
      <c r="H251" s="74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</row>
    <row r="252" spans="3:43" x14ac:dyDescent="0.25">
      <c r="C252" s="52"/>
      <c r="F252" s="80" t="s">
        <v>43</v>
      </c>
      <c r="G252" s="67" t="s">
        <v>102</v>
      </c>
      <c r="H252" s="67"/>
      <c r="I252" s="80"/>
      <c r="J252" s="223">
        <f t="shared" ref="J252:Y260" si="41">IF(AND(J$192 = 0, J$198), J$200 * J23 * J34 / (1 + $H226) / $H45, 0)</f>
        <v>0</v>
      </c>
      <c r="K252" s="223">
        <f t="shared" si="41"/>
        <v>0</v>
      </c>
      <c r="L252" s="223">
        <f t="shared" si="41"/>
        <v>0</v>
      </c>
      <c r="M252" s="223">
        <f t="shared" si="41"/>
        <v>0</v>
      </c>
      <c r="N252" s="223">
        <f t="shared" si="41"/>
        <v>0</v>
      </c>
      <c r="O252" s="223">
        <f t="shared" si="41"/>
        <v>0</v>
      </c>
      <c r="P252" s="223">
        <f t="shared" si="41"/>
        <v>0</v>
      </c>
      <c r="Q252" s="223">
        <f t="shared" si="41"/>
        <v>0</v>
      </c>
      <c r="R252" s="223">
        <f t="shared" si="41"/>
        <v>0</v>
      </c>
      <c r="S252" s="223">
        <f t="shared" si="41"/>
        <v>0</v>
      </c>
      <c r="T252" s="223">
        <f t="shared" si="41"/>
        <v>0</v>
      </c>
      <c r="U252" s="223">
        <f t="shared" si="41"/>
        <v>0</v>
      </c>
      <c r="V252" s="223">
        <f t="shared" si="41"/>
        <v>0</v>
      </c>
      <c r="W252" s="223">
        <f t="shared" si="41"/>
        <v>0</v>
      </c>
      <c r="X252" s="223">
        <f t="shared" si="41"/>
        <v>0</v>
      </c>
      <c r="Y252" s="223">
        <f t="shared" si="41"/>
        <v>0</v>
      </c>
      <c r="AQ252" s="19"/>
    </row>
    <row r="253" spans="3:43" x14ac:dyDescent="0.25">
      <c r="C253" s="52"/>
      <c r="F253" t="s">
        <v>44</v>
      </c>
      <c r="G253" s="79" t="s">
        <v>102</v>
      </c>
      <c r="H253" s="79"/>
      <c r="J253" s="211">
        <f t="shared" si="41"/>
        <v>0</v>
      </c>
      <c r="K253" s="211">
        <f t="shared" si="41"/>
        <v>0</v>
      </c>
      <c r="L253" s="211">
        <f t="shared" si="41"/>
        <v>0</v>
      </c>
      <c r="M253" s="211">
        <f t="shared" si="41"/>
        <v>0</v>
      </c>
      <c r="N253" s="211">
        <f t="shared" si="41"/>
        <v>0</v>
      </c>
      <c r="O253" s="211">
        <f t="shared" si="41"/>
        <v>0</v>
      </c>
      <c r="P253" s="211">
        <f t="shared" si="41"/>
        <v>0</v>
      </c>
      <c r="Q253" s="211">
        <f t="shared" si="41"/>
        <v>0</v>
      </c>
      <c r="R253" s="211">
        <f t="shared" si="41"/>
        <v>0</v>
      </c>
      <c r="S253" s="211">
        <f t="shared" si="41"/>
        <v>0</v>
      </c>
      <c r="T253" s="211">
        <f t="shared" si="41"/>
        <v>0</v>
      </c>
      <c r="U253" s="211">
        <f t="shared" si="41"/>
        <v>0</v>
      </c>
      <c r="V253" s="211">
        <f t="shared" si="41"/>
        <v>0</v>
      </c>
      <c r="W253" s="211">
        <f t="shared" si="41"/>
        <v>0</v>
      </c>
      <c r="X253" s="211">
        <f t="shared" si="41"/>
        <v>0</v>
      </c>
      <c r="Y253" s="211">
        <f t="shared" si="41"/>
        <v>0</v>
      </c>
      <c r="AQ253" s="19"/>
    </row>
    <row r="254" spans="3:43" x14ac:dyDescent="0.25">
      <c r="C254" s="52"/>
      <c r="F254" t="s">
        <v>45</v>
      </c>
      <c r="G254" s="79" t="s">
        <v>102</v>
      </c>
      <c r="H254" s="79"/>
      <c r="J254" s="211">
        <f t="shared" si="41"/>
        <v>0</v>
      </c>
      <c r="K254" s="211">
        <f t="shared" si="41"/>
        <v>0</v>
      </c>
      <c r="L254" s="211">
        <f t="shared" si="41"/>
        <v>0</v>
      </c>
      <c r="M254" s="211">
        <f t="shared" si="41"/>
        <v>0</v>
      </c>
      <c r="N254" s="211">
        <f t="shared" si="41"/>
        <v>0</v>
      </c>
      <c r="O254" s="211">
        <f t="shared" si="41"/>
        <v>0</v>
      </c>
      <c r="P254" s="211">
        <f t="shared" si="41"/>
        <v>0</v>
      </c>
      <c r="Q254" s="211">
        <f t="shared" si="41"/>
        <v>0</v>
      </c>
      <c r="R254" s="211">
        <f t="shared" si="41"/>
        <v>0</v>
      </c>
      <c r="S254" s="211">
        <f t="shared" si="41"/>
        <v>0</v>
      </c>
      <c r="T254" s="211">
        <f t="shared" si="41"/>
        <v>0</v>
      </c>
      <c r="U254" s="211">
        <f t="shared" si="41"/>
        <v>0</v>
      </c>
      <c r="V254" s="211">
        <f t="shared" si="41"/>
        <v>0</v>
      </c>
      <c r="W254" s="211">
        <f t="shared" si="41"/>
        <v>0</v>
      </c>
      <c r="X254" s="211">
        <f t="shared" si="41"/>
        <v>0</v>
      </c>
      <c r="Y254" s="211">
        <f t="shared" si="41"/>
        <v>0</v>
      </c>
      <c r="AQ254" s="19"/>
    </row>
    <row r="255" spans="3:43" x14ac:dyDescent="0.25">
      <c r="C255" s="52"/>
      <c r="F255" t="s">
        <v>46</v>
      </c>
      <c r="G255" s="79" t="s">
        <v>102</v>
      </c>
      <c r="H255" s="79"/>
      <c r="J255" s="211">
        <f t="shared" si="41"/>
        <v>0</v>
      </c>
      <c r="K255" s="211">
        <f t="shared" si="41"/>
        <v>0</v>
      </c>
      <c r="L255" s="211">
        <f t="shared" si="41"/>
        <v>0</v>
      </c>
      <c r="M255" s="211">
        <f t="shared" si="41"/>
        <v>0</v>
      </c>
      <c r="N255" s="211">
        <f t="shared" si="41"/>
        <v>0</v>
      </c>
      <c r="O255" s="211">
        <f t="shared" si="41"/>
        <v>0</v>
      </c>
      <c r="P255" s="211">
        <f t="shared" si="41"/>
        <v>0</v>
      </c>
      <c r="Q255" s="211">
        <f t="shared" si="41"/>
        <v>0</v>
      </c>
      <c r="R255" s="211">
        <f t="shared" si="41"/>
        <v>0</v>
      </c>
      <c r="S255" s="211">
        <f t="shared" si="41"/>
        <v>0</v>
      </c>
      <c r="T255" s="211">
        <f t="shared" si="41"/>
        <v>0</v>
      </c>
      <c r="U255" s="211">
        <f t="shared" si="41"/>
        <v>0</v>
      </c>
      <c r="V255" s="211">
        <f t="shared" si="41"/>
        <v>0</v>
      </c>
      <c r="W255" s="211">
        <f t="shared" si="41"/>
        <v>0</v>
      </c>
      <c r="X255" s="211">
        <f t="shared" si="41"/>
        <v>0</v>
      </c>
      <c r="Y255" s="211">
        <f t="shared" si="41"/>
        <v>0</v>
      </c>
      <c r="AQ255" s="19"/>
    </row>
    <row r="256" spans="3:43" x14ac:dyDescent="0.25">
      <c r="C256" s="52"/>
      <c r="F256" t="s">
        <v>47</v>
      </c>
      <c r="G256" s="79" t="s">
        <v>102</v>
      </c>
      <c r="H256" s="79"/>
      <c r="J256" s="211">
        <f t="shared" si="41"/>
        <v>0</v>
      </c>
      <c r="K256" s="211">
        <f t="shared" si="41"/>
        <v>0</v>
      </c>
      <c r="L256" s="211">
        <f t="shared" si="41"/>
        <v>0</v>
      </c>
      <c r="M256" s="211">
        <f t="shared" si="41"/>
        <v>0</v>
      </c>
      <c r="N256" s="211">
        <f t="shared" si="41"/>
        <v>0</v>
      </c>
      <c r="O256" s="211">
        <f t="shared" si="41"/>
        <v>0</v>
      </c>
      <c r="P256" s="211">
        <f t="shared" si="41"/>
        <v>0</v>
      </c>
      <c r="Q256" s="211">
        <f t="shared" si="41"/>
        <v>0</v>
      </c>
      <c r="R256" s="211">
        <f t="shared" si="41"/>
        <v>0</v>
      </c>
      <c r="S256" s="211">
        <f t="shared" si="41"/>
        <v>0</v>
      </c>
      <c r="T256" s="211">
        <f t="shared" si="41"/>
        <v>0</v>
      </c>
      <c r="U256" s="211">
        <f t="shared" si="41"/>
        <v>0</v>
      </c>
      <c r="V256" s="211">
        <f t="shared" si="41"/>
        <v>0</v>
      </c>
      <c r="W256" s="211">
        <f t="shared" si="41"/>
        <v>0</v>
      </c>
      <c r="X256" s="211">
        <f t="shared" si="41"/>
        <v>0</v>
      </c>
      <c r="Y256" s="211">
        <f t="shared" si="41"/>
        <v>0</v>
      </c>
      <c r="AQ256" s="19"/>
    </row>
    <row r="257" spans="2:43" x14ac:dyDescent="0.25">
      <c r="C257" s="52"/>
      <c r="F257" t="s">
        <v>51</v>
      </c>
      <c r="G257" s="79" t="s">
        <v>102</v>
      </c>
      <c r="H257" s="79"/>
      <c r="J257" s="211">
        <f t="shared" si="41"/>
        <v>0</v>
      </c>
      <c r="K257" s="211">
        <f t="shared" si="41"/>
        <v>0</v>
      </c>
      <c r="L257" s="211">
        <f t="shared" si="41"/>
        <v>0</v>
      </c>
      <c r="M257" s="211">
        <f t="shared" si="41"/>
        <v>0</v>
      </c>
      <c r="N257" s="211">
        <f t="shared" si="41"/>
        <v>0</v>
      </c>
      <c r="O257" s="211">
        <f t="shared" si="41"/>
        <v>0</v>
      </c>
      <c r="P257" s="211">
        <f t="shared" si="41"/>
        <v>0</v>
      </c>
      <c r="Q257" s="211">
        <f t="shared" si="41"/>
        <v>0</v>
      </c>
      <c r="R257" s="211">
        <f t="shared" si="41"/>
        <v>0</v>
      </c>
      <c r="S257" s="211">
        <f t="shared" si="41"/>
        <v>0</v>
      </c>
      <c r="T257" s="211">
        <f t="shared" si="41"/>
        <v>0</v>
      </c>
      <c r="U257" s="211">
        <f t="shared" si="41"/>
        <v>0</v>
      </c>
      <c r="V257" s="211">
        <f t="shared" si="41"/>
        <v>0</v>
      </c>
      <c r="W257" s="211">
        <f t="shared" si="41"/>
        <v>0</v>
      </c>
      <c r="X257" s="211">
        <f t="shared" si="41"/>
        <v>0</v>
      </c>
      <c r="Y257" s="211">
        <f t="shared" si="41"/>
        <v>0</v>
      </c>
      <c r="AQ257" s="19"/>
    </row>
    <row r="258" spans="2:43" x14ac:dyDescent="0.25">
      <c r="C258" s="52"/>
      <c r="F258" t="s">
        <v>48</v>
      </c>
      <c r="G258" s="79" t="s">
        <v>102</v>
      </c>
      <c r="H258" s="79"/>
      <c r="J258" s="211">
        <f t="shared" si="41"/>
        <v>0</v>
      </c>
      <c r="K258" s="211">
        <f t="shared" si="41"/>
        <v>0</v>
      </c>
      <c r="L258" s="211">
        <f t="shared" si="41"/>
        <v>0</v>
      </c>
      <c r="M258" s="211">
        <f t="shared" si="41"/>
        <v>0</v>
      </c>
      <c r="N258" s="211">
        <f t="shared" si="41"/>
        <v>0</v>
      </c>
      <c r="O258" s="211">
        <f t="shared" si="41"/>
        <v>0</v>
      </c>
      <c r="P258" s="211">
        <f t="shared" si="41"/>
        <v>0</v>
      </c>
      <c r="Q258" s="211">
        <f t="shared" si="41"/>
        <v>0</v>
      </c>
      <c r="R258" s="211">
        <f t="shared" si="41"/>
        <v>0</v>
      </c>
      <c r="S258" s="211">
        <f t="shared" si="41"/>
        <v>0</v>
      </c>
      <c r="T258" s="211">
        <f t="shared" si="41"/>
        <v>0</v>
      </c>
      <c r="U258" s="211">
        <f t="shared" si="41"/>
        <v>0</v>
      </c>
      <c r="V258" s="211">
        <f t="shared" si="41"/>
        <v>0</v>
      </c>
      <c r="W258" s="211">
        <f t="shared" si="41"/>
        <v>0</v>
      </c>
      <c r="X258" s="211">
        <f t="shared" si="41"/>
        <v>0</v>
      </c>
      <c r="Y258" s="211">
        <f t="shared" si="41"/>
        <v>0</v>
      </c>
      <c r="AQ258" s="19"/>
    </row>
    <row r="259" spans="2:43" x14ac:dyDescent="0.25">
      <c r="C259" s="52"/>
      <c r="F259" t="s">
        <v>49</v>
      </c>
      <c r="G259" s="79" t="s">
        <v>102</v>
      </c>
      <c r="H259" s="79"/>
      <c r="J259" s="211">
        <f t="shared" si="41"/>
        <v>0</v>
      </c>
      <c r="K259" s="211">
        <f t="shared" si="41"/>
        <v>0</v>
      </c>
      <c r="L259" s="211">
        <f t="shared" si="41"/>
        <v>0</v>
      </c>
      <c r="M259" s="211">
        <f t="shared" si="41"/>
        <v>0</v>
      </c>
      <c r="N259" s="211">
        <f t="shared" si="41"/>
        <v>0</v>
      </c>
      <c r="O259" s="211">
        <f t="shared" si="41"/>
        <v>0</v>
      </c>
      <c r="P259" s="211">
        <f t="shared" si="41"/>
        <v>0</v>
      </c>
      <c r="Q259" s="211">
        <f t="shared" si="41"/>
        <v>0</v>
      </c>
      <c r="R259" s="211">
        <f t="shared" si="41"/>
        <v>0</v>
      </c>
      <c r="S259" s="211">
        <f t="shared" si="41"/>
        <v>0</v>
      </c>
      <c r="T259" s="211">
        <f t="shared" si="41"/>
        <v>0</v>
      </c>
      <c r="U259" s="211">
        <f t="shared" si="41"/>
        <v>0</v>
      </c>
      <c r="V259" s="211">
        <f t="shared" si="41"/>
        <v>0</v>
      </c>
      <c r="W259" s="211">
        <f t="shared" si="41"/>
        <v>0</v>
      </c>
      <c r="X259" s="211">
        <f t="shared" si="41"/>
        <v>0</v>
      </c>
      <c r="Y259" s="211">
        <f t="shared" si="41"/>
        <v>0</v>
      </c>
      <c r="AQ259" s="19"/>
    </row>
    <row r="260" spans="2:43" x14ac:dyDescent="0.25">
      <c r="C260" s="52"/>
      <c r="F260" s="17" t="s">
        <v>50</v>
      </c>
      <c r="G260" s="159" t="s">
        <v>102</v>
      </c>
      <c r="H260" s="159"/>
      <c r="I260" s="17"/>
      <c r="J260" s="220">
        <f t="shared" si="41"/>
        <v>773.81863514547661</v>
      </c>
      <c r="K260" s="220">
        <f t="shared" si="41"/>
        <v>0</v>
      </c>
      <c r="L260" s="220">
        <f t="shared" si="41"/>
        <v>305.16685012981145</v>
      </c>
      <c r="M260" s="220">
        <f t="shared" si="41"/>
        <v>0</v>
      </c>
      <c r="N260" s="220">
        <f t="shared" si="41"/>
        <v>0</v>
      </c>
      <c r="O260" s="220">
        <f t="shared" si="41"/>
        <v>0</v>
      </c>
      <c r="P260" s="220">
        <f t="shared" si="41"/>
        <v>0</v>
      </c>
      <c r="Q260" s="220">
        <f t="shared" si="41"/>
        <v>0</v>
      </c>
      <c r="R260" s="220">
        <f t="shared" si="41"/>
        <v>0</v>
      </c>
      <c r="S260" s="220">
        <f t="shared" si="41"/>
        <v>0</v>
      </c>
      <c r="T260" s="220">
        <f t="shared" si="41"/>
        <v>0</v>
      </c>
      <c r="U260" s="220">
        <f t="shared" si="41"/>
        <v>0</v>
      </c>
      <c r="V260" s="220">
        <f t="shared" si="41"/>
        <v>0</v>
      </c>
      <c r="W260" s="220">
        <f t="shared" si="41"/>
        <v>0</v>
      </c>
      <c r="X260" s="220">
        <f t="shared" si="41"/>
        <v>0</v>
      </c>
      <c r="Y260" s="220">
        <f t="shared" si="41"/>
        <v>0</v>
      </c>
      <c r="AQ260" s="19"/>
    </row>
    <row r="261" spans="2:43" x14ac:dyDescent="0.25">
      <c r="H261" s="74"/>
    </row>
    <row r="262" spans="2:43" x14ac:dyDescent="0.25">
      <c r="B262" s="82" t="s">
        <v>283</v>
      </c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  <c r="AA262" s="82"/>
      <c r="AQ262" s="19"/>
    </row>
    <row r="263" spans="2:43" x14ac:dyDescent="0.25">
      <c r="H263" s="74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</row>
    <row r="264" spans="2:43" x14ac:dyDescent="0.25">
      <c r="C264" s="73" t="s">
        <v>356</v>
      </c>
      <c r="H264" s="74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</row>
    <row r="265" spans="2:43" x14ac:dyDescent="0.25">
      <c r="H265" s="74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</row>
    <row r="266" spans="2:43" x14ac:dyDescent="0.25">
      <c r="C266" s="5" t="str">
        <f ca="1">INDEX('Version control'!$H$36:$H$62,MATCH($A$1,'Version control'!$F$36:$F$62,0),1)&amp;"-I: System peak based on chargeable load"</f>
        <v>Section 509-I: System peak based on chargeable load</v>
      </c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Q266" s="19"/>
    </row>
    <row r="267" spans="2:43" x14ac:dyDescent="0.25">
      <c r="H267" s="74"/>
    </row>
    <row r="268" spans="2:43" x14ac:dyDescent="0.25">
      <c r="E268" s="52" t="s">
        <v>357</v>
      </c>
      <c r="F268" s="73"/>
      <c r="H268" s="146" t="s">
        <v>215</v>
      </c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</row>
    <row r="269" spans="2:43" x14ac:dyDescent="0.25">
      <c r="C269" s="52"/>
      <c r="F269" s="80" t="s">
        <v>43</v>
      </c>
      <c r="G269" s="80" t="s">
        <v>102</v>
      </c>
      <c r="H269" s="213">
        <f t="shared" ref="H269:H277" si="42">SUM(J269:Y269)</f>
        <v>2499.1923496542399</v>
      </c>
      <c r="I269" s="223"/>
      <c r="J269" s="223">
        <f t="shared" ref="J269:Y277" si="43">J239 + J252 + J168</f>
        <v>1211.3620875826575</v>
      </c>
      <c r="K269" s="223">
        <f t="shared" si="43"/>
        <v>2.989328854499961</v>
      </c>
      <c r="L269" s="223">
        <f t="shared" si="43"/>
        <v>449.23635064480658</v>
      </c>
      <c r="M269" s="223">
        <f t="shared" si="43"/>
        <v>2.1456246518431294</v>
      </c>
      <c r="N269" s="223">
        <f t="shared" si="43"/>
        <v>461.78848905694991</v>
      </c>
      <c r="O269" s="223">
        <f t="shared" si="43"/>
        <v>41.086048063667683</v>
      </c>
      <c r="P269" s="223">
        <f t="shared" si="43"/>
        <v>446.21818687202494</v>
      </c>
      <c r="Q269" s="223">
        <f t="shared" si="43"/>
        <v>43.175810741874379</v>
      </c>
      <c r="R269" s="223">
        <f t="shared" si="43"/>
        <v>-2.4307035052724024</v>
      </c>
      <c r="S269" s="223">
        <f t="shared" si="43"/>
        <v>-2.5390190164956496E-2</v>
      </c>
      <c r="T269" s="223">
        <f t="shared" si="43"/>
        <v>-8.3170337183427954</v>
      </c>
      <c r="U269" s="223">
        <f t="shared" si="43"/>
        <v>0</v>
      </c>
      <c r="V269" s="223">
        <f t="shared" si="43"/>
        <v>-8.6701227654623292E-2</v>
      </c>
      <c r="W269" s="223">
        <f t="shared" si="43"/>
        <v>0</v>
      </c>
      <c r="X269" s="223">
        <f t="shared" si="43"/>
        <v>-147.94974817264949</v>
      </c>
      <c r="Y269" s="223">
        <f t="shared" si="43"/>
        <v>0</v>
      </c>
      <c r="AQ269" s="19"/>
    </row>
    <row r="270" spans="2:43" x14ac:dyDescent="0.25">
      <c r="C270" s="52"/>
      <c r="F270" t="s">
        <v>44</v>
      </c>
      <c r="G270" t="s">
        <v>102</v>
      </c>
      <c r="H270" s="215">
        <f t="shared" si="42"/>
        <v>0</v>
      </c>
      <c r="I270" s="211"/>
      <c r="J270" s="211">
        <f t="shared" si="43"/>
        <v>0</v>
      </c>
      <c r="K270" s="211">
        <f t="shared" si="43"/>
        <v>0</v>
      </c>
      <c r="L270" s="211">
        <f t="shared" si="43"/>
        <v>0</v>
      </c>
      <c r="M270" s="211">
        <f t="shared" si="43"/>
        <v>0</v>
      </c>
      <c r="N270" s="211">
        <f t="shared" si="43"/>
        <v>0</v>
      </c>
      <c r="O270" s="211">
        <f t="shared" si="43"/>
        <v>0</v>
      </c>
      <c r="P270" s="211">
        <f t="shared" si="43"/>
        <v>0</v>
      </c>
      <c r="Q270" s="211">
        <f t="shared" si="43"/>
        <v>0</v>
      </c>
      <c r="R270" s="211">
        <f t="shared" si="43"/>
        <v>0</v>
      </c>
      <c r="S270" s="211">
        <f t="shared" si="43"/>
        <v>0</v>
      </c>
      <c r="T270" s="211">
        <f t="shared" si="43"/>
        <v>0</v>
      </c>
      <c r="U270" s="211">
        <f t="shared" si="43"/>
        <v>0</v>
      </c>
      <c r="V270" s="211">
        <f t="shared" si="43"/>
        <v>0</v>
      </c>
      <c r="W270" s="211">
        <f t="shared" si="43"/>
        <v>0</v>
      </c>
      <c r="X270" s="211">
        <f t="shared" si="43"/>
        <v>0</v>
      </c>
      <c r="Y270" s="211">
        <f t="shared" si="43"/>
        <v>0</v>
      </c>
      <c r="AQ270" s="19"/>
    </row>
    <row r="271" spans="2:43" x14ac:dyDescent="0.25">
      <c r="C271" s="52"/>
      <c r="F271" t="s">
        <v>45</v>
      </c>
      <c r="G271" t="s">
        <v>102</v>
      </c>
      <c r="H271" s="215">
        <f t="shared" si="42"/>
        <v>0</v>
      </c>
      <c r="I271" s="211"/>
      <c r="J271" s="211">
        <f t="shared" si="43"/>
        <v>0</v>
      </c>
      <c r="K271" s="211">
        <f t="shared" si="43"/>
        <v>0</v>
      </c>
      <c r="L271" s="211">
        <f t="shared" si="43"/>
        <v>0</v>
      </c>
      <c r="M271" s="211">
        <f t="shared" si="43"/>
        <v>0</v>
      </c>
      <c r="N271" s="211">
        <f t="shared" si="43"/>
        <v>0</v>
      </c>
      <c r="O271" s="211">
        <f t="shared" si="43"/>
        <v>0</v>
      </c>
      <c r="P271" s="211">
        <f t="shared" si="43"/>
        <v>0</v>
      </c>
      <c r="Q271" s="211">
        <f t="shared" si="43"/>
        <v>0</v>
      </c>
      <c r="R271" s="211">
        <f t="shared" si="43"/>
        <v>0</v>
      </c>
      <c r="S271" s="211">
        <f t="shared" si="43"/>
        <v>0</v>
      </c>
      <c r="T271" s="211">
        <f t="shared" si="43"/>
        <v>0</v>
      </c>
      <c r="U271" s="211">
        <f t="shared" si="43"/>
        <v>0</v>
      </c>
      <c r="V271" s="211">
        <f t="shared" si="43"/>
        <v>0</v>
      </c>
      <c r="W271" s="211">
        <f t="shared" si="43"/>
        <v>0</v>
      </c>
      <c r="X271" s="211">
        <f t="shared" si="43"/>
        <v>0</v>
      </c>
      <c r="Y271" s="211">
        <f t="shared" si="43"/>
        <v>0</v>
      </c>
      <c r="AQ271" s="19"/>
    </row>
    <row r="272" spans="2:43" x14ac:dyDescent="0.25">
      <c r="C272" s="52"/>
      <c r="F272" t="s">
        <v>46</v>
      </c>
      <c r="G272" t="s">
        <v>102</v>
      </c>
      <c r="H272" s="215">
        <f t="shared" si="42"/>
        <v>2614.7715332079019</v>
      </c>
      <c r="I272" s="211"/>
      <c r="J272" s="211">
        <f t="shared" si="43"/>
        <v>1208.9441991842889</v>
      </c>
      <c r="K272" s="211">
        <f t="shared" si="43"/>
        <v>2.9833621302394819</v>
      </c>
      <c r="L272" s="211">
        <f t="shared" si="43"/>
        <v>448.33967130220219</v>
      </c>
      <c r="M272" s="211">
        <f t="shared" si="43"/>
        <v>2.1413419679073145</v>
      </c>
      <c r="N272" s="211">
        <f t="shared" si="43"/>
        <v>460.86675554585827</v>
      </c>
      <c r="O272" s="211">
        <f t="shared" si="43"/>
        <v>41.004039983700288</v>
      </c>
      <c r="P272" s="211">
        <f t="shared" si="43"/>
        <v>565.89512324561099</v>
      </c>
      <c r="Q272" s="211">
        <f t="shared" si="43"/>
        <v>43.089631478916544</v>
      </c>
      <c r="R272" s="211">
        <f t="shared" si="43"/>
        <v>-2.4258518016690638</v>
      </c>
      <c r="S272" s="211">
        <f t="shared" si="43"/>
        <v>-2.5339511142671151E-2</v>
      </c>
      <c r="T272" s="211">
        <f t="shared" si="43"/>
        <v>-8.3004328526375204</v>
      </c>
      <c r="U272" s="211">
        <f t="shared" si="43"/>
        <v>0</v>
      </c>
      <c r="V272" s="211">
        <f t="shared" si="43"/>
        <v>-8.6528171311999302E-2</v>
      </c>
      <c r="W272" s="211">
        <f t="shared" si="43"/>
        <v>0</v>
      </c>
      <c r="X272" s="211">
        <f t="shared" si="43"/>
        <v>-147.65443929406138</v>
      </c>
      <c r="Y272" s="211">
        <f t="shared" si="43"/>
        <v>0</v>
      </c>
      <c r="AQ272" s="19"/>
    </row>
    <row r="273" spans="2:43" x14ac:dyDescent="0.25">
      <c r="C273" s="52"/>
      <c r="F273" t="s">
        <v>47</v>
      </c>
      <c r="G273" t="s">
        <v>102</v>
      </c>
      <c r="H273" s="215">
        <f t="shared" si="42"/>
        <v>3040.5211628349907</v>
      </c>
      <c r="I273" s="211"/>
      <c r="J273" s="211">
        <f t="shared" si="43"/>
        <v>1155.6546709826298</v>
      </c>
      <c r="K273" s="211">
        <f t="shared" si="43"/>
        <v>4.0813097307075248</v>
      </c>
      <c r="L273" s="211">
        <f t="shared" si="43"/>
        <v>453.1891549850057</v>
      </c>
      <c r="M273" s="211">
        <f t="shared" si="43"/>
        <v>2.6099309884563078</v>
      </c>
      <c r="N273" s="211">
        <f t="shared" si="43"/>
        <v>461.10075978614924</v>
      </c>
      <c r="O273" s="211">
        <f t="shared" si="43"/>
        <v>40.879273583941973</v>
      </c>
      <c r="P273" s="211">
        <f t="shared" si="43"/>
        <v>1036.7836327467041</v>
      </c>
      <c r="Q273" s="211">
        <f t="shared" si="43"/>
        <v>39.259692718108901</v>
      </c>
      <c r="R273" s="211">
        <f t="shared" si="43"/>
        <v>-2.456953644131044</v>
      </c>
      <c r="S273" s="211">
        <f t="shared" si="43"/>
        <v>-2.4688656628392727E-2</v>
      </c>
      <c r="T273" s="211">
        <f t="shared" si="43"/>
        <v>-8.2469845089805514</v>
      </c>
      <c r="U273" s="211">
        <f t="shared" si="43"/>
        <v>0</v>
      </c>
      <c r="V273" s="211">
        <f t="shared" si="43"/>
        <v>-8.705358787720395E-2</v>
      </c>
      <c r="W273" s="211">
        <f t="shared" si="43"/>
        <v>0</v>
      </c>
      <c r="X273" s="211">
        <f t="shared" si="43"/>
        <v>-142.22158228909586</v>
      </c>
      <c r="Y273" s="211">
        <f t="shared" si="43"/>
        <v>0</v>
      </c>
      <c r="AQ273" s="19"/>
    </row>
    <row r="274" spans="2:43" x14ac:dyDescent="0.25">
      <c r="C274" s="52"/>
      <c r="F274" t="s">
        <v>51</v>
      </c>
      <c r="G274" t="s">
        <v>102</v>
      </c>
      <c r="H274" s="215">
        <f t="shared" si="42"/>
        <v>0</v>
      </c>
      <c r="I274" s="211"/>
      <c r="J274" s="211">
        <f t="shared" si="43"/>
        <v>0</v>
      </c>
      <c r="K274" s="211">
        <f t="shared" si="43"/>
        <v>0</v>
      </c>
      <c r="L274" s="211">
        <f t="shared" si="43"/>
        <v>0</v>
      </c>
      <c r="M274" s="211">
        <f t="shared" si="43"/>
        <v>0</v>
      </c>
      <c r="N274" s="211">
        <f t="shared" si="43"/>
        <v>0</v>
      </c>
      <c r="O274" s="211">
        <f t="shared" si="43"/>
        <v>0</v>
      </c>
      <c r="P274" s="211">
        <f t="shared" si="43"/>
        <v>0</v>
      </c>
      <c r="Q274" s="211">
        <f t="shared" si="43"/>
        <v>0</v>
      </c>
      <c r="R274" s="211">
        <f t="shared" si="43"/>
        <v>0</v>
      </c>
      <c r="S274" s="211">
        <f t="shared" si="43"/>
        <v>0</v>
      </c>
      <c r="T274" s="211">
        <f t="shared" si="43"/>
        <v>0</v>
      </c>
      <c r="U274" s="211">
        <f t="shared" si="43"/>
        <v>0</v>
      </c>
      <c r="V274" s="211">
        <f t="shared" si="43"/>
        <v>0</v>
      </c>
      <c r="W274" s="211">
        <f t="shared" si="43"/>
        <v>0</v>
      </c>
      <c r="X274" s="211">
        <f t="shared" si="43"/>
        <v>0</v>
      </c>
      <c r="Y274" s="211">
        <f t="shared" si="43"/>
        <v>0</v>
      </c>
      <c r="AQ274" s="19"/>
    </row>
    <row r="275" spans="2:43" x14ac:dyDescent="0.25">
      <c r="C275" s="52"/>
      <c r="F275" t="s">
        <v>48</v>
      </c>
      <c r="G275" t="s">
        <v>102</v>
      </c>
      <c r="H275" s="215">
        <f t="shared" si="42"/>
        <v>3095.4143912780537</v>
      </c>
      <c r="I275" s="211"/>
      <c r="J275" s="211">
        <f t="shared" si="43"/>
        <v>1143.2404118216834</v>
      </c>
      <c r="K275" s="211">
        <f t="shared" si="43"/>
        <v>4.0374675363346899</v>
      </c>
      <c r="L275" s="211">
        <f t="shared" si="43"/>
        <v>448.32091210919015</v>
      </c>
      <c r="M275" s="211">
        <f t="shared" si="43"/>
        <v>2.5818946204162496</v>
      </c>
      <c r="N275" s="211">
        <f t="shared" si="43"/>
        <v>572.40293204967963</v>
      </c>
      <c r="O275" s="211">
        <f t="shared" si="43"/>
        <v>76.175264880410964</v>
      </c>
      <c r="P275" s="211">
        <f t="shared" si="43"/>
        <v>820.51704685344612</v>
      </c>
      <c r="Q275" s="211">
        <f t="shared" si="43"/>
        <v>38.837957737738591</v>
      </c>
      <c r="R275" s="211">
        <f t="shared" si="43"/>
        <v>-2.4305605874069798</v>
      </c>
      <c r="S275" s="211">
        <f t="shared" si="43"/>
        <v>-2.4423446449767405E-2</v>
      </c>
      <c r="T275" s="211">
        <f t="shared" si="43"/>
        <v>-8.1583938550754844</v>
      </c>
      <c r="U275" s="211">
        <f t="shared" si="43"/>
        <v>0</v>
      </c>
      <c r="V275" s="211">
        <f t="shared" si="43"/>
        <v>-8.6118441913679289E-2</v>
      </c>
      <c r="W275" s="211">
        <f t="shared" si="43"/>
        <v>0</v>
      </c>
      <c r="X275" s="211">
        <f t="shared" si="43"/>
        <v>0</v>
      </c>
      <c r="Y275" s="211">
        <f t="shared" si="43"/>
        <v>0</v>
      </c>
      <c r="AQ275" s="19"/>
    </row>
    <row r="276" spans="2:43" x14ac:dyDescent="0.25">
      <c r="C276" s="52"/>
      <c r="F276" t="s">
        <v>49</v>
      </c>
      <c r="G276" t="s">
        <v>102</v>
      </c>
      <c r="H276" s="215">
        <f t="shared" si="42"/>
        <v>2687.5385120751857</v>
      </c>
      <c r="I276" s="211"/>
      <c r="J276" s="211">
        <f t="shared" si="43"/>
        <v>1121.3392545070919</v>
      </c>
      <c r="K276" s="211">
        <f t="shared" si="43"/>
        <v>3.9601214149489676</v>
      </c>
      <c r="L276" s="211">
        <f t="shared" si="43"/>
        <v>439.73238888870759</v>
      </c>
      <c r="M276" s="211">
        <f t="shared" si="43"/>
        <v>2.5324330376496547</v>
      </c>
      <c r="N276" s="211">
        <f t="shared" si="43"/>
        <v>1017.5505109586999</v>
      </c>
      <c r="O276" s="211">
        <f t="shared" si="43"/>
        <v>74.715968618334117</v>
      </c>
      <c r="P276" s="211">
        <f t="shared" si="43"/>
        <v>0</v>
      </c>
      <c r="Q276" s="211">
        <f t="shared" si="43"/>
        <v>38.093935558854717</v>
      </c>
      <c r="R276" s="211">
        <f t="shared" si="43"/>
        <v>-2.383998124046693</v>
      </c>
      <c r="S276" s="211">
        <f t="shared" si="43"/>
        <v>0</v>
      </c>
      <c r="T276" s="211">
        <f t="shared" si="43"/>
        <v>-8.0021027850548805</v>
      </c>
      <c r="U276" s="211">
        <f t="shared" si="43"/>
        <v>0</v>
      </c>
      <c r="V276" s="211">
        <f t="shared" si="43"/>
        <v>0</v>
      </c>
      <c r="W276" s="211">
        <f t="shared" si="43"/>
        <v>0</v>
      </c>
      <c r="X276" s="211">
        <f t="shared" si="43"/>
        <v>0</v>
      </c>
      <c r="Y276" s="211">
        <f t="shared" si="43"/>
        <v>0</v>
      </c>
      <c r="AQ276" s="19"/>
    </row>
    <row r="277" spans="2:43" x14ac:dyDescent="0.25">
      <c r="C277" s="52"/>
      <c r="F277" s="17" t="s">
        <v>50</v>
      </c>
      <c r="G277" s="17" t="s">
        <v>102</v>
      </c>
      <c r="H277" s="217">
        <f t="shared" si="42"/>
        <v>1946.4070614828397</v>
      </c>
      <c r="I277" s="220"/>
      <c r="J277" s="220">
        <f t="shared" si="43"/>
        <v>773.81863514547661</v>
      </c>
      <c r="K277" s="220">
        <f t="shared" si="43"/>
        <v>0</v>
      </c>
      <c r="L277" s="220">
        <f t="shared" si="43"/>
        <v>305.16685012981145</v>
      </c>
      <c r="M277" s="220">
        <f t="shared" si="43"/>
        <v>0</v>
      </c>
      <c r="N277" s="220">
        <f t="shared" si="43"/>
        <v>831.43056378814492</v>
      </c>
      <c r="O277" s="220">
        <f t="shared" si="43"/>
        <v>0</v>
      </c>
      <c r="P277" s="220">
        <f t="shared" si="43"/>
        <v>0</v>
      </c>
      <c r="Q277" s="220">
        <f t="shared" si="43"/>
        <v>35.991012419406623</v>
      </c>
      <c r="R277" s="220">
        <f t="shared" si="43"/>
        <v>0</v>
      </c>
      <c r="S277" s="220">
        <f t="shared" si="43"/>
        <v>0</v>
      </c>
      <c r="T277" s="220">
        <f t="shared" si="43"/>
        <v>0</v>
      </c>
      <c r="U277" s="220">
        <f t="shared" si="43"/>
        <v>0</v>
      </c>
      <c r="V277" s="220">
        <f t="shared" si="43"/>
        <v>0</v>
      </c>
      <c r="W277" s="220">
        <f t="shared" si="43"/>
        <v>0</v>
      </c>
      <c r="X277" s="220">
        <f t="shared" si="43"/>
        <v>0</v>
      </c>
      <c r="Y277" s="220">
        <f t="shared" si="43"/>
        <v>0</v>
      </c>
      <c r="AQ277" s="19"/>
    </row>
    <row r="278" spans="2:43" x14ac:dyDescent="0.25">
      <c r="H278" s="74"/>
    </row>
    <row r="279" spans="2:43" x14ac:dyDescent="0.25">
      <c r="B279" s="82" t="s">
        <v>109</v>
      </c>
      <c r="C279" s="82"/>
      <c r="D279" s="82"/>
      <c r="E279" s="82"/>
      <c r="F279" s="82"/>
      <c r="G279" s="82"/>
      <c r="H279" s="82"/>
      <c r="I279" s="82"/>
      <c r="J279" s="82"/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  <c r="AA279" s="82"/>
      <c r="AC279" s="82"/>
      <c r="AD279" s="82"/>
      <c r="AE279" s="82"/>
      <c r="AF279" s="82"/>
      <c r="AG279" s="82"/>
      <c r="AH279" s="82"/>
      <c r="AI279" s="82"/>
      <c r="AJ279" s="82"/>
      <c r="AK279" s="82"/>
      <c r="AL279" s="82"/>
      <c r="AM279" s="82"/>
      <c r="AN279" s="82"/>
      <c r="AO279" s="82"/>
      <c r="AQ279" s="82"/>
    </row>
    <row r="281" spans="2:43" x14ac:dyDescent="0.25">
      <c r="E281" t="s">
        <v>415</v>
      </c>
      <c r="G281" s="46" t="s">
        <v>588</v>
      </c>
      <c r="H281" s="263">
        <f t="array" ref="H281">SUM(IF(ISERROR(H23:Y277), 1))</f>
        <v>0</v>
      </c>
    </row>
    <row r="283" spans="2:43" x14ac:dyDescent="0.25">
      <c r="B283" s="82" t="s">
        <v>110</v>
      </c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82"/>
      <c r="Y283" s="82"/>
      <c r="Z283" s="82"/>
      <c r="AA283" s="82"/>
      <c r="AC283" s="82"/>
      <c r="AD283" s="82"/>
      <c r="AE283" s="82"/>
      <c r="AF283" s="82"/>
      <c r="AG283" s="82"/>
      <c r="AH283" s="82"/>
      <c r="AI283" s="82"/>
      <c r="AJ283" s="82"/>
      <c r="AK283" s="82"/>
      <c r="AL283" s="82"/>
      <c r="AM283" s="82"/>
      <c r="AN283" s="82"/>
      <c r="AO283" s="82"/>
      <c r="AQ283" s="82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41" width="17" hidden="1" customWidth="1"/>
    <col min="42" max="42" width="3.5703125" hidden="1" customWidth="1"/>
    <col min="43" max="43" width="18.42578125" hidden="1" customWidth="1"/>
    <col min="44" max="44" width="4.42578125" hidden="1" customWidth="1"/>
    <col min="45" max="45" width="24.5703125" hidden="1" customWidth="1"/>
    <col min="46" max="46" width="3.5703125" hidden="1" customWidth="1"/>
    <col min="47" max="47" width="15.42578125" hidden="1" customWidth="1"/>
    <col min="48" max="323" width="24.5703125" hidden="1" customWidth="1"/>
    <col min="324" max="16384" width="8.5703125" hidden="1"/>
  </cols>
  <sheetData>
    <row r="1" spans="1:43" s="8" customFormat="1" x14ac:dyDescent="0.25">
      <c r="A1" s="8" t="str">
        <f ca="1">MID(CELL("filename",A1),FIND("]",CELL("filename",A1))+1,255)</f>
        <v>Service model assets</v>
      </c>
    </row>
    <row r="2" spans="1:43" s="8" customFormat="1" x14ac:dyDescent="0.25">
      <c r="A2" s="8" t="str">
        <f>Cover!D21&amp;" - "&amp;Cover!D23</f>
        <v>SP Distribution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H38 &amp; IF(H38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Q7" s="82"/>
    </row>
    <row r="9" spans="1:43" x14ac:dyDescent="0.25">
      <c r="C9" s="73" t="s">
        <v>634</v>
      </c>
    </row>
    <row r="10" spans="1:43" x14ac:dyDescent="0.25">
      <c r="C10" s="73" t="s">
        <v>635</v>
      </c>
    </row>
    <row r="11" spans="1:43" x14ac:dyDescent="0.25">
      <c r="D11" s="52"/>
      <c r="AQ11" s="19"/>
    </row>
    <row r="12" spans="1:43" x14ac:dyDescent="0.25">
      <c r="B12" s="82" t="s">
        <v>668</v>
      </c>
      <c r="C12" s="82"/>
      <c r="D12" s="82"/>
      <c r="E12" s="82"/>
      <c r="F12" s="82"/>
      <c r="G12" s="107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</row>
    <row r="13" spans="1:43" x14ac:dyDescent="0.25">
      <c r="G13" s="91"/>
    </row>
    <row r="14" spans="1:43" x14ac:dyDescent="0.25">
      <c r="C14" s="5" t="str">
        <f ca="1">INDEX('Version control'!$H$36:$H$62,MATCH($A$1,'Version control'!$F$36:$F$62,0),1)&amp;"-A: Service model notional asset values"</f>
        <v>Section 510-A: Service model notional asset values</v>
      </c>
      <c r="D14" s="5"/>
      <c r="E14" s="5"/>
      <c r="F14" s="5"/>
      <c r="G14" s="144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</row>
    <row r="16" spans="1:43" x14ac:dyDescent="0.25">
      <c r="E16" s="12" t="s">
        <v>402</v>
      </c>
      <c r="G16" s="12" t="s">
        <v>74</v>
      </c>
      <c r="J16" s="229">
        <f>'Volume adjustments'!J275</f>
        <v>1924111.5351780879</v>
      </c>
      <c r="K16" s="229">
        <f>'Volume adjustments'!K275</f>
        <v>93043.729371061141</v>
      </c>
      <c r="L16" s="229">
        <f>'Volume adjustments'!L275</f>
        <v>127521.10315850574</v>
      </c>
      <c r="M16" s="229">
        <f>'Volume adjustments'!M275</f>
        <v>5473</v>
      </c>
      <c r="N16" s="229">
        <f>'Volume adjustments'!N275</f>
        <v>11339.754132436588</v>
      </c>
      <c r="O16" s="229">
        <f>'Volume adjustments'!O275</f>
        <v>303.19250235942349</v>
      </c>
      <c r="P16" s="229">
        <f>'Volume adjustments'!P275</f>
        <v>1301.8191428069956</v>
      </c>
      <c r="Q16" s="229">
        <f>'Volume adjustments'!Q275</f>
        <v>4874.0599354170627</v>
      </c>
      <c r="R16" s="229">
        <f>'Volume adjustments'!R275</f>
        <v>1153</v>
      </c>
      <c r="S16" s="229">
        <f>'Volume adjustments'!S275</f>
        <v>4</v>
      </c>
      <c r="T16" s="229">
        <f>'Volume adjustments'!T275</f>
        <v>496</v>
      </c>
      <c r="U16" s="229">
        <f>'Volume adjustments'!U275</f>
        <v>0</v>
      </c>
      <c r="V16" s="229">
        <f>'Volume adjustments'!V275</f>
        <v>9</v>
      </c>
      <c r="W16" s="229">
        <f>'Volume adjustments'!W275</f>
        <v>0</v>
      </c>
      <c r="X16" s="229">
        <f>'Volume adjustments'!X275</f>
        <v>261</v>
      </c>
      <c r="Y16" s="229">
        <f>'Volume adjustments'!Y275</f>
        <v>0</v>
      </c>
    </row>
    <row r="17" spans="5:27" x14ac:dyDescent="0.25">
      <c r="E17" s="12" t="s">
        <v>626</v>
      </c>
      <c r="G17" s="12" t="s">
        <v>120</v>
      </c>
      <c r="J17" s="228">
        <f>'Volume adjustments'!J264</f>
        <v>5510601.5775588276</v>
      </c>
      <c r="K17" s="228">
        <f>'Volume adjustments'!K264</f>
        <v>190222.32306695206</v>
      </c>
      <c r="L17" s="228">
        <f>'Volume adjustments'!L264</f>
        <v>2041626.7496079886</v>
      </c>
      <c r="M17" s="228">
        <f>'Volume adjustments'!M264</f>
        <v>45319.649842056329</v>
      </c>
      <c r="N17" s="228">
        <f>'Volume adjustments'!N264</f>
        <v>2475591.2478031153</v>
      </c>
      <c r="O17" s="228">
        <f>'Volume adjustments'!O264</f>
        <v>277611.20724643389</v>
      </c>
      <c r="P17" s="228">
        <f>'Volume adjustments'!P264</f>
        <v>3178014.2398807798</v>
      </c>
      <c r="Q17" s="228">
        <f>'Volume adjustments'!Q264</f>
        <v>224827.22617834673</v>
      </c>
      <c r="R17" s="228">
        <f>'Volume adjustments'!R264</f>
        <v>14154.160774500382</v>
      </c>
      <c r="S17" s="228">
        <f>'Volume adjustments'!S264</f>
        <v>155.60399999999998</v>
      </c>
      <c r="T17" s="228">
        <f>'Volume adjustments'!T264</f>
        <v>62012.428</v>
      </c>
      <c r="U17" s="228">
        <f>'Volume adjustments'!U264</f>
        <v>0</v>
      </c>
      <c r="V17" s="228">
        <f>'Volume adjustments'!V264</f>
        <v>650.69700000000012</v>
      </c>
      <c r="W17" s="228">
        <f>'Volume adjustments'!W264</f>
        <v>0</v>
      </c>
      <c r="X17" s="228">
        <f>'Volume adjustments'!X264</f>
        <v>1036985.4089999999</v>
      </c>
      <c r="Y17" s="228">
        <f>'Volume adjustments'!Y264</f>
        <v>0</v>
      </c>
    </row>
    <row r="18" spans="5:27" x14ac:dyDescent="0.25"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</row>
    <row r="19" spans="5:27" x14ac:dyDescent="0.25">
      <c r="E19" s="76" t="s">
        <v>628</v>
      </c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</row>
    <row r="20" spans="5:27" x14ac:dyDescent="0.25">
      <c r="E20" s="73" t="s">
        <v>627</v>
      </c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</row>
    <row r="21" spans="5:27" x14ac:dyDescent="0.25">
      <c r="E21" s="76"/>
      <c r="F21" s="80" t="s">
        <v>124</v>
      </c>
      <c r="G21" s="80" t="s">
        <v>509</v>
      </c>
      <c r="H21" s="118"/>
      <c r="I21" s="80"/>
      <c r="J21" s="228">
        <f>'Inputs by customer type'!J190</f>
        <v>377.70000000000005</v>
      </c>
      <c r="K21" s="228">
        <f>'Inputs by customer type'!K190</f>
        <v>0</v>
      </c>
      <c r="L21" s="228">
        <f>'Inputs by customer type'!L190</f>
        <v>508.75</v>
      </c>
      <c r="M21" s="228">
        <f>'Inputs by customer type'!M190</f>
        <v>0</v>
      </c>
      <c r="N21" s="228">
        <f>'Inputs by customer type'!N190</f>
        <v>2380</v>
      </c>
      <c r="O21" s="228">
        <f>'Inputs by customer type'!O190</f>
        <v>840</v>
      </c>
      <c r="P21" s="228">
        <f>'Inputs by customer type'!P190</f>
        <v>0</v>
      </c>
      <c r="Q21" s="201"/>
      <c r="R21" s="228">
        <f>'Inputs by customer type'!R190</f>
        <v>0</v>
      </c>
      <c r="S21" s="228">
        <f>'Inputs by customer type'!S190</f>
        <v>0</v>
      </c>
      <c r="T21" s="228">
        <f>'Inputs by customer type'!T190</f>
        <v>0</v>
      </c>
      <c r="U21" s="228">
        <f>'Inputs by customer type'!U190</f>
        <v>0</v>
      </c>
      <c r="V21" s="228">
        <f>'Inputs by customer type'!V190</f>
        <v>0</v>
      </c>
      <c r="W21" s="228">
        <f>'Inputs by customer type'!W190</f>
        <v>0</v>
      </c>
      <c r="X21" s="228">
        <f>'Inputs by customer type'!X190</f>
        <v>0</v>
      </c>
      <c r="Y21" s="228">
        <f>'Inputs by customer type'!Y190</f>
        <v>0</v>
      </c>
    </row>
    <row r="22" spans="5:27" x14ac:dyDescent="0.25">
      <c r="E22" s="76"/>
      <c r="F22" t="s">
        <v>123</v>
      </c>
      <c r="G22" t="s">
        <v>509</v>
      </c>
      <c r="H22" s="327"/>
      <c r="J22" s="229">
        <f>'Inputs by customer type'!J191</f>
        <v>0</v>
      </c>
      <c r="K22" s="229">
        <f>'Inputs by customer type'!K191</f>
        <v>0</v>
      </c>
      <c r="L22" s="229">
        <f>'Inputs by customer type'!L191</f>
        <v>0</v>
      </c>
      <c r="M22" s="229">
        <f>'Inputs by customer type'!M191</f>
        <v>0</v>
      </c>
      <c r="N22" s="229">
        <f>'Inputs by customer type'!N191</f>
        <v>0</v>
      </c>
      <c r="O22" s="229">
        <f>'Inputs by customer type'!O191</f>
        <v>0</v>
      </c>
      <c r="P22" s="229">
        <f>'Inputs by customer type'!P191</f>
        <v>12718.10554</v>
      </c>
      <c r="Q22" s="234"/>
      <c r="R22" s="229">
        <f>'Inputs by customer type'!R191</f>
        <v>0</v>
      </c>
      <c r="S22" s="229">
        <f>'Inputs by customer type'!S191</f>
        <v>0</v>
      </c>
      <c r="T22" s="229">
        <f>'Inputs by customer type'!T191</f>
        <v>0</v>
      </c>
      <c r="U22" s="229">
        <f>'Inputs by customer type'!U191</f>
        <v>0</v>
      </c>
      <c r="V22" s="229">
        <f>'Inputs by customer type'!V191</f>
        <v>0</v>
      </c>
      <c r="W22" s="229">
        <f>'Inputs by customer type'!W191</f>
        <v>0</v>
      </c>
      <c r="X22" s="229">
        <f>'Inputs by customer type'!X191</f>
        <v>9287</v>
      </c>
      <c r="Y22" s="229">
        <f>'Inputs by customer type'!Y191</f>
        <v>9287</v>
      </c>
    </row>
    <row r="23" spans="5:27" x14ac:dyDescent="0.25">
      <c r="E23" s="76"/>
      <c r="F23" s="17" t="s">
        <v>381</v>
      </c>
      <c r="G23" s="17" t="s">
        <v>271</v>
      </c>
      <c r="H23" s="17"/>
      <c r="I23" s="17"/>
      <c r="J23" s="376"/>
      <c r="K23" s="376"/>
      <c r="L23" s="376"/>
      <c r="M23" s="376"/>
      <c r="N23" s="376"/>
      <c r="O23" s="376"/>
      <c r="P23" s="376"/>
      <c r="Q23" s="375">
        <f>'Inputs by customer type'!Q193</f>
        <v>120.51</v>
      </c>
      <c r="R23" s="376"/>
      <c r="S23" s="376"/>
      <c r="T23" s="376"/>
      <c r="U23" s="376"/>
      <c r="V23" s="376"/>
      <c r="W23" s="376"/>
      <c r="X23" s="376"/>
      <c r="Y23" s="376"/>
    </row>
    <row r="24" spans="5:27" x14ac:dyDescent="0.25"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</row>
    <row r="25" spans="5:27" x14ac:dyDescent="0.25">
      <c r="E25" s="76" t="s">
        <v>629</v>
      </c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</row>
    <row r="26" spans="5:27" x14ac:dyDescent="0.25">
      <c r="E26" s="73" t="s">
        <v>633</v>
      </c>
      <c r="I26" t="s">
        <v>359</v>
      </c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AA26" t="s">
        <v>959</v>
      </c>
    </row>
    <row r="27" spans="5:27" x14ac:dyDescent="0.25">
      <c r="F27" s="80" t="s">
        <v>124</v>
      </c>
      <c r="G27" s="80" t="s">
        <v>107</v>
      </c>
      <c r="H27" s="67"/>
      <c r="I27" s="80"/>
      <c r="J27" s="224">
        <f t="shared" ref="J27:Y28" si="0">J21 * J$16</f>
        <v>726736926.83676386</v>
      </c>
      <c r="K27" s="224">
        <f t="shared" si="0"/>
        <v>0</v>
      </c>
      <c r="L27" s="224">
        <f t="shared" si="0"/>
        <v>64876361.231889792</v>
      </c>
      <c r="M27" s="224">
        <f t="shared" si="0"/>
        <v>0</v>
      </c>
      <c r="N27" s="224">
        <f t="shared" si="0"/>
        <v>26988614.83519908</v>
      </c>
      <c r="O27" s="224">
        <f t="shared" si="0"/>
        <v>254681.70198191571</v>
      </c>
      <c r="P27" s="224">
        <f t="shared" si="0"/>
        <v>0</v>
      </c>
      <c r="Q27" s="224">
        <f t="shared" si="0"/>
        <v>0</v>
      </c>
      <c r="R27" s="224">
        <f t="shared" si="0"/>
        <v>0</v>
      </c>
      <c r="S27" s="224">
        <f t="shared" si="0"/>
        <v>0</v>
      </c>
      <c r="T27" s="224">
        <f t="shared" si="0"/>
        <v>0</v>
      </c>
      <c r="U27" s="224">
        <f t="shared" si="0"/>
        <v>0</v>
      </c>
      <c r="V27" s="224">
        <f t="shared" si="0"/>
        <v>0</v>
      </c>
      <c r="W27" s="224">
        <f t="shared" si="0"/>
        <v>0</v>
      </c>
      <c r="X27" s="224">
        <f t="shared" si="0"/>
        <v>0</v>
      </c>
      <c r="Y27" s="224">
        <f t="shared" si="0"/>
        <v>0</v>
      </c>
    </row>
    <row r="28" spans="5:27" x14ac:dyDescent="0.25">
      <c r="F28" t="s">
        <v>123</v>
      </c>
      <c r="G28" t="s">
        <v>107</v>
      </c>
      <c r="H28" s="79"/>
      <c r="J28" s="231">
        <f t="shared" si="0"/>
        <v>0</v>
      </c>
      <c r="K28" s="231">
        <f t="shared" si="0"/>
        <v>0</v>
      </c>
      <c r="L28" s="231">
        <f t="shared" si="0"/>
        <v>0</v>
      </c>
      <c r="M28" s="231">
        <f t="shared" si="0"/>
        <v>0</v>
      </c>
      <c r="N28" s="231">
        <f t="shared" si="0"/>
        <v>0</v>
      </c>
      <c r="O28" s="231">
        <f t="shared" si="0"/>
        <v>0</v>
      </c>
      <c r="P28" s="231">
        <f t="shared" si="0"/>
        <v>16556673.252211703</v>
      </c>
      <c r="Q28" s="231">
        <f t="shared" si="0"/>
        <v>0</v>
      </c>
      <c r="R28" s="231">
        <f t="shared" si="0"/>
        <v>0</v>
      </c>
      <c r="S28" s="231">
        <f t="shared" si="0"/>
        <v>0</v>
      </c>
      <c r="T28" s="231">
        <f t="shared" si="0"/>
        <v>0</v>
      </c>
      <c r="U28" s="231">
        <f t="shared" si="0"/>
        <v>0</v>
      </c>
      <c r="V28" s="231">
        <f t="shared" si="0"/>
        <v>0</v>
      </c>
      <c r="W28" s="231">
        <f t="shared" si="0"/>
        <v>0</v>
      </c>
      <c r="X28" s="231">
        <f t="shared" si="0"/>
        <v>2423907</v>
      </c>
      <c r="Y28" s="231">
        <f t="shared" si="0"/>
        <v>0</v>
      </c>
    </row>
    <row r="29" spans="5:27" x14ac:dyDescent="0.25">
      <c r="F29" s="17" t="s">
        <v>381</v>
      </c>
      <c r="G29" s="17" t="s">
        <v>107</v>
      </c>
      <c r="H29" s="159"/>
      <c r="I29" s="17"/>
      <c r="J29" s="376"/>
      <c r="K29" s="376"/>
      <c r="L29" s="376"/>
      <c r="M29" s="376"/>
      <c r="N29" s="376"/>
      <c r="O29" s="376"/>
      <c r="P29" s="376"/>
      <c r="Q29" s="227">
        <f t="shared" ref="Q29" si="1">Q23 * Q$17</f>
        <v>27093929.026752565</v>
      </c>
      <c r="R29" s="376"/>
      <c r="S29" s="376"/>
      <c r="T29" s="376"/>
      <c r="U29" s="376"/>
      <c r="V29" s="376"/>
      <c r="W29" s="376"/>
      <c r="X29" s="376"/>
      <c r="Y29" s="376"/>
    </row>
    <row r="30" spans="5:27" x14ac:dyDescent="0.25"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</row>
    <row r="31" spans="5:27" x14ac:dyDescent="0.25">
      <c r="E31" s="76" t="s">
        <v>756</v>
      </c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</row>
    <row r="32" spans="5:27" x14ac:dyDescent="0.25">
      <c r="E32" s="73" t="s">
        <v>632</v>
      </c>
      <c r="H32" s="39" t="s">
        <v>215</v>
      </c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</row>
    <row r="33" spans="2:43" x14ac:dyDescent="0.25">
      <c r="F33" s="80" t="s">
        <v>630</v>
      </c>
      <c r="G33" s="80" t="s">
        <v>107</v>
      </c>
      <c r="H33" s="213">
        <f>SUM(J33:Y33)</f>
        <v>845950513.63258731</v>
      </c>
      <c r="I33" s="80"/>
      <c r="J33" s="223">
        <f t="shared" ref="J33:Y33" si="2">J27 +J29</f>
        <v>726736926.83676386</v>
      </c>
      <c r="K33" s="223">
        <f t="shared" si="2"/>
        <v>0</v>
      </c>
      <c r="L33" s="223">
        <f t="shared" si="2"/>
        <v>64876361.231889792</v>
      </c>
      <c r="M33" s="223">
        <f t="shared" si="2"/>
        <v>0</v>
      </c>
      <c r="N33" s="223">
        <f t="shared" si="2"/>
        <v>26988614.83519908</v>
      </c>
      <c r="O33" s="223">
        <f t="shared" si="2"/>
        <v>254681.70198191571</v>
      </c>
      <c r="P33" s="223">
        <f t="shared" si="2"/>
        <v>0</v>
      </c>
      <c r="Q33" s="223">
        <f t="shared" si="2"/>
        <v>27093929.026752565</v>
      </c>
      <c r="R33" s="223">
        <f t="shared" si="2"/>
        <v>0</v>
      </c>
      <c r="S33" s="223">
        <f t="shared" si="2"/>
        <v>0</v>
      </c>
      <c r="T33" s="223">
        <f t="shared" si="2"/>
        <v>0</v>
      </c>
      <c r="U33" s="223">
        <f t="shared" si="2"/>
        <v>0</v>
      </c>
      <c r="V33" s="223">
        <f t="shared" si="2"/>
        <v>0</v>
      </c>
      <c r="W33" s="223">
        <f t="shared" si="2"/>
        <v>0</v>
      </c>
      <c r="X33" s="223">
        <f t="shared" si="2"/>
        <v>0</v>
      </c>
      <c r="Y33" s="223">
        <f t="shared" si="2"/>
        <v>0</v>
      </c>
    </row>
    <row r="34" spans="2:43" x14ac:dyDescent="0.25">
      <c r="F34" s="17" t="s">
        <v>631</v>
      </c>
      <c r="G34" s="17" t="s">
        <v>107</v>
      </c>
      <c r="H34" s="217">
        <f>SUM(J34:Y34)</f>
        <v>18980580.252211705</v>
      </c>
      <c r="I34" s="17"/>
      <c r="J34" s="235">
        <f t="shared" ref="J34:Y34" si="3">J28</f>
        <v>0</v>
      </c>
      <c r="K34" s="235">
        <f t="shared" si="3"/>
        <v>0</v>
      </c>
      <c r="L34" s="235">
        <f t="shared" si="3"/>
        <v>0</v>
      </c>
      <c r="M34" s="235">
        <f t="shared" si="3"/>
        <v>0</v>
      </c>
      <c r="N34" s="235">
        <f t="shared" si="3"/>
        <v>0</v>
      </c>
      <c r="O34" s="235">
        <f t="shared" si="3"/>
        <v>0</v>
      </c>
      <c r="P34" s="235">
        <f t="shared" si="3"/>
        <v>16556673.252211703</v>
      </c>
      <c r="Q34" s="235">
        <f t="shared" si="3"/>
        <v>0</v>
      </c>
      <c r="R34" s="235">
        <f t="shared" si="3"/>
        <v>0</v>
      </c>
      <c r="S34" s="235">
        <f t="shared" si="3"/>
        <v>0</v>
      </c>
      <c r="T34" s="235">
        <f t="shared" si="3"/>
        <v>0</v>
      </c>
      <c r="U34" s="235">
        <f t="shared" si="3"/>
        <v>0</v>
      </c>
      <c r="V34" s="235">
        <f t="shared" si="3"/>
        <v>0</v>
      </c>
      <c r="W34" s="235">
        <f t="shared" si="3"/>
        <v>0</v>
      </c>
      <c r="X34" s="235">
        <f t="shared" si="3"/>
        <v>2423907</v>
      </c>
      <c r="Y34" s="235">
        <f t="shared" si="3"/>
        <v>0</v>
      </c>
    </row>
    <row r="36" spans="2:43" x14ac:dyDescent="0.25">
      <c r="B36" s="82" t="s">
        <v>109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Q36" s="82"/>
    </row>
    <row r="38" spans="2:43" x14ac:dyDescent="0.25">
      <c r="E38" t="s">
        <v>415</v>
      </c>
      <c r="G38" s="46" t="s">
        <v>588</v>
      </c>
      <c r="H38" s="263">
        <f t="array" ref="H38">SUM(IF(ISERROR(H16:Y35), 1))</f>
        <v>0</v>
      </c>
    </row>
    <row r="40" spans="2:43" x14ac:dyDescent="0.25">
      <c r="B40" s="82" t="s">
        <v>110</v>
      </c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Q40" s="82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1" width="17" customWidth="1"/>
    <col min="22" max="22" width="2.42578125" customWidth="1"/>
    <col min="23" max="23" width="50.5703125" customWidth="1"/>
    <col min="24" max="24" width="2.42578125" customWidth="1"/>
    <col min="25" max="42" width="17" hidden="1" customWidth="1"/>
    <col min="43" max="43" width="2.42578125" hidden="1" customWidth="1"/>
    <col min="44" max="44" width="18.42578125" hidden="1" customWidth="1"/>
    <col min="45" max="45" width="4.42578125" hidden="1" customWidth="1"/>
    <col min="46" max="266" width="24.5703125" hidden="1" customWidth="1"/>
    <col min="267" max="16384" width="8.5703125" hidden="1"/>
  </cols>
  <sheetData>
    <row r="1" spans="1:23" s="8" customFormat="1" x14ac:dyDescent="0.25">
      <c r="A1" s="8" t="str">
        <f ca="1">MID(CELL("filename",A1),FIND("]",CELL("filename",A1))+1,255)</f>
        <v>Unit costs</v>
      </c>
    </row>
    <row r="2" spans="1:23" s="8" customFormat="1" x14ac:dyDescent="0.25">
      <c r="A2" s="8" t="str">
        <f>Cover!D21&amp;" - "&amp;Cover!D23</f>
        <v>SP Distribution - One</v>
      </c>
    </row>
    <row r="3" spans="1:2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3" x14ac:dyDescent="0.25">
      <c r="A4" s="194" t="str">
        <f>H131 &amp; IF(H131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3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4"/>
      <c r="J5" s="6" t="s">
        <v>267</v>
      </c>
      <c r="K5" s="330" t="s">
        <v>43</v>
      </c>
      <c r="L5" s="330" t="s">
        <v>44</v>
      </c>
      <c r="M5" s="330" t="s">
        <v>45</v>
      </c>
      <c r="N5" s="330" t="s">
        <v>46</v>
      </c>
      <c r="O5" s="330" t="s">
        <v>47</v>
      </c>
      <c r="P5" s="330" t="s">
        <v>51</v>
      </c>
      <c r="Q5" s="330" t="s">
        <v>48</v>
      </c>
      <c r="R5" s="330" t="s">
        <v>49</v>
      </c>
      <c r="S5" s="330" t="s">
        <v>50</v>
      </c>
      <c r="T5" s="330" t="s">
        <v>124</v>
      </c>
      <c r="U5" s="330" t="s">
        <v>123</v>
      </c>
      <c r="W5" s="315" t="s">
        <v>93</v>
      </c>
    </row>
    <row r="6" spans="1:23" x14ac:dyDescent="0.25"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W6" s="19"/>
    </row>
    <row r="7" spans="1:2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</row>
    <row r="9" spans="1:23" x14ac:dyDescent="0.25">
      <c r="C9" s="73" t="s">
        <v>408</v>
      </c>
      <c r="D9" s="73"/>
    </row>
    <row r="10" spans="1:23" x14ac:dyDescent="0.25">
      <c r="C10" s="73" t="s">
        <v>902</v>
      </c>
      <c r="D10" s="73"/>
    </row>
    <row r="11" spans="1:23" x14ac:dyDescent="0.25">
      <c r="C11" s="73"/>
      <c r="D11" s="73" t="s">
        <v>682</v>
      </c>
    </row>
    <row r="12" spans="1:23" x14ac:dyDescent="0.25">
      <c r="C12" s="73"/>
      <c r="D12" s="73" t="s">
        <v>358</v>
      </c>
    </row>
    <row r="13" spans="1:23" x14ac:dyDescent="0.25">
      <c r="C13" s="73" t="s">
        <v>717</v>
      </c>
      <c r="D13" s="73"/>
    </row>
    <row r="15" spans="1:23" x14ac:dyDescent="0.25">
      <c r="B15" s="82" t="s">
        <v>906</v>
      </c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</row>
    <row r="16" spans="1:23" x14ac:dyDescent="0.25"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W16" s="19"/>
    </row>
    <row r="17" spans="3:25" x14ac:dyDescent="0.25">
      <c r="C17" s="73" t="s">
        <v>907</v>
      </c>
    </row>
    <row r="18" spans="3:25" x14ac:dyDescent="0.25"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W18" s="19"/>
    </row>
    <row r="19" spans="3:25" x14ac:dyDescent="0.25">
      <c r="C19" s="5" t="str">
        <f ca="1">INDEX('Version control'!$H$36:$H$62,MATCH($A$1,'Version control'!$F$36:$F$62,0),1)&amp;"-A: Financial data"</f>
        <v>Section 511-A: Financial data</v>
      </c>
      <c r="D19" s="5"/>
      <c r="E19" s="5"/>
      <c r="F19" s="5"/>
      <c r="G19" s="5"/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5"/>
      <c r="W19" s="193"/>
    </row>
    <row r="20" spans="3:25" x14ac:dyDescent="0.25">
      <c r="H20" s="19"/>
    </row>
    <row r="21" spans="3:25" x14ac:dyDescent="0.25">
      <c r="D21" s="73" t="s">
        <v>360</v>
      </c>
      <c r="I21" s="19" t="s">
        <v>359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W21" s="19" t="s">
        <v>695</v>
      </c>
    </row>
    <row r="22" spans="3:25" x14ac:dyDescent="0.25">
      <c r="D22" s="73"/>
    </row>
    <row r="23" spans="3:25" x14ac:dyDescent="0.25">
      <c r="D23" s="76"/>
      <c r="E23" s="12" t="s">
        <v>615</v>
      </c>
      <c r="G23" s="12" t="s">
        <v>94</v>
      </c>
      <c r="H23" s="331">
        <f>'General inputs'!H95</f>
        <v>3.7400000000000003E-2</v>
      </c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</row>
    <row r="24" spans="3:25" x14ac:dyDescent="0.25">
      <c r="D24" s="76"/>
      <c r="E24" s="12" t="s">
        <v>95</v>
      </c>
      <c r="G24" s="12" t="s">
        <v>96</v>
      </c>
      <c r="H24" s="347">
        <f>'Fixed inputs'!H35</f>
        <v>40</v>
      </c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W24" s="19"/>
    </row>
    <row r="25" spans="3:25" x14ac:dyDescent="0.25">
      <c r="E25" s="12" t="s">
        <v>97</v>
      </c>
      <c r="G25" s="12" t="s">
        <v>94</v>
      </c>
      <c r="H25" s="348">
        <f>H23 / (1 - (1 + H23) ^ -H24)</f>
        <v>4.8585551125484371E-2</v>
      </c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W25" s="19"/>
    </row>
    <row r="26" spans="3:25" x14ac:dyDescent="0.25"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W26" s="19"/>
    </row>
    <row r="27" spans="3:25" x14ac:dyDescent="0.25">
      <c r="C27" s="5" t="str">
        <f ca="1">INDEX('Version control'!$H$36:$H$62,MATCH($A$1,'Version control'!$F$36:$F$62,0),1)&amp;"-B: Diversity and loss adjustment factors"</f>
        <v>Section 511-B: Diversity and loss adjustment factors</v>
      </c>
      <c r="D27" s="5"/>
      <c r="E27" s="5"/>
      <c r="F27" s="5"/>
      <c r="G27" s="5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5"/>
      <c r="W27" s="193"/>
    </row>
    <row r="28" spans="3:25" x14ac:dyDescent="0.25">
      <c r="E28" s="52"/>
      <c r="F28" s="77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3:25" x14ac:dyDescent="0.25">
      <c r="D29" s="73" t="s">
        <v>364</v>
      </c>
      <c r="F29" s="77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3:25" x14ac:dyDescent="0.25">
      <c r="D30" s="73"/>
      <c r="F30" s="77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3:25" x14ac:dyDescent="0.25">
      <c r="E31" t="s">
        <v>541</v>
      </c>
      <c r="F31" s="333"/>
      <c r="G31" s="12" t="s">
        <v>99</v>
      </c>
      <c r="H31" s="19"/>
      <c r="I31" s="19"/>
      <c r="J31" s="234"/>
      <c r="K31" s="229">
        <f>'Load &amp; loss characteristics'!K29</f>
        <v>1</v>
      </c>
      <c r="L31" s="229">
        <f>'Load &amp; loss characteristics'!L29</f>
        <v>1</v>
      </c>
      <c r="M31" s="229">
        <f>'Load &amp; loss characteristics'!M29</f>
        <v>1</v>
      </c>
      <c r="N31" s="229">
        <f>'Load &amp; loss characteristics'!N29</f>
        <v>1.002</v>
      </c>
      <c r="O31" s="229">
        <f>'Load &amp; loss characteristics'!O29</f>
        <v>1.0129999999999999</v>
      </c>
      <c r="P31" s="229">
        <f>'Load &amp; loss characteristics'!P29</f>
        <v>1.0129999999999999</v>
      </c>
      <c r="Q31" s="229">
        <f>'Load &amp; loss characteristics'!Q29</f>
        <v>1.024</v>
      </c>
      <c r="R31" s="229">
        <f>'Load &amp; loss characteristics'!R29</f>
        <v>1.044</v>
      </c>
      <c r="S31" s="229">
        <f>'Load &amp; loss characteristics'!S29</f>
        <v>1.105</v>
      </c>
      <c r="T31" s="234"/>
      <c r="U31" s="234"/>
    </row>
    <row r="32" spans="3:25" x14ac:dyDescent="0.25">
      <c r="E32" t="s">
        <v>152</v>
      </c>
      <c r="F32" s="349"/>
      <c r="G32" s="12" t="s">
        <v>94</v>
      </c>
      <c r="H32" s="19"/>
      <c r="I32" s="19"/>
      <c r="J32" s="350"/>
      <c r="K32" s="351">
        <f>'Load &amp; loss characteristics'!$K$23</f>
        <v>0.1160000000000001</v>
      </c>
      <c r="L32" s="352"/>
      <c r="M32" s="352"/>
      <c r="N32" s="352"/>
      <c r="O32" s="352"/>
      <c r="P32" s="350"/>
      <c r="Q32" s="352"/>
      <c r="R32" s="352"/>
      <c r="S32" s="352"/>
      <c r="T32" s="350"/>
      <c r="U32" s="350"/>
      <c r="Y32" s="3"/>
    </row>
    <row r="33" spans="3:23" x14ac:dyDescent="0.25">
      <c r="E33" t="s">
        <v>151</v>
      </c>
      <c r="F33" s="333"/>
      <c r="G33" s="12" t="s">
        <v>94</v>
      </c>
      <c r="H33" s="19"/>
      <c r="I33" s="19"/>
      <c r="J33" s="317"/>
      <c r="K33" s="348">
        <f xml:space="preserve"> 1 / (1 + K32)</f>
        <v>0.8960573476702508</v>
      </c>
      <c r="L33" s="352"/>
      <c r="M33" s="352"/>
      <c r="N33" s="352"/>
      <c r="O33" s="352"/>
      <c r="P33" s="352"/>
      <c r="Q33" s="352"/>
      <c r="R33" s="352"/>
      <c r="S33" s="352"/>
      <c r="T33" s="350"/>
      <c r="U33" s="350"/>
      <c r="W33" s="19"/>
    </row>
    <row r="34" spans="3:23" x14ac:dyDescent="0.25">
      <c r="F34" s="333"/>
      <c r="G34" s="12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</row>
    <row r="35" spans="3:23" x14ac:dyDescent="0.25">
      <c r="C35" s="5" t="str">
        <f ca="1">INDEX('Version control'!$H$36:$H$62,MATCH($A$1,'Version control'!$F$36:$F$62,0),1)&amp;"-C: Maximum demand"</f>
        <v>Section 511-C: Maximum demand</v>
      </c>
      <c r="D35" s="5"/>
      <c r="E35" s="5"/>
      <c r="F35" s="5"/>
      <c r="G35" s="5"/>
      <c r="H35" s="193"/>
      <c r="I35" s="193"/>
      <c r="J35" s="193"/>
      <c r="K35" s="193"/>
      <c r="L35" s="193"/>
      <c r="M35" s="193"/>
      <c r="N35" s="193"/>
      <c r="O35" s="193"/>
      <c r="P35" s="193"/>
      <c r="Q35" s="193"/>
      <c r="R35" s="193"/>
      <c r="S35" s="193"/>
      <c r="T35" s="193"/>
      <c r="U35" s="193"/>
      <c r="V35" s="5"/>
      <c r="W35" s="193"/>
    </row>
    <row r="36" spans="3:23" x14ac:dyDescent="0.25">
      <c r="E36" s="52"/>
      <c r="F36" s="77"/>
      <c r="H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</row>
    <row r="37" spans="3:23" x14ac:dyDescent="0.25">
      <c r="D37" s="73" t="s">
        <v>908</v>
      </c>
      <c r="F37" s="77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W37" s="19"/>
    </row>
    <row r="38" spans="3:23" x14ac:dyDescent="0.25">
      <c r="D38" s="73"/>
      <c r="F38" s="77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W38" s="19"/>
    </row>
    <row r="39" spans="3:23" x14ac:dyDescent="0.25">
      <c r="D39" s="76"/>
      <c r="E39" t="s">
        <v>101</v>
      </c>
      <c r="F39" s="333"/>
      <c r="G39" s="12" t="s">
        <v>102</v>
      </c>
      <c r="H39" s="229">
        <f>'Fixed inputs'!H41</f>
        <v>500</v>
      </c>
      <c r="I39" s="19"/>
      <c r="J39" s="234"/>
      <c r="K39" s="234"/>
      <c r="L39" s="234"/>
      <c r="M39" s="234"/>
      <c r="N39" s="234"/>
      <c r="O39" s="234"/>
      <c r="P39" s="234"/>
      <c r="Q39" s="234"/>
      <c r="R39" s="234"/>
      <c r="S39" s="234"/>
      <c r="T39" s="234"/>
      <c r="U39" s="234"/>
      <c r="W39" s="19"/>
    </row>
    <row r="40" spans="3:23" x14ac:dyDescent="0.25">
      <c r="E40" t="s">
        <v>103</v>
      </c>
      <c r="F40" s="333"/>
      <c r="G40" s="12" t="s">
        <v>102</v>
      </c>
      <c r="H40" s="19"/>
      <c r="I40" s="19" t="s">
        <v>359</v>
      </c>
      <c r="J40" s="234"/>
      <c r="K40" s="353">
        <f t="shared" ref="K40:S40" si="0">$H$39 * $K$33 / K31</f>
        <v>448.0286738351254</v>
      </c>
      <c r="L40" s="353">
        <f t="shared" si="0"/>
        <v>448.0286738351254</v>
      </c>
      <c r="M40" s="353">
        <f t="shared" si="0"/>
        <v>448.0286738351254</v>
      </c>
      <c r="N40" s="353">
        <f t="shared" si="0"/>
        <v>447.13440502507524</v>
      </c>
      <c r="O40" s="353">
        <f t="shared" si="0"/>
        <v>442.27904623408239</v>
      </c>
      <c r="P40" s="353">
        <f t="shared" si="0"/>
        <v>442.27904623408239</v>
      </c>
      <c r="Q40" s="353">
        <f t="shared" si="0"/>
        <v>437.52800179211465</v>
      </c>
      <c r="R40" s="353">
        <f t="shared" si="0"/>
        <v>429.14623930567564</v>
      </c>
      <c r="S40" s="353">
        <f t="shared" si="0"/>
        <v>405.45581342545285</v>
      </c>
      <c r="T40" s="234"/>
      <c r="U40" s="234"/>
      <c r="W40" s="19" t="s">
        <v>718</v>
      </c>
    </row>
    <row r="41" spans="3:23" x14ac:dyDescent="0.25">
      <c r="F41" s="333"/>
      <c r="G41" s="12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</row>
    <row r="42" spans="3:23" x14ac:dyDescent="0.25">
      <c r="C42" s="5" t="str">
        <f ca="1">INDEX('Version control'!$H$36:$H$62,MATCH($A$1,'Version control'!$F$36:$F$62,0),1)&amp;"-D: Rerouting matrix"</f>
        <v>Section 511-D: Rerouting matrix</v>
      </c>
      <c r="D42" s="5"/>
      <c r="E42" s="5"/>
      <c r="F42" s="5"/>
      <c r="G42" s="5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3"/>
      <c r="V42" s="5"/>
      <c r="W42" s="193"/>
    </row>
    <row r="43" spans="3:23" x14ac:dyDescent="0.25">
      <c r="E43" s="52"/>
      <c r="F43" s="77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W43" s="19"/>
    </row>
    <row r="44" spans="3:23" x14ac:dyDescent="0.25">
      <c r="D44" s="73" t="s">
        <v>416</v>
      </c>
      <c r="F44" s="77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W44" s="19"/>
    </row>
    <row r="45" spans="3:23" x14ac:dyDescent="0.25">
      <c r="D45" s="73"/>
      <c r="F45" s="77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W45" s="19"/>
    </row>
    <row r="46" spans="3:23" x14ac:dyDescent="0.25">
      <c r="D46" s="76"/>
      <c r="E46" s="12" t="s">
        <v>538</v>
      </c>
      <c r="G46" s="12" t="s">
        <v>94</v>
      </c>
      <c r="H46" s="19"/>
      <c r="I46" s="19"/>
      <c r="J46" s="352"/>
      <c r="K46" s="352"/>
      <c r="L46" s="352"/>
      <c r="M46" s="352"/>
      <c r="N46" s="352"/>
      <c r="O46" s="352"/>
      <c r="P46" s="351">
        <f>'Inputs by network level'!P20</f>
        <v>0</v>
      </c>
      <c r="Q46" s="352"/>
      <c r="R46" s="352"/>
      <c r="S46" s="352"/>
      <c r="T46" s="352"/>
      <c r="U46" s="352"/>
      <c r="W46" s="19"/>
    </row>
    <row r="47" spans="3:23" x14ac:dyDescent="0.25">
      <c r="E47" s="12" t="s">
        <v>104</v>
      </c>
      <c r="G47" s="12" t="s">
        <v>94</v>
      </c>
      <c r="H47" s="19"/>
      <c r="I47" s="19"/>
      <c r="J47" s="352"/>
      <c r="K47" s="352"/>
      <c r="L47" s="352"/>
      <c r="M47" s="348">
        <f>IF(M46 = "", 1 - $P$46, M46)</f>
        <v>1</v>
      </c>
      <c r="N47" s="348">
        <f>IF(N46 = "", 1 - $P$46, N46)</f>
        <v>1</v>
      </c>
      <c r="O47" s="348">
        <f>IF(O46 = "", 1 - $P$46, O46)</f>
        <v>1</v>
      </c>
      <c r="P47" s="348">
        <f>IF(P46 = "", 1 - $P$46, P46)</f>
        <v>0</v>
      </c>
      <c r="Q47" s="352"/>
      <c r="R47" s="352"/>
      <c r="S47" s="352"/>
      <c r="T47" s="352"/>
      <c r="U47" s="352"/>
      <c r="W47" s="19"/>
    </row>
    <row r="48" spans="3:23" x14ac:dyDescent="0.25">
      <c r="E48" s="12" t="s">
        <v>105</v>
      </c>
      <c r="G48" s="12" t="s">
        <v>102</v>
      </c>
      <c r="H48" s="19"/>
      <c r="I48" s="19"/>
      <c r="J48" s="234"/>
      <c r="K48" s="231">
        <f t="shared" ref="K48:S48" si="1">IF(K47 = "", K40, K47 * K40)</f>
        <v>448.0286738351254</v>
      </c>
      <c r="L48" s="231">
        <f t="shared" si="1"/>
        <v>448.0286738351254</v>
      </c>
      <c r="M48" s="231">
        <f t="shared" si="1"/>
        <v>448.0286738351254</v>
      </c>
      <c r="N48" s="231">
        <f t="shared" si="1"/>
        <v>447.13440502507524</v>
      </c>
      <c r="O48" s="231">
        <f t="shared" si="1"/>
        <v>442.27904623408239</v>
      </c>
      <c r="P48" s="231">
        <f t="shared" si="1"/>
        <v>0</v>
      </c>
      <c r="Q48" s="231">
        <f t="shared" si="1"/>
        <v>437.52800179211465</v>
      </c>
      <c r="R48" s="231">
        <f t="shared" si="1"/>
        <v>429.14623930567564</v>
      </c>
      <c r="S48" s="231">
        <f t="shared" si="1"/>
        <v>405.45581342545285</v>
      </c>
      <c r="T48" s="234"/>
      <c r="U48" s="234"/>
      <c r="W48" s="19"/>
    </row>
    <row r="49" spans="2:23" x14ac:dyDescent="0.25">
      <c r="E49" s="12"/>
      <c r="G49" s="12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</row>
    <row r="50" spans="2:23" x14ac:dyDescent="0.25">
      <c r="C50" s="5" t="str">
        <f ca="1">INDEX('Version control'!$H$36:$H$62,MATCH($A$1,'Version control'!$F$36:$F$62,0),1)&amp;"-E: Annuitised cost of assets"</f>
        <v>Section 511-E: Annuitised cost of assets</v>
      </c>
      <c r="D50" s="5"/>
      <c r="E50" s="5"/>
      <c r="F50" s="5"/>
      <c r="G50" s="5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5"/>
      <c r="W50" s="193"/>
    </row>
    <row r="51" spans="2:23" x14ac:dyDescent="0.25">
      <c r="E51" s="52"/>
      <c r="F51" s="77"/>
      <c r="H51" s="19"/>
      <c r="J51" s="19"/>
      <c r="K51" s="19"/>
      <c r="L51" s="4"/>
      <c r="M51" s="4"/>
      <c r="N51" s="4"/>
      <c r="O51" s="4"/>
      <c r="P51" s="4"/>
      <c r="Q51" s="4"/>
      <c r="R51" s="4"/>
      <c r="S51" s="4"/>
      <c r="T51" s="4"/>
      <c r="U51" s="354"/>
    </row>
    <row r="52" spans="2:23" x14ac:dyDescent="0.25">
      <c r="D52" s="73" t="s">
        <v>909</v>
      </c>
      <c r="F52" s="77"/>
      <c r="H52" s="19"/>
      <c r="I52" s="19"/>
      <c r="J52" s="19"/>
      <c r="K52" s="19"/>
      <c r="L52" s="4"/>
      <c r="M52" s="4"/>
      <c r="N52" s="4"/>
      <c r="O52" s="4"/>
      <c r="P52" s="4"/>
      <c r="Q52" s="4"/>
      <c r="R52" s="4"/>
      <c r="S52" s="4"/>
      <c r="T52" s="4"/>
      <c r="U52" s="354"/>
    </row>
    <row r="53" spans="2:23" x14ac:dyDescent="0.25">
      <c r="D53" s="73"/>
      <c r="F53" s="77"/>
      <c r="H53" s="19"/>
      <c r="I53" s="19"/>
      <c r="J53" s="19"/>
      <c r="K53" s="19"/>
      <c r="L53" s="4"/>
      <c r="M53" s="4"/>
      <c r="N53" s="4"/>
      <c r="O53" s="4"/>
      <c r="P53" s="4"/>
      <c r="Q53" s="4"/>
      <c r="R53" s="4"/>
      <c r="S53" s="4"/>
      <c r="T53" s="4"/>
      <c r="U53" s="354"/>
    </row>
    <row r="54" spans="2:23" x14ac:dyDescent="0.25">
      <c r="E54" t="s">
        <v>106</v>
      </c>
      <c r="F54" s="349"/>
      <c r="G54" s="12" t="s">
        <v>107</v>
      </c>
      <c r="H54" s="19"/>
      <c r="I54" s="19"/>
      <c r="J54" s="234"/>
      <c r="K54" s="234"/>
      <c r="L54" s="229">
        <f>'Inputs by network level'!L36</f>
        <v>0</v>
      </c>
      <c r="M54" s="229">
        <f>'Inputs by network level'!M36</f>
        <v>0</v>
      </c>
      <c r="N54" s="229">
        <f>'Inputs by network level'!N36</f>
        <v>136991665.09249207</v>
      </c>
      <c r="O54" s="229">
        <f>'Inputs by network level'!O36</f>
        <v>35103417.342067286</v>
      </c>
      <c r="P54" s="229">
        <f>'Inputs by network level'!P36</f>
        <v>0</v>
      </c>
      <c r="Q54" s="229">
        <f>'Inputs by network level'!Q36</f>
        <v>151015884.81289625</v>
      </c>
      <c r="R54" s="229">
        <f>'Inputs by network level'!R36</f>
        <v>37954567.932507738</v>
      </c>
      <c r="S54" s="229">
        <f>'Inputs by network level'!S36</f>
        <v>63840783.232054584</v>
      </c>
      <c r="T54" s="234"/>
      <c r="U54" s="234"/>
      <c r="W54" s="19"/>
    </row>
    <row r="55" spans="2:23" x14ac:dyDescent="0.25">
      <c r="E55" t="s">
        <v>125</v>
      </c>
      <c r="F55" s="349"/>
      <c r="G55" s="12" t="s">
        <v>910</v>
      </c>
      <c r="H55" s="19"/>
      <c r="I55" s="19"/>
      <c r="J55" s="234"/>
      <c r="K55" s="234"/>
      <c r="L55" s="231">
        <f t="shared" ref="L55:S55" si="2">IF(L48 = 0, 0, L54 / (L48 * thousand))</f>
        <v>0</v>
      </c>
      <c r="M55" s="231">
        <f t="shared" si="2"/>
        <v>0</v>
      </c>
      <c r="N55" s="231">
        <f t="shared" si="2"/>
        <v>306.37692727941521</v>
      </c>
      <c r="O55" s="231">
        <f t="shared" si="2"/>
        <v>79.369388265091615</v>
      </c>
      <c r="P55" s="231">
        <f t="shared" si="2"/>
        <v>0</v>
      </c>
      <c r="Q55" s="231">
        <f t="shared" si="2"/>
        <v>345.15707382004172</v>
      </c>
      <c r="R55" s="231">
        <f t="shared" si="2"/>
        <v>88.442037832873012</v>
      </c>
      <c r="S55" s="231">
        <f t="shared" si="2"/>
        <v>157.45435413221017</v>
      </c>
      <c r="T55" s="234"/>
      <c r="U55" s="234"/>
      <c r="W55" s="19"/>
    </row>
    <row r="56" spans="2:23" x14ac:dyDescent="0.25">
      <c r="E56" t="s">
        <v>126</v>
      </c>
      <c r="F56" s="349"/>
      <c r="G56" s="12" t="s">
        <v>108</v>
      </c>
      <c r="H56" s="19"/>
      <c r="I56" s="19" t="s">
        <v>359</v>
      </c>
      <c r="J56" s="234"/>
      <c r="K56" s="234"/>
      <c r="L56" s="231">
        <f t="shared" ref="L56:S56" si="3">L55 * $H$25</f>
        <v>0</v>
      </c>
      <c r="M56" s="231">
        <f t="shared" si="3"/>
        <v>0</v>
      </c>
      <c r="N56" s="231">
        <f t="shared" si="3"/>
        <v>14.885491864002836</v>
      </c>
      <c r="O56" s="231">
        <f t="shared" si="3"/>
        <v>3.8562054713520277</v>
      </c>
      <c r="P56" s="231">
        <f t="shared" si="3"/>
        <v>0</v>
      </c>
      <c r="Q56" s="231">
        <f t="shared" si="3"/>
        <v>16.76964665640622</v>
      </c>
      <c r="R56" s="231">
        <f t="shared" si="3"/>
        <v>4.2970051507710743</v>
      </c>
      <c r="S56" s="231">
        <f t="shared" si="3"/>
        <v>7.6500065726206188</v>
      </c>
      <c r="T56" s="234"/>
      <c r="U56" s="234"/>
      <c r="W56" s="19" t="s">
        <v>719</v>
      </c>
    </row>
    <row r="57" spans="2:23" x14ac:dyDescent="0.25">
      <c r="H57" s="19"/>
      <c r="I57" s="19"/>
      <c r="J57" s="232"/>
      <c r="K57" s="232"/>
      <c r="L57" s="232"/>
      <c r="M57" s="232"/>
      <c r="N57" s="232"/>
      <c r="O57" s="232"/>
      <c r="P57" s="232"/>
      <c r="Q57" s="232"/>
      <c r="R57" s="232"/>
      <c r="S57" s="232"/>
      <c r="T57" s="232"/>
      <c r="U57" s="232"/>
      <c r="W57" s="19"/>
    </row>
    <row r="58" spans="2:23" x14ac:dyDescent="0.25">
      <c r="B58" s="82" t="s">
        <v>144</v>
      </c>
      <c r="C58" s="82"/>
      <c r="D58" s="82"/>
      <c r="E58" s="82"/>
      <c r="F58" s="82"/>
      <c r="G58" s="82"/>
      <c r="H58" s="82"/>
      <c r="I58" s="82"/>
      <c r="J58" s="236"/>
      <c r="K58" s="236"/>
      <c r="L58" s="236"/>
      <c r="M58" s="236"/>
      <c r="N58" s="236"/>
      <c r="O58" s="236"/>
      <c r="P58" s="236"/>
      <c r="Q58" s="236"/>
      <c r="R58" s="236"/>
      <c r="S58" s="236"/>
      <c r="T58" s="236"/>
      <c r="U58" s="236"/>
      <c r="V58" s="82"/>
      <c r="W58" s="82"/>
    </row>
    <row r="59" spans="2:23" x14ac:dyDescent="0.25"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</row>
    <row r="60" spans="2:23" x14ac:dyDescent="0.25">
      <c r="C60" s="73" t="s">
        <v>189</v>
      </c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</row>
    <row r="61" spans="2:23" x14ac:dyDescent="0.25"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211"/>
      <c r="U61" s="211"/>
    </row>
    <row r="62" spans="2:23" x14ac:dyDescent="0.25">
      <c r="C62" s="5" t="str">
        <f ca="1">INDEX('Version control'!$H$36:$H$62,MATCH($A$1,'Version control'!$F$36:$F$62,0),1)&amp;"-F: System simultaneous peak load based on charegable units"</f>
        <v>Section 511-F: System simultaneous peak load based on charegable units</v>
      </c>
      <c r="D62" s="5"/>
      <c r="E62" s="5"/>
      <c r="F62" s="5"/>
      <c r="G62" s="5"/>
      <c r="H62" s="193"/>
      <c r="I62" s="193"/>
      <c r="J62" s="237"/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5"/>
      <c r="W62" s="193"/>
    </row>
    <row r="63" spans="2:23" x14ac:dyDescent="0.25">
      <c r="D63" s="52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</row>
    <row r="64" spans="2:23" x14ac:dyDescent="0.25">
      <c r="E64" t="s">
        <v>112</v>
      </c>
      <c r="G64" t="s">
        <v>102</v>
      </c>
      <c r="J64" s="234"/>
      <c r="K64" s="229">
        <f t="array" ref="K64:S64">TRANSPOSE('System peak demand'!H269:H277)</f>
        <v>2499.1923496542399</v>
      </c>
      <c r="L64" s="229">
        <v>0</v>
      </c>
      <c r="M64" s="229">
        <v>0</v>
      </c>
      <c r="N64" s="229">
        <v>2614.7715332079019</v>
      </c>
      <c r="O64" s="229">
        <v>3040.5211628349907</v>
      </c>
      <c r="P64" s="229">
        <v>0</v>
      </c>
      <c r="Q64" s="229">
        <v>3095.4143912780537</v>
      </c>
      <c r="R64" s="229">
        <v>2687.5385120751857</v>
      </c>
      <c r="S64" s="229">
        <v>1946.4070614828397</v>
      </c>
      <c r="T64" s="234"/>
      <c r="U64" s="234"/>
    </row>
    <row r="65" spans="3:24" x14ac:dyDescent="0.25">
      <c r="E65" s="12" t="s">
        <v>543</v>
      </c>
      <c r="F65" s="12"/>
      <c r="G65" s="12" t="s">
        <v>102</v>
      </c>
      <c r="H65" s="329"/>
      <c r="J65" s="231">
        <f>K64</f>
        <v>2499.1923496542399</v>
      </c>
      <c r="K65" s="234"/>
      <c r="L65" s="234"/>
      <c r="M65" s="234"/>
      <c r="N65" s="234"/>
      <c r="O65" s="234"/>
      <c r="P65" s="234"/>
      <c r="Q65" s="234"/>
      <c r="R65" s="234"/>
      <c r="S65" s="234"/>
      <c r="T65" s="234"/>
      <c r="U65" s="234"/>
      <c r="W65" s="79"/>
      <c r="X65" s="79"/>
    </row>
    <row r="66" spans="3:24" x14ac:dyDescent="0.25"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X66" s="79"/>
    </row>
    <row r="67" spans="3:24" x14ac:dyDescent="0.25">
      <c r="E67" s="12" t="s">
        <v>112</v>
      </c>
      <c r="F67" s="12"/>
      <c r="G67" s="12" t="s">
        <v>113</v>
      </c>
      <c r="H67" s="329"/>
      <c r="J67" s="231">
        <f t="shared" ref="J67:S67" si="4">SUM(J64:J65) * thousand</f>
        <v>2499192.3496542401</v>
      </c>
      <c r="K67" s="231">
        <f t="shared" si="4"/>
        <v>2499192.3496542401</v>
      </c>
      <c r="L67" s="231">
        <f t="shared" si="4"/>
        <v>0</v>
      </c>
      <c r="M67" s="231">
        <f t="shared" si="4"/>
        <v>0</v>
      </c>
      <c r="N67" s="231">
        <f t="shared" si="4"/>
        <v>2614771.5332079018</v>
      </c>
      <c r="O67" s="231">
        <f t="shared" si="4"/>
        <v>3040521.1628349908</v>
      </c>
      <c r="P67" s="231">
        <f t="shared" si="4"/>
        <v>0</v>
      </c>
      <c r="Q67" s="231">
        <f t="shared" si="4"/>
        <v>3095414.3912780536</v>
      </c>
      <c r="R67" s="231">
        <f t="shared" si="4"/>
        <v>2687538.5120751858</v>
      </c>
      <c r="S67" s="231">
        <f t="shared" si="4"/>
        <v>1946407.0614828398</v>
      </c>
      <c r="T67" s="234"/>
      <c r="U67" s="234"/>
      <c r="W67" s="79"/>
      <c r="X67" s="79"/>
    </row>
    <row r="68" spans="3:24" x14ac:dyDescent="0.25"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</row>
    <row r="69" spans="3:24" x14ac:dyDescent="0.25">
      <c r="C69" s="5" t="str">
        <f ca="1">INDEX('Version control'!$H$36:$H$62,MATCH($A$1,'Version control'!$F$36:$F$62,0),1)&amp;"-G: Notional asset values, by network level"</f>
        <v>Section 511-G: Notional asset values, by network level</v>
      </c>
      <c r="D69" s="5"/>
      <c r="E69" s="5"/>
      <c r="F69" s="5"/>
      <c r="G69" s="5"/>
      <c r="H69" s="193"/>
      <c r="I69" s="193"/>
      <c r="J69" s="237"/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5"/>
      <c r="W69" s="193"/>
    </row>
    <row r="70" spans="3:24" x14ac:dyDescent="0.25">
      <c r="E70" s="52"/>
      <c r="J70" s="211"/>
      <c r="K70" s="211"/>
      <c r="L70" s="211"/>
      <c r="M70" s="211"/>
      <c r="N70" s="211"/>
      <c r="O70" s="211"/>
      <c r="P70" s="211"/>
      <c r="Q70" s="211"/>
      <c r="R70" s="211"/>
      <c r="S70" s="211"/>
      <c r="T70" s="211"/>
      <c r="U70" s="211"/>
      <c r="X70" s="79"/>
    </row>
    <row r="71" spans="3:24" x14ac:dyDescent="0.25">
      <c r="D71" s="73" t="s">
        <v>798</v>
      </c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X71" s="79"/>
    </row>
    <row r="72" spans="3:24" x14ac:dyDescent="0.25">
      <c r="D72" s="73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X72" s="79"/>
    </row>
    <row r="73" spans="3:24" x14ac:dyDescent="0.25">
      <c r="E73" s="12" t="s">
        <v>114</v>
      </c>
      <c r="F73" s="12"/>
      <c r="G73" s="12" t="s">
        <v>107</v>
      </c>
      <c r="J73" s="234"/>
      <c r="K73" s="234"/>
      <c r="L73" s="231">
        <f t="shared" ref="L73:S73" si="5">L67 * L55</f>
        <v>0</v>
      </c>
      <c r="M73" s="231">
        <f t="shared" si="5"/>
        <v>0</v>
      </c>
      <c r="N73" s="231">
        <f t="shared" si="5"/>
        <v>801105667.88192236</v>
      </c>
      <c r="O73" s="231">
        <f t="shared" si="5"/>
        <v>241324304.70127824</v>
      </c>
      <c r="P73" s="231">
        <f t="shared" si="5"/>
        <v>0</v>
      </c>
      <c r="Q73" s="231">
        <f t="shared" si="5"/>
        <v>1068404173.5539787</v>
      </c>
      <c r="R73" s="231">
        <f t="shared" si="5"/>
        <v>237691382.76225683</v>
      </c>
      <c r="S73" s="231">
        <f t="shared" si="5"/>
        <v>306470266.74415362</v>
      </c>
      <c r="T73" s="234"/>
      <c r="U73" s="234"/>
      <c r="X73" s="79"/>
    </row>
    <row r="74" spans="3:24" x14ac:dyDescent="0.25">
      <c r="E74" s="12" t="s">
        <v>122</v>
      </c>
      <c r="F74" s="12"/>
      <c r="G74" s="12" t="s">
        <v>107</v>
      </c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29">
        <f>'Service model assets'!H33</f>
        <v>845950513.63258731</v>
      </c>
      <c r="U74" s="229">
        <f>'Service model assets'!H34</f>
        <v>18980580.252211705</v>
      </c>
      <c r="X74" s="79"/>
    </row>
    <row r="75" spans="3:24" x14ac:dyDescent="0.25"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X75" s="79"/>
    </row>
    <row r="76" spans="3:24" x14ac:dyDescent="0.25">
      <c r="E76" s="12" t="s">
        <v>115</v>
      </c>
      <c r="F76" s="12"/>
      <c r="G76" s="12" t="s">
        <v>107</v>
      </c>
      <c r="I76" t="s">
        <v>359</v>
      </c>
      <c r="J76" s="234"/>
      <c r="K76" s="231">
        <f t="shared" ref="K76:U76" si="6">K73 + K74</f>
        <v>0</v>
      </c>
      <c r="L76" s="231">
        <f t="shared" si="6"/>
        <v>0</v>
      </c>
      <c r="M76" s="231">
        <f t="shared" si="6"/>
        <v>0</v>
      </c>
      <c r="N76" s="231">
        <f t="shared" si="6"/>
        <v>801105667.88192236</v>
      </c>
      <c r="O76" s="231">
        <f t="shared" si="6"/>
        <v>241324304.70127824</v>
      </c>
      <c r="P76" s="231">
        <f t="shared" si="6"/>
        <v>0</v>
      </c>
      <c r="Q76" s="231">
        <f t="shared" si="6"/>
        <v>1068404173.5539787</v>
      </c>
      <c r="R76" s="231">
        <f t="shared" si="6"/>
        <v>237691382.76225683</v>
      </c>
      <c r="S76" s="231">
        <f t="shared" si="6"/>
        <v>306470266.74415362</v>
      </c>
      <c r="T76" s="231">
        <f t="shared" si="6"/>
        <v>845950513.63258731</v>
      </c>
      <c r="U76" s="231">
        <f t="shared" si="6"/>
        <v>18980580.252211705</v>
      </c>
      <c r="W76" s="19" t="s">
        <v>720</v>
      </c>
      <c r="X76" s="79"/>
    </row>
    <row r="77" spans="3:24" x14ac:dyDescent="0.25">
      <c r="L77" s="79"/>
      <c r="M77" s="79"/>
      <c r="N77" s="79"/>
      <c r="O77" s="79"/>
      <c r="P77" s="79"/>
      <c r="Q77" s="79"/>
      <c r="R77" s="79"/>
      <c r="S77" s="79"/>
      <c r="T77" s="79"/>
      <c r="U77" s="79"/>
      <c r="X77" s="79"/>
    </row>
    <row r="78" spans="3:24" x14ac:dyDescent="0.25">
      <c r="E78" s="12" t="s">
        <v>118</v>
      </c>
      <c r="F78" s="12"/>
      <c r="G78" s="12" t="s">
        <v>94</v>
      </c>
      <c r="J78" s="352"/>
      <c r="K78" s="338">
        <f t="shared" ref="K78:U78" si="7">K76 / SUM($K$76:$U$76)</f>
        <v>0</v>
      </c>
      <c r="L78" s="338">
        <f t="shared" si="7"/>
        <v>0</v>
      </c>
      <c r="M78" s="338">
        <f t="shared" si="7"/>
        <v>0</v>
      </c>
      <c r="N78" s="338">
        <f t="shared" si="7"/>
        <v>0.22759156454788104</v>
      </c>
      <c r="O78" s="338">
        <f t="shared" si="7"/>
        <v>6.8559465089802388E-2</v>
      </c>
      <c r="P78" s="338">
        <f t="shared" si="7"/>
        <v>0</v>
      </c>
      <c r="Q78" s="338">
        <f t="shared" si="7"/>
        <v>0.30353021727025897</v>
      </c>
      <c r="R78" s="338">
        <f t="shared" si="7"/>
        <v>6.752736355671965E-2</v>
      </c>
      <c r="S78" s="338">
        <f t="shared" si="7"/>
        <v>8.7067225076716159E-2</v>
      </c>
      <c r="T78" s="338">
        <f t="shared" si="7"/>
        <v>0.24033184216105424</v>
      </c>
      <c r="U78" s="338">
        <f t="shared" si="7"/>
        <v>5.3923222975676022E-3</v>
      </c>
      <c r="X78" s="79"/>
    </row>
    <row r="79" spans="3:24" x14ac:dyDescent="0.25">
      <c r="E79" s="52"/>
      <c r="L79" s="79"/>
      <c r="M79" s="79"/>
      <c r="N79" s="79"/>
      <c r="O79" s="79"/>
      <c r="P79" s="79"/>
      <c r="Q79" s="79"/>
      <c r="R79" s="79"/>
      <c r="S79" s="79"/>
      <c r="T79" s="79"/>
      <c r="U79" s="79"/>
    </row>
    <row r="80" spans="3:24" x14ac:dyDescent="0.25">
      <c r="C80" s="5" t="str">
        <f ca="1">INDEX('Version control'!$H$36:$H$62,MATCH($A$1,'Version control'!$F$36:$F$62,0),1)&amp;"-H: Other operating costs"</f>
        <v>Section 511-H: Other operating costs</v>
      </c>
      <c r="D80" s="5"/>
      <c r="E80" s="5"/>
      <c r="F80" s="5"/>
      <c r="G80" s="5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  <c r="V80" s="5"/>
      <c r="W80" s="193"/>
    </row>
    <row r="81" spans="3:23" x14ac:dyDescent="0.25">
      <c r="E81" s="52"/>
      <c r="L81" s="79"/>
      <c r="M81" s="79"/>
      <c r="N81" s="79"/>
      <c r="O81" s="79"/>
      <c r="P81" s="79"/>
      <c r="Q81" s="79"/>
      <c r="R81" s="79"/>
      <c r="S81" s="79"/>
      <c r="T81" s="79"/>
      <c r="U81" s="79"/>
    </row>
    <row r="82" spans="3:23" x14ac:dyDescent="0.25">
      <c r="D82" s="73" t="s">
        <v>361</v>
      </c>
      <c r="L82" s="79"/>
      <c r="M82" s="79"/>
      <c r="N82" s="79"/>
      <c r="O82" s="79"/>
      <c r="P82" s="79"/>
      <c r="Q82" s="79"/>
      <c r="R82" s="79"/>
      <c r="S82" s="79"/>
      <c r="T82" s="79"/>
      <c r="U82" s="79"/>
    </row>
    <row r="83" spans="3:23" x14ac:dyDescent="0.25">
      <c r="D83" s="73"/>
      <c r="L83" s="79"/>
      <c r="M83" s="79"/>
      <c r="N83" s="79"/>
      <c r="O83" s="79"/>
      <c r="P83" s="79"/>
      <c r="Q83" s="79"/>
      <c r="R83" s="79"/>
      <c r="S83" s="79"/>
      <c r="T83" s="79"/>
      <c r="U83" s="79"/>
    </row>
    <row r="84" spans="3:23" x14ac:dyDescent="0.25">
      <c r="E84" s="12" t="s">
        <v>78</v>
      </c>
      <c r="F84" s="12"/>
      <c r="G84" s="12" t="s">
        <v>94</v>
      </c>
      <c r="H84" s="120">
        <f>'Fixed inputs'!H39</f>
        <v>0.6</v>
      </c>
      <c r="L84" s="79"/>
      <c r="M84" s="79"/>
      <c r="N84" s="79"/>
      <c r="O84" s="79"/>
      <c r="P84" s="79"/>
      <c r="Q84" s="79"/>
      <c r="R84" s="79"/>
      <c r="S84" s="79"/>
      <c r="T84" s="79"/>
      <c r="U84" s="79"/>
    </row>
    <row r="85" spans="3:23" x14ac:dyDescent="0.25">
      <c r="F85" s="12"/>
      <c r="G85" s="12"/>
      <c r="H85" s="120"/>
      <c r="L85" s="79"/>
      <c r="M85" s="79"/>
      <c r="N85" s="79"/>
      <c r="O85" s="79"/>
      <c r="P85" s="79"/>
      <c r="Q85" s="79"/>
      <c r="R85" s="79"/>
      <c r="S85" s="79"/>
      <c r="T85" s="79"/>
      <c r="U85" s="79"/>
    </row>
    <row r="86" spans="3:23" x14ac:dyDescent="0.25">
      <c r="E86" s="12" t="s">
        <v>128</v>
      </c>
      <c r="F86" s="12"/>
      <c r="G86" s="12" t="s">
        <v>505</v>
      </c>
      <c r="H86" s="229">
        <f>'General inputs'!H106</f>
        <v>24267804.289142318</v>
      </c>
      <c r="L86" s="79"/>
      <c r="M86" s="79"/>
      <c r="N86" s="79"/>
      <c r="O86" s="79"/>
      <c r="P86" s="79"/>
      <c r="Q86" s="79"/>
      <c r="R86" s="79"/>
      <c r="S86" s="79"/>
      <c r="T86" s="79"/>
      <c r="U86" s="79"/>
    </row>
    <row r="87" spans="3:23" x14ac:dyDescent="0.25">
      <c r="E87" s="12" t="s">
        <v>129</v>
      </c>
      <c r="F87" s="12"/>
      <c r="G87" s="12" t="s">
        <v>505</v>
      </c>
      <c r="H87" s="229">
        <f>'General inputs'!H107</f>
        <v>136953285.08491027</v>
      </c>
      <c r="L87" s="79"/>
      <c r="M87" s="79"/>
      <c r="N87" s="79"/>
      <c r="O87" s="79"/>
      <c r="P87" s="79"/>
      <c r="Q87" s="79"/>
      <c r="R87" s="79"/>
      <c r="S87" s="79"/>
      <c r="T87" s="79"/>
      <c r="U87" s="79"/>
    </row>
    <row r="88" spans="3:23" x14ac:dyDescent="0.25">
      <c r="E88" s="12" t="s">
        <v>130</v>
      </c>
      <c r="F88" s="12"/>
      <c r="G88" s="12" t="s">
        <v>505</v>
      </c>
      <c r="H88" s="229">
        <f>'General inputs'!H108</f>
        <v>21848366.6978046</v>
      </c>
      <c r="J88" s="79"/>
      <c r="L88" s="79"/>
      <c r="M88" s="79"/>
      <c r="N88" s="79"/>
      <c r="O88" s="79"/>
      <c r="P88" s="79"/>
      <c r="Q88" s="79"/>
      <c r="R88" s="79"/>
      <c r="S88" s="79"/>
      <c r="T88" s="79"/>
      <c r="U88" s="79"/>
    </row>
    <row r="89" spans="3:23" x14ac:dyDescent="0.25">
      <c r="E89" s="12"/>
      <c r="F89" s="12"/>
      <c r="G89" s="12"/>
      <c r="H89" s="229"/>
      <c r="J89" s="79"/>
      <c r="L89" s="79"/>
      <c r="M89" s="79"/>
      <c r="N89" s="79"/>
      <c r="O89" s="79"/>
      <c r="P89" s="79"/>
      <c r="Q89" s="79"/>
      <c r="R89" s="79"/>
      <c r="S89" s="79"/>
      <c r="T89" s="79"/>
      <c r="U89" s="79"/>
    </row>
    <row r="90" spans="3:23" x14ac:dyDescent="0.25">
      <c r="E90" s="12" t="s">
        <v>131</v>
      </c>
      <c r="F90" s="12"/>
      <c r="G90" s="12" t="s">
        <v>505</v>
      </c>
      <c r="H90" s="231">
        <f>H86 + H87 * H84 + H88</f>
        <v>128288142.03789309</v>
      </c>
      <c r="L90" s="79"/>
      <c r="M90" s="79"/>
      <c r="N90" s="79"/>
      <c r="O90" s="79"/>
      <c r="P90" s="79"/>
      <c r="Q90" s="79"/>
      <c r="R90" s="79"/>
      <c r="S90" s="79"/>
      <c r="T90" s="79"/>
      <c r="U90" s="79"/>
    </row>
    <row r="91" spans="3:23" x14ac:dyDescent="0.25">
      <c r="E91" s="52"/>
      <c r="L91" s="79"/>
      <c r="M91" s="79"/>
      <c r="N91" s="79"/>
      <c r="O91" s="79"/>
      <c r="P91" s="79"/>
      <c r="Q91" s="79"/>
      <c r="R91" s="79"/>
      <c r="S91" s="79"/>
      <c r="T91" s="79"/>
      <c r="U91" s="79"/>
    </row>
    <row r="92" spans="3:23" x14ac:dyDescent="0.25">
      <c r="C92" s="5" t="str">
        <f ca="1">INDEX('Version control'!$H$36:$H$62,MATCH($A$1,'Version control'!$F$36:$F$62,0),1)&amp;"-I: Other operating costs by network level"</f>
        <v>Section 511-I: Other operating costs by network level</v>
      </c>
      <c r="D92" s="5"/>
      <c r="E92" s="5"/>
      <c r="F92" s="5"/>
      <c r="G92" s="5"/>
      <c r="H92" s="193"/>
      <c r="I92" s="193"/>
      <c r="J92" s="193"/>
      <c r="K92" s="193"/>
      <c r="L92" s="193"/>
      <c r="M92" s="193"/>
      <c r="N92" s="193"/>
      <c r="O92" s="193"/>
      <c r="P92" s="193"/>
      <c r="Q92" s="193"/>
      <c r="R92" s="193"/>
      <c r="S92" s="193"/>
      <c r="T92" s="193"/>
      <c r="U92" s="193"/>
      <c r="V92" s="5"/>
      <c r="W92" s="193"/>
    </row>
    <row r="93" spans="3:23" x14ac:dyDescent="0.25">
      <c r="E93" s="52"/>
      <c r="H93" s="79"/>
      <c r="L93" s="79"/>
      <c r="M93" s="79"/>
      <c r="N93" s="79"/>
      <c r="O93" s="79"/>
      <c r="P93" s="79"/>
      <c r="Q93" s="79"/>
      <c r="R93" s="79"/>
      <c r="S93" s="79"/>
      <c r="T93" s="79"/>
      <c r="U93" s="79"/>
    </row>
    <row r="94" spans="3:23" x14ac:dyDescent="0.25">
      <c r="D94" s="73" t="s">
        <v>362</v>
      </c>
      <c r="H94" s="79"/>
      <c r="L94" s="79"/>
      <c r="M94" s="79"/>
      <c r="N94" s="79"/>
      <c r="O94" s="79"/>
      <c r="P94" s="79"/>
      <c r="Q94" s="79"/>
      <c r="R94" s="79"/>
      <c r="S94" s="79"/>
      <c r="T94" s="79"/>
      <c r="U94" s="79"/>
    </row>
    <row r="95" spans="3:23" x14ac:dyDescent="0.25">
      <c r="D95" s="73" t="s">
        <v>363</v>
      </c>
      <c r="H95" s="79"/>
      <c r="L95" s="79"/>
      <c r="M95" s="79"/>
      <c r="N95" s="79"/>
      <c r="O95" s="79"/>
      <c r="P95" s="79"/>
      <c r="Q95" s="79"/>
      <c r="R95" s="79"/>
      <c r="S95" s="79"/>
      <c r="T95" s="79"/>
      <c r="U95" s="79"/>
    </row>
    <row r="96" spans="3:23" x14ac:dyDescent="0.25">
      <c r="D96" s="73"/>
      <c r="H96" s="79"/>
      <c r="L96" s="79"/>
      <c r="M96" s="79"/>
      <c r="N96" s="79"/>
      <c r="O96" s="79"/>
      <c r="P96" s="79"/>
      <c r="Q96" s="79"/>
      <c r="R96" s="79"/>
      <c r="S96" s="79"/>
      <c r="T96" s="79"/>
      <c r="U96" s="79"/>
    </row>
    <row r="97" spans="2:23" x14ac:dyDescent="0.25">
      <c r="E97" s="12" t="s">
        <v>119</v>
      </c>
      <c r="F97" s="12"/>
      <c r="G97" s="12" t="s">
        <v>505</v>
      </c>
      <c r="I97" t="s">
        <v>359</v>
      </c>
      <c r="J97" s="234"/>
      <c r="K97" s="231">
        <f t="shared" ref="K97:U97" si="8">K78 * $H$90</f>
        <v>0</v>
      </c>
      <c r="L97" s="231">
        <f t="shared" si="8"/>
        <v>0</v>
      </c>
      <c r="M97" s="231">
        <f t="shared" si="8"/>
        <v>0</v>
      </c>
      <c r="N97" s="231">
        <f t="shared" si="8"/>
        <v>29197298.959344875</v>
      </c>
      <c r="O97" s="231">
        <f t="shared" si="8"/>
        <v>8795366.395482542</v>
      </c>
      <c r="P97" s="231">
        <f t="shared" si="8"/>
        <v>0</v>
      </c>
      <c r="Q97" s="231">
        <f t="shared" si="8"/>
        <v>38939327.62595953</v>
      </c>
      <c r="R97" s="231">
        <f t="shared" si="8"/>
        <v>8662960.0074088965</v>
      </c>
      <c r="S97" s="231">
        <f t="shared" si="8"/>
        <v>11169692.537486969</v>
      </c>
      <c r="T97" s="231">
        <f t="shared" si="8"/>
        <v>30831725.503385831</v>
      </c>
      <c r="U97" s="231">
        <f t="shared" si="8"/>
        <v>691771.00882445055</v>
      </c>
      <c r="W97" s="19" t="s">
        <v>721</v>
      </c>
    </row>
    <row r="98" spans="2:23" x14ac:dyDescent="0.25">
      <c r="E98" s="12" t="s">
        <v>117</v>
      </c>
      <c r="F98" s="12"/>
      <c r="G98" s="12" t="s">
        <v>505</v>
      </c>
      <c r="H98" s="79"/>
      <c r="I98" s="79"/>
      <c r="J98" s="229">
        <f>'General inputs'!$H$101</f>
        <v>14659010.308792224</v>
      </c>
      <c r="K98" s="234"/>
      <c r="L98" s="234"/>
      <c r="M98" s="234"/>
      <c r="N98" s="234"/>
      <c r="O98" s="234"/>
      <c r="P98" s="234"/>
      <c r="Q98" s="234"/>
      <c r="R98" s="234"/>
      <c r="S98" s="234"/>
      <c r="T98" s="234"/>
      <c r="U98" s="234"/>
    </row>
    <row r="99" spans="2:23" x14ac:dyDescent="0.25"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</row>
    <row r="100" spans="2:23" x14ac:dyDescent="0.25">
      <c r="E100" s="12" t="s">
        <v>127</v>
      </c>
      <c r="F100" s="12"/>
      <c r="G100" s="12" t="s">
        <v>911</v>
      </c>
      <c r="I100" t="s">
        <v>359</v>
      </c>
      <c r="J100" s="231">
        <f t="shared" ref="J100:S100" si="9">IF(J$67 = 0, 0, SUM(J97:J98) / J$67)</f>
        <v>5.8654990324455332</v>
      </c>
      <c r="K100" s="231">
        <f t="shared" si="9"/>
        <v>0</v>
      </c>
      <c r="L100" s="231">
        <f t="shared" si="9"/>
        <v>0</v>
      </c>
      <c r="M100" s="231">
        <f t="shared" si="9"/>
        <v>0</v>
      </c>
      <c r="N100" s="231">
        <f t="shared" si="9"/>
        <v>11.16629066384416</v>
      </c>
      <c r="O100" s="231">
        <f t="shared" si="9"/>
        <v>2.8927167167886827</v>
      </c>
      <c r="P100" s="231">
        <f t="shared" si="9"/>
        <v>0</v>
      </c>
      <c r="Q100" s="231">
        <f t="shared" si="9"/>
        <v>12.579681652860062</v>
      </c>
      <c r="R100" s="231">
        <f t="shared" si="9"/>
        <v>3.2233807882141874</v>
      </c>
      <c r="S100" s="231">
        <f t="shared" si="9"/>
        <v>5.7386210513321467</v>
      </c>
      <c r="T100" s="234"/>
      <c r="U100" s="234"/>
      <c r="W100" s="19" t="s">
        <v>722</v>
      </c>
    </row>
    <row r="101" spans="2:23" x14ac:dyDescent="0.25"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</row>
    <row r="102" spans="2:23" x14ac:dyDescent="0.25">
      <c r="B102" s="82" t="s">
        <v>293</v>
      </c>
      <c r="C102" s="82"/>
      <c r="D102" s="82"/>
      <c r="E102" s="82"/>
      <c r="F102" s="82"/>
      <c r="G102" s="82"/>
      <c r="H102" s="82"/>
      <c r="I102" s="82"/>
      <c r="J102" s="236"/>
      <c r="K102" s="236"/>
      <c r="L102" s="236"/>
      <c r="M102" s="236"/>
      <c r="N102" s="236"/>
      <c r="O102" s="236"/>
      <c r="P102" s="236"/>
      <c r="Q102" s="236"/>
      <c r="R102" s="236"/>
      <c r="S102" s="236"/>
      <c r="T102" s="236"/>
      <c r="U102" s="236"/>
      <c r="V102" s="82"/>
      <c r="W102" s="82"/>
    </row>
    <row r="103" spans="2:23" x14ac:dyDescent="0.25">
      <c r="B103" s="73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</row>
    <row r="104" spans="2:23" x14ac:dyDescent="0.25">
      <c r="C104" s="5" t="str">
        <f ca="1">INDEX('Version control'!$H$36:$H$62,MATCH($A$1,'Version control'!$F$36:$F$62,0),1)&amp;"-J: Notional asset values by network level"</f>
        <v>Section 511-J: Notional asset values by network level</v>
      </c>
      <c r="D104" s="5"/>
      <c r="E104" s="5"/>
      <c r="F104" s="5"/>
      <c r="G104" s="5"/>
      <c r="H104" s="193"/>
      <c r="I104" s="193"/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5"/>
      <c r="W104" s="193"/>
    </row>
    <row r="105" spans="2:23" x14ac:dyDescent="0.25">
      <c r="B105" s="73"/>
      <c r="J105" s="211"/>
      <c r="K105" s="211"/>
      <c r="L105" s="211"/>
      <c r="M105" s="211"/>
      <c r="N105" s="211"/>
      <c r="O105" s="211"/>
      <c r="P105" s="211"/>
      <c r="Q105" s="211"/>
      <c r="R105" s="211"/>
      <c r="S105" s="211"/>
      <c r="T105" s="211"/>
      <c r="U105" s="211"/>
    </row>
    <row r="106" spans="2:23" x14ac:dyDescent="0.25">
      <c r="B106" s="73"/>
      <c r="D106" s="73" t="s">
        <v>316</v>
      </c>
      <c r="J106" s="211"/>
      <c r="K106" s="211"/>
      <c r="L106" s="211"/>
      <c r="M106" s="211"/>
      <c r="N106" s="211"/>
      <c r="O106" s="211"/>
      <c r="P106" s="211"/>
      <c r="Q106" s="211"/>
      <c r="R106" s="211"/>
      <c r="S106" s="211"/>
      <c r="T106" s="211"/>
      <c r="U106" s="211"/>
    </row>
    <row r="107" spans="2:23" x14ac:dyDescent="0.25">
      <c r="B107" s="73"/>
      <c r="D107" s="73"/>
      <c r="J107" s="211"/>
      <c r="K107" s="211"/>
      <c r="L107" s="211"/>
      <c r="M107" s="211"/>
      <c r="N107" s="211"/>
      <c r="O107" s="211"/>
      <c r="P107" s="211"/>
      <c r="Q107" s="211"/>
      <c r="R107" s="211"/>
      <c r="S107" s="211"/>
      <c r="T107" s="211"/>
      <c r="U107" s="211"/>
    </row>
    <row r="108" spans="2:23" x14ac:dyDescent="0.25">
      <c r="B108" s="73"/>
      <c r="E108" s="12" t="s">
        <v>115</v>
      </c>
      <c r="F108" s="12"/>
      <c r="G108" s="12" t="s">
        <v>107</v>
      </c>
      <c r="J108" s="234"/>
      <c r="K108" s="215">
        <f t="shared" ref="K108:U108" si="10">K76</f>
        <v>0</v>
      </c>
      <c r="L108" s="215">
        <f t="shared" si="10"/>
        <v>0</v>
      </c>
      <c r="M108" s="215">
        <f t="shared" si="10"/>
        <v>0</v>
      </c>
      <c r="N108" s="215">
        <f t="shared" si="10"/>
        <v>801105667.88192236</v>
      </c>
      <c r="O108" s="215">
        <f t="shared" si="10"/>
        <v>241324304.70127824</v>
      </c>
      <c r="P108" s="215">
        <f t="shared" si="10"/>
        <v>0</v>
      </c>
      <c r="Q108" s="215">
        <f t="shared" si="10"/>
        <v>1068404173.5539787</v>
      </c>
      <c r="R108" s="215">
        <f t="shared" si="10"/>
        <v>237691382.76225683</v>
      </c>
      <c r="S108" s="215">
        <f t="shared" si="10"/>
        <v>306470266.74415362</v>
      </c>
      <c r="T108" s="215">
        <f t="shared" si="10"/>
        <v>845950513.63258731</v>
      </c>
      <c r="U108" s="215">
        <f t="shared" si="10"/>
        <v>18980580.252211705</v>
      </c>
    </row>
    <row r="109" spans="2:23" x14ac:dyDescent="0.25">
      <c r="B109" s="73"/>
    </row>
    <row r="110" spans="2:23" x14ac:dyDescent="0.25">
      <c r="C110" s="5" t="str">
        <f ca="1">INDEX('Version control'!$H$36:$H$62,MATCH($A$1,'Version control'!$F$36:$F$62,0),1)&amp;"-K: Unit costs"</f>
        <v>Section 511-K: Unit costs</v>
      </c>
      <c r="D110" s="5"/>
      <c r="E110" s="5"/>
      <c r="F110" s="5"/>
      <c r="G110" s="5"/>
      <c r="H110" s="193"/>
      <c r="I110" s="193"/>
      <c r="J110" s="193"/>
      <c r="K110" s="193"/>
      <c r="L110" s="193"/>
      <c r="M110" s="193"/>
      <c r="N110" s="193"/>
      <c r="O110" s="193"/>
      <c r="P110" s="193"/>
      <c r="Q110" s="193"/>
      <c r="R110" s="193"/>
      <c r="S110" s="193"/>
      <c r="T110" s="193"/>
      <c r="U110" s="193"/>
      <c r="V110" s="5"/>
      <c r="W110" s="193"/>
    </row>
    <row r="111" spans="2:23" x14ac:dyDescent="0.25">
      <c r="B111" s="73"/>
    </row>
    <row r="112" spans="2:23" x14ac:dyDescent="0.25">
      <c r="B112" s="73"/>
      <c r="D112" s="73" t="s">
        <v>295</v>
      </c>
    </row>
    <row r="113" spans="2:24" x14ac:dyDescent="0.25">
      <c r="B113" s="73"/>
      <c r="D113" s="73"/>
    </row>
    <row r="114" spans="2:24" x14ac:dyDescent="0.25">
      <c r="E114" t="s">
        <v>126</v>
      </c>
      <c r="F114" s="349"/>
      <c r="G114" s="12" t="s">
        <v>911</v>
      </c>
      <c r="H114" s="19"/>
      <c r="I114" s="19"/>
      <c r="J114" s="234"/>
      <c r="K114" s="234"/>
      <c r="L114" s="215">
        <f t="shared" ref="L114:S114" si="11">L56</f>
        <v>0</v>
      </c>
      <c r="M114" s="215">
        <f t="shared" si="11"/>
        <v>0</v>
      </c>
      <c r="N114" s="215">
        <f t="shared" si="11"/>
        <v>14.885491864002836</v>
      </c>
      <c r="O114" s="215">
        <f t="shared" si="11"/>
        <v>3.8562054713520277</v>
      </c>
      <c r="P114" s="215">
        <f t="shared" si="11"/>
        <v>0</v>
      </c>
      <c r="Q114" s="215">
        <f t="shared" si="11"/>
        <v>16.76964665640622</v>
      </c>
      <c r="R114" s="215">
        <f t="shared" si="11"/>
        <v>4.2970051507710743</v>
      </c>
      <c r="S114" s="215">
        <f t="shared" si="11"/>
        <v>7.6500065726206188</v>
      </c>
      <c r="T114" s="234"/>
      <c r="U114" s="234"/>
    </row>
    <row r="115" spans="2:24" x14ac:dyDescent="0.25">
      <c r="B115" s="73"/>
      <c r="E115" t="s">
        <v>127</v>
      </c>
      <c r="F115" s="12"/>
      <c r="G115" s="12" t="s">
        <v>911</v>
      </c>
      <c r="J115" s="215">
        <f t="shared" ref="J115:S115" si="12">J100</f>
        <v>5.8654990324455332</v>
      </c>
      <c r="K115" s="215">
        <f t="shared" si="12"/>
        <v>0</v>
      </c>
      <c r="L115" s="215">
        <f t="shared" si="12"/>
        <v>0</v>
      </c>
      <c r="M115" s="215">
        <f t="shared" si="12"/>
        <v>0</v>
      </c>
      <c r="N115" s="215">
        <f t="shared" si="12"/>
        <v>11.16629066384416</v>
      </c>
      <c r="O115" s="215">
        <f t="shared" si="12"/>
        <v>2.8927167167886827</v>
      </c>
      <c r="P115" s="215">
        <f t="shared" si="12"/>
        <v>0</v>
      </c>
      <c r="Q115" s="215">
        <f t="shared" si="12"/>
        <v>12.579681652860062</v>
      </c>
      <c r="R115" s="215">
        <f t="shared" si="12"/>
        <v>3.2233807882141874</v>
      </c>
      <c r="S115" s="215">
        <f t="shared" si="12"/>
        <v>5.7386210513321467</v>
      </c>
      <c r="T115" s="234"/>
      <c r="U115" s="234"/>
    </row>
    <row r="116" spans="2:24" x14ac:dyDescent="0.25">
      <c r="B116" s="73"/>
    </row>
    <row r="117" spans="2:24" x14ac:dyDescent="0.25">
      <c r="C117" s="5" t="str">
        <f ca="1">INDEX('Version control'!$H$36:$H$62,MATCH($A$1,'Version control'!$F$36:$F$62,0),1)&amp;"-L: Values used for allocating costs to service models"</f>
        <v>Section 511-L: Values used for allocating costs to service models</v>
      </c>
      <c r="D117" s="5"/>
      <c r="E117" s="5"/>
      <c r="F117" s="5"/>
      <c r="G117" s="5"/>
      <c r="H117" s="193"/>
      <c r="I117" s="193"/>
      <c r="J117" s="193"/>
      <c r="K117" s="193"/>
      <c r="L117" s="193"/>
      <c r="M117" s="193"/>
      <c r="N117" s="193"/>
      <c r="O117" s="193"/>
      <c r="P117" s="193"/>
      <c r="Q117" s="193"/>
      <c r="R117" s="193"/>
      <c r="S117" s="193"/>
      <c r="T117" s="193"/>
      <c r="U117" s="193"/>
      <c r="V117" s="5"/>
      <c r="W117" s="193"/>
    </row>
    <row r="118" spans="2:24" x14ac:dyDescent="0.25">
      <c r="B118" s="73"/>
    </row>
    <row r="119" spans="2:24" x14ac:dyDescent="0.25">
      <c r="B119" s="73"/>
      <c r="D119" s="73" t="s">
        <v>589</v>
      </c>
    </row>
    <row r="120" spans="2:24" x14ac:dyDescent="0.25">
      <c r="B120" s="73"/>
      <c r="D120" s="73"/>
    </row>
    <row r="121" spans="2:24" x14ac:dyDescent="0.25">
      <c r="B121" s="73"/>
      <c r="C121" s="52"/>
      <c r="E121" t="s">
        <v>97</v>
      </c>
      <c r="F121" s="12"/>
      <c r="G121" s="12" t="s">
        <v>94</v>
      </c>
      <c r="H121" s="93">
        <f>H25</f>
        <v>4.8585551125484371E-2</v>
      </c>
    </row>
    <row r="122" spans="2:24" x14ac:dyDescent="0.25">
      <c r="B122" s="73"/>
      <c r="C122" s="52"/>
      <c r="E122" t="s">
        <v>131</v>
      </c>
      <c r="F122" s="12"/>
      <c r="G122" s="12" t="s">
        <v>505</v>
      </c>
      <c r="H122" s="215">
        <f>H90</f>
        <v>128288142.03789309</v>
      </c>
    </row>
    <row r="123" spans="2:24" x14ac:dyDescent="0.25">
      <c r="E123" t="s">
        <v>115</v>
      </c>
      <c r="F123" s="12"/>
      <c r="G123" s="12" t="s">
        <v>107</v>
      </c>
      <c r="H123" s="215">
        <f>SUM(K76:U76)</f>
        <v>3519926889.5283885</v>
      </c>
      <c r="X123" s="79"/>
    </row>
    <row r="124" spans="2:24" x14ac:dyDescent="0.25">
      <c r="B124" s="73"/>
      <c r="C124" s="52"/>
    </row>
    <row r="125" spans="2:24" x14ac:dyDescent="0.25">
      <c r="B125" s="82" t="s">
        <v>109</v>
      </c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</row>
    <row r="127" spans="2:24" x14ac:dyDescent="0.25">
      <c r="E127" t="s">
        <v>415</v>
      </c>
      <c r="G127" s="46" t="s">
        <v>588</v>
      </c>
      <c r="H127" s="355">
        <f t="array" ref="H127">SUM(IF(ISERROR(H23:U123), 1))</f>
        <v>0</v>
      </c>
    </row>
    <row r="129" spans="2:23" x14ac:dyDescent="0.25">
      <c r="E129" t="s">
        <v>542</v>
      </c>
      <c r="G129" s="46" t="s">
        <v>588</v>
      </c>
      <c r="H129" s="355">
        <f>SUM(J129:U129)</f>
        <v>0</v>
      </c>
      <c r="J129" s="356"/>
      <c r="K129" s="356"/>
      <c r="L129" s="356"/>
      <c r="M129" s="356"/>
      <c r="N129" s="355">
        <f t="shared" ref="N129:U129" si="13">IFERROR(IF(OR(AND(N54&gt;0, N48=0), AND(N48&gt;0, N54=0)), 1, 0),1)</f>
        <v>0</v>
      </c>
      <c r="O129" s="355">
        <f t="shared" si="13"/>
        <v>0</v>
      </c>
      <c r="P129" s="355">
        <f t="shared" si="13"/>
        <v>0</v>
      </c>
      <c r="Q129" s="355">
        <f t="shared" si="13"/>
        <v>0</v>
      </c>
      <c r="R129" s="355">
        <f t="shared" si="13"/>
        <v>0</v>
      </c>
      <c r="S129" s="355">
        <f t="shared" si="13"/>
        <v>0</v>
      </c>
      <c r="T129" s="355">
        <f t="shared" si="13"/>
        <v>0</v>
      </c>
      <c r="U129" s="355">
        <f t="shared" si="13"/>
        <v>0</v>
      </c>
    </row>
    <row r="131" spans="2:23" x14ac:dyDescent="0.25">
      <c r="E131" t="s">
        <v>374</v>
      </c>
      <c r="G131" s="46" t="s">
        <v>588</v>
      </c>
      <c r="H131" s="263">
        <f>H127 + H129</f>
        <v>0</v>
      </c>
    </row>
    <row r="133" spans="2:23" x14ac:dyDescent="0.25">
      <c r="B133" s="82" t="s">
        <v>110</v>
      </c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84" width="24.5703125" hidden="1" customWidth="1"/>
    <col min="285" max="16384" width="8.5703125" hidden="1"/>
  </cols>
  <sheetData>
    <row r="1" spans="1:27" s="8" customFormat="1" x14ac:dyDescent="0.25">
      <c r="A1" s="8" t="str">
        <f ca="1">MID(CELL("filename",A1),FIND("]",CELL("filename",A1))+1,255)</f>
        <v>Initial unit rates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H241 &amp; IF(H241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6" spans="1:27" x14ac:dyDescent="0.25">
      <c r="H6" s="19"/>
      <c r="I6" s="19"/>
      <c r="J6" s="19"/>
      <c r="K6" s="19"/>
      <c r="L6" s="19"/>
      <c r="M6" s="19"/>
      <c r="N6" s="19"/>
      <c r="P6" s="19"/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515</v>
      </c>
      <c r="E9" s="12"/>
    </row>
    <row r="11" spans="1:27" x14ac:dyDescent="0.25">
      <c r="B11" s="82" t="s">
        <v>663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</row>
    <row r="13" spans="1:27" x14ac:dyDescent="0.25">
      <c r="C13" s="5" t="str">
        <f ca="1">INDEX('Version control'!$H$36:$H$62,MATCH($A$1,'Version control'!$F$36:$F$62,0),1)&amp;"-A: Inputs for yardstick and unit rate calculations"</f>
        <v>Section 512-A: Inputs for yardstick and unit rate calculations</v>
      </c>
      <c r="D13" s="5"/>
      <c r="E13" s="5"/>
      <c r="F13" s="5"/>
      <c r="G13" s="5"/>
      <c r="H13" s="5"/>
      <c r="I13" s="5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5"/>
      <c r="AA13" s="5"/>
    </row>
    <row r="14" spans="1:27" x14ac:dyDescent="0.25">
      <c r="C14" s="52"/>
      <c r="D14" s="52"/>
      <c r="E14" s="52"/>
      <c r="J14" s="79"/>
      <c r="L14" s="79"/>
    </row>
    <row r="15" spans="1:27" x14ac:dyDescent="0.25">
      <c r="D15" s="73" t="s">
        <v>377</v>
      </c>
    </row>
    <row r="17" spans="5:27" x14ac:dyDescent="0.25">
      <c r="E17" s="52" t="s">
        <v>530</v>
      </c>
      <c r="G17" s="12"/>
      <c r="H17" s="19"/>
      <c r="I17" s="19" t="s">
        <v>359</v>
      </c>
      <c r="AA17" t="s">
        <v>723</v>
      </c>
    </row>
    <row r="18" spans="5:27" x14ac:dyDescent="0.25">
      <c r="F18" s="357" t="s">
        <v>267</v>
      </c>
      <c r="G18" s="14" t="s">
        <v>108</v>
      </c>
      <c r="H18" s="201"/>
    </row>
    <row r="19" spans="5:27" x14ac:dyDescent="0.25">
      <c r="F19" s="358" t="s">
        <v>43</v>
      </c>
      <c r="G19" s="12" t="s">
        <v>108</v>
      </c>
      <c r="H19" s="234"/>
    </row>
    <row r="20" spans="5:27" x14ac:dyDescent="0.25">
      <c r="F20" s="358" t="s">
        <v>44</v>
      </c>
      <c r="G20" s="12" t="s">
        <v>108</v>
      </c>
      <c r="H20" s="359">
        <f t="array" ref="H20:H27">TRANSPOSE('Unit costs'!L114:S114)</f>
        <v>0</v>
      </c>
    </row>
    <row r="21" spans="5:27" x14ac:dyDescent="0.25">
      <c r="F21" s="358" t="s">
        <v>45</v>
      </c>
      <c r="G21" s="12" t="s">
        <v>108</v>
      </c>
      <c r="H21" s="359">
        <v>0</v>
      </c>
    </row>
    <row r="22" spans="5:27" x14ac:dyDescent="0.25">
      <c r="F22" s="358" t="s">
        <v>46</v>
      </c>
      <c r="G22" s="12" t="s">
        <v>108</v>
      </c>
      <c r="H22" s="359">
        <v>14.885491864002836</v>
      </c>
    </row>
    <row r="23" spans="5:27" x14ac:dyDescent="0.25">
      <c r="F23" s="358" t="s">
        <v>47</v>
      </c>
      <c r="G23" s="12" t="s">
        <v>108</v>
      </c>
      <c r="H23" s="359">
        <v>3.8562054713520277</v>
      </c>
    </row>
    <row r="24" spans="5:27" x14ac:dyDescent="0.25">
      <c r="F24" s="358" t="s">
        <v>51</v>
      </c>
      <c r="G24" s="12" t="s">
        <v>108</v>
      </c>
      <c r="H24" s="359">
        <v>0</v>
      </c>
    </row>
    <row r="25" spans="5:27" x14ac:dyDescent="0.25">
      <c r="F25" s="358" t="s">
        <v>48</v>
      </c>
      <c r="G25" s="12" t="s">
        <v>108</v>
      </c>
      <c r="H25" s="359">
        <v>16.76964665640622</v>
      </c>
    </row>
    <row r="26" spans="5:27" x14ac:dyDescent="0.25">
      <c r="F26" s="358" t="s">
        <v>49</v>
      </c>
      <c r="G26" s="12" t="s">
        <v>108</v>
      </c>
      <c r="H26" s="359">
        <v>4.2970051507710743</v>
      </c>
    </row>
    <row r="27" spans="5:27" x14ac:dyDescent="0.25">
      <c r="F27" s="360" t="s">
        <v>50</v>
      </c>
      <c r="G27" s="13" t="s">
        <v>108</v>
      </c>
      <c r="H27" s="239">
        <v>7.6500065726206188</v>
      </c>
    </row>
    <row r="28" spans="5:27" x14ac:dyDescent="0.25">
      <c r="F28" s="358"/>
      <c r="G28" s="12"/>
      <c r="H28" s="229"/>
    </row>
    <row r="29" spans="5:27" x14ac:dyDescent="0.25">
      <c r="E29" s="52" t="s">
        <v>531</v>
      </c>
      <c r="G29" s="12"/>
      <c r="H29" s="211"/>
    </row>
    <row r="30" spans="5:27" x14ac:dyDescent="0.25">
      <c r="F30" s="357" t="s">
        <v>267</v>
      </c>
      <c r="G30" s="14" t="s">
        <v>911</v>
      </c>
      <c r="H30" s="238">
        <f t="array" ref="H30:H39">TRANSPOSE('Unit costs'!J115:S115)</f>
        <v>5.8654990324455332</v>
      </c>
    </row>
    <row r="31" spans="5:27" x14ac:dyDescent="0.25">
      <c r="F31" s="358" t="s">
        <v>43</v>
      </c>
      <c r="G31" s="12" t="s">
        <v>911</v>
      </c>
      <c r="H31" s="359">
        <v>0</v>
      </c>
    </row>
    <row r="32" spans="5:27" x14ac:dyDescent="0.25">
      <c r="F32" s="358" t="s">
        <v>44</v>
      </c>
      <c r="G32" s="12" t="s">
        <v>911</v>
      </c>
      <c r="H32" s="359">
        <v>0</v>
      </c>
    </row>
    <row r="33" spans="5:16" x14ac:dyDescent="0.25">
      <c r="F33" s="358" t="s">
        <v>45</v>
      </c>
      <c r="G33" s="12" t="s">
        <v>911</v>
      </c>
      <c r="H33" s="359">
        <v>0</v>
      </c>
      <c r="J33" s="79"/>
      <c r="K33" s="79"/>
      <c r="L33" s="79"/>
      <c r="M33" s="79"/>
      <c r="N33" s="79"/>
    </row>
    <row r="34" spans="5:16" x14ac:dyDescent="0.25">
      <c r="F34" s="358" t="s">
        <v>46</v>
      </c>
      <c r="G34" s="12" t="s">
        <v>911</v>
      </c>
      <c r="H34" s="359">
        <v>11.16629066384416</v>
      </c>
      <c r="J34" s="79"/>
      <c r="K34" s="79"/>
      <c r="L34" s="79"/>
      <c r="M34" s="79"/>
      <c r="N34" s="79"/>
    </row>
    <row r="35" spans="5:16" x14ac:dyDescent="0.25">
      <c r="F35" s="358" t="s">
        <v>47</v>
      </c>
      <c r="G35" s="12" t="s">
        <v>911</v>
      </c>
      <c r="H35" s="359">
        <v>2.8927167167886827</v>
      </c>
      <c r="J35" s="79"/>
      <c r="K35" s="79"/>
      <c r="L35" s="79"/>
      <c r="M35" s="79"/>
      <c r="N35" s="79"/>
    </row>
    <row r="36" spans="5:16" x14ac:dyDescent="0.25">
      <c r="F36" s="358" t="s">
        <v>51</v>
      </c>
      <c r="G36" s="12" t="s">
        <v>911</v>
      </c>
      <c r="H36" s="359">
        <v>0</v>
      </c>
      <c r="J36" s="79"/>
      <c r="K36" s="79"/>
      <c r="L36" s="79"/>
      <c r="M36" s="79"/>
      <c r="N36" s="79"/>
    </row>
    <row r="37" spans="5:16" x14ac:dyDescent="0.25">
      <c r="F37" s="358" t="s">
        <v>48</v>
      </c>
      <c r="G37" s="12" t="s">
        <v>911</v>
      </c>
      <c r="H37" s="359">
        <v>12.579681652860062</v>
      </c>
      <c r="J37" s="79"/>
      <c r="K37" s="79"/>
      <c r="L37" s="79"/>
      <c r="M37" s="79"/>
      <c r="N37" s="79"/>
      <c r="O37" s="79"/>
    </row>
    <row r="38" spans="5:16" x14ac:dyDescent="0.25">
      <c r="F38" s="358" t="s">
        <v>49</v>
      </c>
      <c r="G38" s="12" t="s">
        <v>911</v>
      </c>
      <c r="H38" s="359">
        <v>3.2233807882141874</v>
      </c>
      <c r="J38" s="79"/>
      <c r="K38" s="79"/>
      <c r="L38" s="79"/>
      <c r="M38" s="79"/>
      <c r="N38" s="79"/>
      <c r="O38" s="79"/>
    </row>
    <row r="39" spans="5:16" x14ac:dyDescent="0.25">
      <c r="F39" s="360" t="s">
        <v>50</v>
      </c>
      <c r="G39" s="13" t="s">
        <v>911</v>
      </c>
      <c r="H39" s="239">
        <v>5.7386210513321467</v>
      </c>
      <c r="J39" s="79"/>
      <c r="K39" s="79"/>
      <c r="L39" s="79"/>
      <c r="M39" s="79"/>
      <c r="N39" s="79"/>
      <c r="O39" s="79"/>
    </row>
    <row r="40" spans="5:16" x14ac:dyDescent="0.25">
      <c r="G40" s="12"/>
      <c r="H40" s="211"/>
      <c r="J40" s="79"/>
      <c r="K40" s="79"/>
      <c r="L40" s="79"/>
      <c r="M40" s="79"/>
      <c r="N40" s="79"/>
      <c r="O40" s="79"/>
    </row>
    <row r="41" spans="5:16" x14ac:dyDescent="0.25">
      <c r="E41" s="52" t="s">
        <v>527</v>
      </c>
      <c r="F41" s="52"/>
      <c r="H41" s="232"/>
      <c r="I41" s="19"/>
      <c r="J41" s="79"/>
      <c r="K41" s="79"/>
      <c r="L41" s="79"/>
      <c r="M41" s="79"/>
      <c r="N41" s="79"/>
      <c r="O41" s="79"/>
      <c r="P41" s="19"/>
    </row>
    <row r="42" spans="5:16" x14ac:dyDescent="0.25">
      <c r="E42" s="73" t="s">
        <v>186</v>
      </c>
      <c r="F42" s="73"/>
      <c r="H42" s="232"/>
      <c r="I42" s="19"/>
      <c r="J42" s="79"/>
      <c r="K42" s="79"/>
      <c r="L42" s="79"/>
      <c r="M42" s="79"/>
      <c r="N42" s="79"/>
      <c r="O42" s="79"/>
      <c r="P42" s="19"/>
    </row>
    <row r="43" spans="5:16" x14ac:dyDescent="0.25">
      <c r="F43" s="80" t="s">
        <v>267</v>
      </c>
      <c r="G43" s="80" t="s">
        <v>427</v>
      </c>
      <c r="H43" s="228">
        <f t="array" ref="H43:H52">TRANSPOSE('Load &amp; loss characteristics'!J29:S29)</f>
        <v>1</v>
      </c>
      <c r="I43" s="19"/>
      <c r="J43" s="79"/>
      <c r="K43" s="79"/>
      <c r="L43" s="79"/>
      <c r="M43" s="79"/>
      <c r="N43" s="79"/>
      <c r="O43" s="79"/>
    </row>
    <row r="44" spans="5:16" x14ac:dyDescent="0.25">
      <c r="F44" t="s">
        <v>43</v>
      </c>
      <c r="G44" t="s">
        <v>427</v>
      </c>
      <c r="H44" s="229">
        <v>1</v>
      </c>
      <c r="I44" s="19"/>
      <c r="J44" s="79"/>
      <c r="K44" s="79"/>
      <c r="L44" s="79"/>
      <c r="M44" s="79"/>
      <c r="N44" s="79"/>
      <c r="O44" s="79"/>
    </row>
    <row r="45" spans="5:16" x14ac:dyDescent="0.25">
      <c r="F45" t="s">
        <v>44</v>
      </c>
      <c r="G45" t="s">
        <v>427</v>
      </c>
      <c r="H45" s="229">
        <v>1</v>
      </c>
      <c r="I45" s="19"/>
      <c r="J45" s="79"/>
      <c r="K45" s="79"/>
      <c r="L45" s="79"/>
      <c r="M45" s="79"/>
      <c r="N45" s="79"/>
      <c r="O45" s="79"/>
    </row>
    <row r="46" spans="5:16" x14ac:dyDescent="0.25">
      <c r="F46" t="s">
        <v>45</v>
      </c>
      <c r="G46" t="s">
        <v>427</v>
      </c>
      <c r="H46" s="229">
        <v>1</v>
      </c>
      <c r="J46" s="79"/>
      <c r="K46" s="79"/>
      <c r="L46" s="79"/>
      <c r="M46" s="79"/>
      <c r="N46" s="79"/>
      <c r="O46" s="79"/>
    </row>
    <row r="47" spans="5:16" x14ac:dyDescent="0.25">
      <c r="F47" t="s">
        <v>46</v>
      </c>
      <c r="G47" t="s">
        <v>427</v>
      </c>
      <c r="H47" s="229">
        <v>1.002</v>
      </c>
      <c r="I47" s="19"/>
      <c r="J47" s="79"/>
      <c r="K47" s="79"/>
      <c r="L47" s="79"/>
      <c r="M47" s="79"/>
      <c r="N47" s="79"/>
      <c r="O47" s="79"/>
    </row>
    <row r="48" spans="5:16" x14ac:dyDescent="0.25">
      <c r="F48" t="s">
        <v>47</v>
      </c>
      <c r="G48" t="s">
        <v>427</v>
      </c>
      <c r="H48" s="229">
        <v>1.0129999999999999</v>
      </c>
      <c r="I48" s="19"/>
      <c r="J48" s="79"/>
      <c r="K48" s="79"/>
      <c r="L48" s="79"/>
      <c r="M48" s="79"/>
      <c r="N48" s="79"/>
      <c r="O48" s="79"/>
    </row>
    <row r="49" spans="4:25" x14ac:dyDescent="0.25">
      <c r="F49" t="s">
        <v>51</v>
      </c>
      <c r="G49" t="s">
        <v>427</v>
      </c>
      <c r="H49" s="229">
        <v>1.0129999999999999</v>
      </c>
      <c r="I49" s="19"/>
      <c r="J49" s="79"/>
      <c r="K49" s="79"/>
      <c r="L49" s="79"/>
      <c r="M49" s="79"/>
      <c r="N49" s="79"/>
      <c r="O49" s="79"/>
    </row>
    <row r="50" spans="4:25" x14ac:dyDescent="0.25">
      <c r="F50" t="s">
        <v>48</v>
      </c>
      <c r="G50" t="s">
        <v>427</v>
      </c>
      <c r="H50" s="229">
        <v>1.024</v>
      </c>
      <c r="J50" s="79"/>
      <c r="K50" s="79"/>
      <c r="L50" s="79"/>
      <c r="M50" s="79"/>
      <c r="N50" s="79"/>
      <c r="O50" s="79"/>
    </row>
    <row r="51" spans="4:25" x14ac:dyDescent="0.25">
      <c r="F51" t="s">
        <v>49</v>
      </c>
      <c r="G51" t="s">
        <v>427</v>
      </c>
      <c r="H51" s="229">
        <v>1.044</v>
      </c>
      <c r="I51" s="19"/>
      <c r="J51" s="79"/>
      <c r="K51" s="79"/>
      <c r="L51" s="79"/>
      <c r="M51" s="79"/>
      <c r="N51" s="79"/>
      <c r="O51" s="79"/>
    </row>
    <row r="52" spans="4:25" x14ac:dyDescent="0.25">
      <c r="F52" s="17" t="s">
        <v>50</v>
      </c>
      <c r="G52" s="17" t="s">
        <v>427</v>
      </c>
      <c r="H52" s="230">
        <v>1.105</v>
      </c>
      <c r="I52" s="19"/>
      <c r="J52" s="79"/>
      <c r="K52" s="79"/>
      <c r="L52" s="79"/>
      <c r="M52" s="79"/>
      <c r="N52" s="79"/>
      <c r="O52" s="79"/>
    </row>
    <row r="53" spans="4:25" x14ac:dyDescent="0.25">
      <c r="G53" s="12"/>
      <c r="H53" s="19"/>
      <c r="I53" s="19"/>
      <c r="J53" s="79"/>
      <c r="K53" s="79"/>
      <c r="L53" s="79"/>
      <c r="M53" s="79"/>
      <c r="N53" s="79"/>
      <c r="O53" s="79"/>
    </row>
    <row r="54" spans="4:25" x14ac:dyDescent="0.25">
      <c r="E54" s="52" t="s">
        <v>334</v>
      </c>
      <c r="F54" s="52"/>
      <c r="J54" s="79"/>
      <c r="L54" s="79"/>
    </row>
    <row r="55" spans="4:25" x14ac:dyDescent="0.25">
      <c r="D55" s="52"/>
      <c r="E55" s="52"/>
      <c r="F55" s="357" t="s">
        <v>267</v>
      </c>
      <c r="G55" s="80" t="s">
        <v>427</v>
      </c>
      <c r="H55" s="80"/>
      <c r="I55" s="80"/>
      <c r="J55" s="238">
        <f t="array" ref="J55:Y64">TRANSPOSE('Load &amp; loss characteristics'!J145:S160)</f>
        <v>1.105</v>
      </c>
      <c r="K55" s="238">
        <v>1.105</v>
      </c>
      <c r="L55" s="238">
        <v>1.105</v>
      </c>
      <c r="M55" s="238">
        <v>1.105</v>
      </c>
      <c r="N55" s="238">
        <v>1.105</v>
      </c>
      <c r="O55" s="238">
        <v>1.044</v>
      </c>
      <c r="P55" s="238">
        <v>1.024</v>
      </c>
      <c r="Q55" s="238">
        <v>1.105</v>
      </c>
      <c r="R55" s="238">
        <v>-1.105</v>
      </c>
      <c r="S55" s="238">
        <v>-1.044</v>
      </c>
      <c r="T55" s="238">
        <v>-1.105</v>
      </c>
      <c r="U55" s="238">
        <v>-1.105</v>
      </c>
      <c r="V55" s="238">
        <v>-1.044</v>
      </c>
      <c r="W55" s="238">
        <v>-1.044</v>
      </c>
      <c r="X55" s="238">
        <v>-1.024</v>
      </c>
      <c r="Y55" s="238">
        <v>-1.024</v>
      </c>
    </row>
    <row r="56" spans="4:25" x14ac:dyDescent="0.25">
      <c r="D56" s="52"/>
      <c r="E56" s="52"/>
      <c r="F56" s="358" t="s">
        <v>43</v>
      </c>
      <c r="G56" t="s">
        <v>427</v>
      </c>
      <c r="J56" s="359">
        <v>1.105</v>
      </c>
      <c r="K56" s="359">
        <v>1.105</v>
      </c>
      <c r="L56" s="359">
        <v>1.105</v>
      </c>
      <c r="M56" s="359">
        <v>1.105</v>
      </c>
      <c r="N56" s="359">
        <v>1.105</v>
      </c>
      <c r="O56" s="359">
        <v>1.044</v>
      </c>
      <c r="P56" s="359">
        <v>1.024</v>
      </c>
      <c r="Q56" s="359">
        <v>1.105</v>
      </c>
      <c r="R56" s="359">
        <v>-1.105</v>
      </c>
      <c r="S56" s="359">
        <v>-1.044</v>
      </c>
      <c r="T56" s="359">
        <v>-1.105</v>
      </c>
      <c r="U56" s="359">
        <v>-1.105</v>
      </c>
      <c r="V56" s="359">
        <v>-1.044</v>
      </c>
      <c r="W56" s="359">
        <v>-1.044</v>
      </c>
      <c r="X56" s="359">
        <v>-1.024</v>
      </c>
      <c r="Y56" s="359">
        <v>-1.024</v>
      </c>
    </row>
    <row r="57" spans="4:25" x14ac:dyDescent="0.25">
      <c r="D57" s="52"/>
      <c r="E57" s="52"/>
      <c r="F57" s="358" t="s">
        <v>44</v>
      </c>
      <c r="G57" t="s">
        <v>427</v>
      </c>
      <c r="J57" s="359">
        <v>1.105</v>
      </c>
      <c r="K57" s="359">
        <v>1.105</v>
      </c>
      <c r="L57" s="359">
        <v>1.105</v>
      </c>
      <c r="M57" s="359">
        <v>1.105</v>
      </c>
      <c r="N57" s="359">
        <v>1.105</v>
      </c>
      <c r="O57" s="359">
        <v>1.044</v>
      </c>
      <c r="P57" s="359">
        <v>1.024</v>
      </c>
      <c r="Q57" s="359">
        <v>1.105</v>
      </c>
      <c r="R57" s="359">
        <v>-1.105</v>
      </c>
      <c r="S57" s="359">
        <v>-1.044</v>
      </c>
      <c r="T57" s="359">
        <v>-1.105</v>
      </c>
      <c r="U57" s="359">
        <v>-1.105</v>
      </c>
      <c r="V57" s="359">
        <v>-1.044</v>
      </c>
      <c r="W57" s="359">
        <v>-1.044</v>
      </c>
      <c r="X57" s="359">
        <v>-1.024</v>
      </c>
      <c r="Y57" s="359">
        <v>-1.024</v>
      </c>
    </row>
    <row r="58" spans="4:25" x14ac:dyDescent="0.25">
      <c r="D58" s="52"/>
      <c r="E58" s="52"/>
      <c r="F58" s="358" t="s">
        <v>45</v>
      </c>
      <c r="G58" t="s">
        <v>427</v>
      </c>
      <c r="J58" s="359">
        <v>1.105</v>
      </c>
      <c r="K58" s="359">
        <v>1.105</v>
      </c>
      <c r="L58" s="359">
        <v>1.105</v>
      </c>
      <c r="M58" s="359">
        <v>1.105</v>
      </c>
      <c r="N58" s="359">
        <v>1.105</v>
      </c>
      <c r="O58" s="359">
        <v>1.044</v>
      </c>
      <c r="P58" s="359">
        <v>1.024</v>
      </c>
      <c r="Q58" s="359">
        <v>1.105</v>
      </c>
      <c r="R58" s="359">
        <v>-1.105</v>
      </c>
      <c r="S58" s="359">
        <v>-1.044</v>
      </c>
      <c r="T58" s="359">
        <v>-1.105</v>
      </c>
      <c r="U58" s="359">
        <v>-1.105</v>
      </c>
      <c r="V58" s="359">
        <v>-1.044</v>
      </c>
      <c r="W58" s="359">
        <v>-1.044</v>
      </c>
      <c r="X58" s="359">
        <v>-1.024</v>
      </c>
      <c r="Y58" s="359">
        <v>-1.024</v>
      </c>
    </row>
    <row r="59" spans="4:25" x14ac:dyDescent="0.25">
      <c r="D59" s="52"/>
      <c r="E59" s="52"/>
      <c r="F59" s="358" t="s">
        <v>46</v>
      </c>
      <c r="G59" t="s">
        <v>427</v>
      </c>
      <c r="J59" s="359">
        <v>1.105</v>
      </c>
      <c r="K59" s="359">
        <v>1.105</v>
      </c>
      <c r="L59" s="359">
        <v>1.105</v>
      </c>
      <c r="M59" s="359">
        <v>1.105</v>
      </c>
      <c r="N59" s="359">
        <v>1.105</v>
      </c>
      <c r="O59" s="359">
        <v>1.044</v>
      </c>
      <c r="P59" s="359">
        <v>1.024</v>
      </c>
      <c r="Q59" s="359">
        <v>1.105</v>
      </c>
      <c r="R59" s="359">
        <v>-1.105</v>
      </c>
      <c r="S59" s="359">
        <v>-1.044</v>
      </c>
      <c r="T59" s="359">
        <v>-1.105</v>
      </c>
      <c r="U59" s="359">
        <v>-1.105</v>
      </c>
      <c r="V59" s="359">
        <v>-1.044</v>
      </c>
      <c r="W59" s="359">
        <v>-1.044</v>
      </c>
      <c r="X59" s="359">
        <v>-1.024</v>
      </c>
      <c r="Y59" s="359">
        <v>-1.024</v>
      </c>
    </row>
    <row r="60" spans="4:25" x14ac:dyDescent="0.25">
      <c r="D60" s="52"/>
      <c r="E60" s="52"/>
      <c r="F60" s="358" t="s">
        <v>47</v>
      </c>
      <c r="G60" t="s">
        <v>427</v>
      </c>
      <c r="J60" s="359">
        <v>1.105</v>
      </c>
      <c r="K60" s="359">
        <v>1.105</v>
      </c>
      <c r="L60" s="359">
        <v>1.105</v>
      </c>
      <c r="M60" s="359">
        <v>1.105</v>
      </c>
      <c r="N60" s="359">
        <v>1.105</v>
      </c>
      <c r="O60" s="359">
        <v>1.044</v>
      </c>
      <c r="P60" s="359">
        <v>1.024</v>
      </c>
      <c r="Q60" s="359">
        <v>1.105</v>
      </c>
      <c r="R60" s="359">
        <v>-1.105</v>
      </c>
      <c r="S60" s="359">
        <v>-1.044</v>
      </c>
      <c r="T60" s="359">
        <v>-1.105</v>
      </c>
      <c r="U60" s="359">
        <v>-1.105</v>
      </c>
      <c r="V60" s="359">
        <v>-1.044</v>
      </c>
      <c r="W60" s="359">
        <v>-1.044</v>
      </c>
      <c r="X60" s="359">
        <v>-1.024</v>
      </c>
      <c r="Y60" s="359">
        <v>-1.024</v>
      </c>
    </row>
    <row r="61" spans="4:25" x14ac:dyDescent="0.25">
      <c r="D61" s="52"/>
      <c r="E61" s="52"/>
      <c r="F61" s="358" t="s">
        <v>51</v>
      </c>
      <c r="G61" t="s">
        <v>427</v>
      </c>
      <c r="J61" s="359">
        <v>0</v>
      </c>
      <c r="K61" s="359">
        <v>0</v>
      </c>
      <c r="L61" s="359">
        <v>0</v>
      </c>
      <c r="M61" s="359">
        <v>0</v>
      </c>
      <c r="N61" s="359">
        <v>0</v>
      </c>
      <c r="O61" s="359">
        <v>0</v>
      </c>
      <c r="P61" s="359">
        <v>0</v>
      </c>
      <c r="Q61" s="359">
        <v>0</v>
      </c>
      <c r="R61" s="359">
        <v>0</v>
      </c>
      <c r="S61" s="359">
        <v>0</v>
      </c>
      <c r="T61" s="359">
        <v>0</v>
      </c>
      <c r="U61" s="359">
        <v>0</v>
      </c>
      <c r="V61" s="359">
        <v>0</v>
      </c>
      <c r="W61" s="359">
        <v>0</v>
      </c>
      <c r="X61" s="359">
        <v>0</v>
      </c>
      <c r="Y61" s="359">
        <v>0</v>
      </c>
    </row>
    <row r="62" spans="4:25" x14ac:dyDescent="0.25">
      <c r="D62" s="52"/>
      <c r="E62" s="52"/>
      <c r="F62" s="358" t="s">
        <v>48</v>
      </c>
      <c r="G62" t="s">
        <v>427</v>
      </c>
      <c r="J62" s="359">
        <v>1.105</v>
      </c>
      <c r="K62" s="359">
        <v>1.105</v>
      </c>
      <c r="L62" s="359">
        <v>1.105</v>
      </c>
      <c r="M62" s="359">
        <v>1.105</v>
      </c>
      <c r="N62" s="359">
        <v>1.105</v>
      </c>
      <c r="O62" s="359">
        <v>1.044</v>
      </c>
      <c r="P62" s="359">
        <v>1.024</v>
      </c>
      <c r="Q62" s="359">
        <v>1.105</v>
      </c>
      <c r="R62" s="359">
        <v>-1.105</v>
      </c>
      <c r="S62" s="359">
        <v>-1.044</v>
      </c>
      <c r="T62" s="359">
        <v>-1.105</v>
      </c>
      <c r="U62" s="359">
        <v>-1.105</v>
      </c>
      <c r="V62" s="359">
        <v>-1.044</v>
      </c>
      <c r="W62" s="359">
        <v>-1.044</v>
      </c>
      <c r="X62" s="359">
        <v>0</v>
      </c>
      <c r="Y62" s="359">
        <v>0</v>
      </c>
    </row>
    <row r="63" spans="4:25" x14ac:dyDescent="0.25">
      <c r="D63" s="52"/>
      <c r="E63" s="52"/>
      <c r="F63" s="358" t="s">
        <v>49</v>
      </c>
      <c r="G63" t="s">
        <v>427</v>
      </c>
      <c r="J63" s="359">
        <v>1.105</v>
      </c>
      <c r="K63" s="359">
        <v>1.105</v>
      </c>
      <c r="L63" s="359">
        <v>1.105</v>
      </c>
      <c r="M63" s="359">
        <v>1.105</v>
      </c>
      <c r="N63" s="359">
        <v>1.105</v>
      </c>
      <c r="O63" s="359">
        <v>1.044</v>
      </c>
      <c r="P63" s="359">
        <v>0</v>
      </c>
      <c r="Q63" s="359">
        <v>1.105</v>
      </c>
      <c r="R63" s="359">
        <v>-1.105</v>
      </c>
      <c r="S63" s="359">
        <v>0</v>
      </c>
      <c r="T63" s="359">
        <v>-1.105</v>
      </c>
      <c r="U63" s="359">
        <v>-1.105</v>
      </c>
      <c r="V63" s="359">
        <v>0</v>
      </c>
      <c r="W63" s="359">
        <v>0</v>
      </c>
      <c r="X63" s="359">
        <v>0</v>
      </c>
      <c r="Y63" s="359">
        <v>0</v>
      </c>
    </row>
    <row r="64" spans="4:25" x14ac:dyDescent="0.25">
      <c r="D64" s="52"/>
      <c r="E64" s="52"/>
      <c r="F64" s="360" t="s">
        <v>50</v>
      </c>
      <c r="G64" s="17" t="s">
        <v>427</v>
      </c>
      <c r="H64" s="17"/>
      <c r="I64" s="17"/>
      <c r="J64" s="239">
        <v>1.105</v>
      </c>
      <c r="K64" s="239">
        <v>1.105</v>
      </c>
      <c r="L64" s="239">
        <v>1.105</v>
      </c>
      <c r="M64" s="239">
        <v>1.105</v>
      </c>
      <c r="N64" s="239">
        <v>1.105</v>
      </c>
      <c r="O64" s="239">
        <v>0</v>
      </c>
      <c r="P64" s="239">
        <v>0</v>
      </c>
      <c r="Q64" s="239">
        <v>1.105</v>
      </c>
      <c r="R64" s="239">
        <v>0</v>
      </c>
      <c r="S64" s="239">
        <v>0</v>
      </c>
      <c r="T64" s="239">
        <v>0</v>
      </c>
      <c r="U64" s="239">
        <v>0</v>
      </c>
      <c r="V64" s="239">
        <v>0</v>
      </c>
      <c r="W64" s="239">
        <v>0</v>
      </c>
      <c r="X64" s="239">
        <v>0</v>
      </c>
      <c r="Y64" s="239">
        <v>0</v>
      </c>
    </row>
    <row r="65" spans="3:25" x14ac:dyDescent="0.25">
      <c r="D65" s="52"/>
      <c r="E65" s="52"/>
      <c r="J65" s="198"/>
      <c r="K65" s="198"/>
      <c r="L65" s="198"/>
      <c r="M65" s="198"/>
      <c r="N65" s="198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</row>
    <row r="66" spans="3:25" x14ac:dyDescent="0.25">
      <c r="E66" s="52" t="s">
        <v>521</v>
      </c>
      <c r="J66" s="198"/>
      <c r="K66" s="198"/>
      <c r="L66" s="198"/>
      <c r="M66" s="198"/>
      <c r="N66" s="198"/>
      <c r="O66" s="198"/>
      <c r="P66" s="198"/>
      <c r="Q66" s="198"/>
      <c r="R66" s="198"/>
      <c r="S66" s="198"/>
      <c r="T66" s="198"/>
      <c r="U66" s="198"/>
      <c r="V66" s="198"/>
      <c r="W66" s="198"/>
      <c r="X66" s="198"/>
      <c r="Y66" s="198"/>
    </row>
    <row r="67" spans="3:25" x14ac:dyDescent="0.25">
      <c r="D67" s="52"/>
      <c r="E67" s="52"/>
      <c r="F67" s="357" t="s">
        <v>267</v>
      </c>
      <c r="G67" s="14" t="s">
        <v>94</v>
      </c>
      <c r="H67" s="80"/>
      <c r="I67" s="80"/>
      <c r="J67" s="206"/>
      <c r="K67" s="206"/>
      <c r="L67" s="206"/>
      <c r="M67" s="206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</row>
    <row r="68" spans="3:25" x14ac:dyDescent="0.25">
      <c r="D68" s="52"/>
      <c r="E68" s="52"/>
      <c r="F68" s="358" t="s">
        <v>43</v>
      </c>
      <c r="G68" s="12" t="s">
        <v>94</v>
      </c>
      <c r="J68" s="361"/>
      <c r="K68" s="361"/>
      <c r="L68" s="361"/>
      <c r="M68" s="361"/>
      <c r="N68" s="361"/>
      <c r="O68" s="361"/>
      <c r="P68" s="361"/>
      <c r="Q68" s="361"/>
      <c r="R68" s="361"/>
      <c r="S68" s="361"/>
      <c r="T68" s="361"/>
      <c r="U68" s="361"/>
      <c r="V68" s="361"/>
      <c r="W68" s="361"/>
      <c r="X68" s="361"/>
      <c r="Y68" s="361"/>
    </row>
    <row r="69" spans="3:25" x14ac:dyDescent="0.25">
      <c r="D69" s="52"/>
      <c r="E69" s="52"/>
      <c r="F69" s="358" t="s">
        <v>44</v>
      </c>
      <c r="G69" s="12" t="s">
        <v>94</v>
      </c>
      <c r="J69" s="359">
        <f t="array" ref="J69:Y76">TRANSPOSE('Customer contributions'!L51:S66)</f>
        <v>0</v>
      </c>
      <c r="K69" s="359">
        <v>0</v>
      </c>
      <c r="L69" s="359">
        <v>0</v>
      </c>
      <c r="M69" s="359">
        <v>0</v>
      </c>
      <c r="N69" s="359">
        <v>0</v>
      </c>
      <c r="O69" s="359">
        <v>0</v>
      </c>
      <c r="P69" s="359">
        <v>0</v>
      </c>
      <c r="Q69" s="359">
        <v>0</v>
      </c>
      <c r="R69" s="359">
        <v>0</v>
      </c>
      <c r="S69" s="359">
        <v>0</v>
      </c>
      <c r="T69" s="359">
        <v>0</v>
      </c>
      <c r="U69" s="359">
        <v>0</v>
      </c>
      <c r="V69" s="359">
        <v>0</v>
      </c>
      <c r="W69" s="359">
        <v>0</v>
      </c>
      <c r="X69" s="359">
        <v>0</v>
      </c>
      <c r="Y69" s="359">
        <v>0</v>
      </c>
    </row>
    <row r="70" spans="3:25" x14ac:dyDescent="0.25">
      <c r="D70" s="52"/>
      <c r="E70" s="52"/>
      <c r="F70" s="358" t="s">
        <v>45</v>
      </c>
      <c r="G70" s="12" t="s">
        <v>94</v>
      </c>
      <c r="J70" s="359">
        <v>0</v>
      </c>
      <c r="K70" s="359">
        <v>0</v>
      </c>
      <c r="L70" s="359">
        <v>0</v>
      </c>
      <c r="M70" s="359">
        <v>0</v>
      </c>
      <c r="N70" s="359">
        <v>0</v>
      </c>
      <c r="O70" s="359">
        <v>0</v>
      </c>
      <c r="P70" s="359">
        <v>0</v>
      </c>
      <c r="Q70" s="359">
        <v>0</v>
      </c>
      <c r="R70" s="359">
        <v>0</v>
      </c>
      <c r="S70" s="359">
        <v>0</v>
      </c>
      <c r="T70" s="359">
        <v>0</v>
      </c>
      <c r="U70" s="359">
        <v>0</v>
      </c>
      <c r="V70" s="359">
        <v>0</v>
      </c>
      <c r="W70" s="359">
        <v>0</v>
      </c>
      <c r="X70" s="359">
        <v>0</v>
      </c>
      <c r="Y70" s="359">
        <v>0</v>
      </c>
    </row>
    <row r="71" spans="3:25" x14ac:dyDescent="0.25">
      <c r="D71" s="52"/>
      <c r="E71" s="52"/>
      <c r="F71" s="358" t="s">
        <v>46</v>
      </c>
      <c r="G71" s="12" t="s">
        <v>94</v>
      </c>
      <c r="J71" s="359">
        <v>0</v>
      </c>
      <c r="K71" s="359">
        <v>0</v>
      </c>
      <c r="L71" s="359">
        <v>0</v>
      </c>
      <c r="M71" s="359">
        <v>0</v>
      </c>
      <c r="N71" s="359">
        <v>0</v>
      </c>
      <c r="O71" s="359">
        <v>0</v>
      </c>
      <c r="P71" s="359">
        <v>3.11004784688995E-2</v>
      </c>
      <c r="Q71" s="359">
        <v>0</v>
      </c>
      <c r="R71" s="359">
        <v>0</v>
      </c>
      <c r="S71" s="359">
        <v>0</v>
      </c>
      <c r="T71" s="359">
        <v>0</v>
      </c>
      <c r="U71" s="359">
        <v>0</v>
      </c>
      <c r="V71" s="359">
        <v>0</v>
      </c>
      <c r="W71" s="359">
        <v>0</v>
      </c>
      <c r="X71" s="359">
        <v>3.11004784688995E-2</v>
      </c>
      <c r="Y71" s="359">
        <v>3.11004784688995E-2</v>
      </c>
    </row>
    <row r="72" spans="3:25" x14ac:dyDescent="0.25">
      <c r="D72" s="52"/>
      <c r="E72" s="52"/>
      <c r="F72" s="358" t="s">
        <v>47</v>
      </c>
      <c r="G72" s="12" t="s">
        <v>94</v>
      </c>
      <c r="J72" s="359">
        <v>0</v>
      </c>
      <c r="K72" s="359">
        <v>0</v>
      </c>
      <c r="L72" s="359">
        <v>0</v>
      </c>
      <c r="M72" s="359">
        <v>0</v>
      </c>
      <c r="N72" s="359">
        <v>0</v>
      </c>
      <c r="O72" s="359">
        <v>0</v>
      </c>
      <c r="P72" s="359">
        <v>0.14212259371833799</v>
      </c>
      <c r="Q72" s="359">
        <v>0</v>
      </c>
      <c r="R72" s="359">
        <v>0</v>
      </c>
      <c r="S72" s="359">
        <v>0</v>
      </c>
      <c r="T72" s="359">
        <v>0</v>
      </c>
      <c r="U72" s="359">
        <v>0</v>
      </c>
      <c r="V72" s="359">
        <v>0</v>
      </c>
      <c r="W72" s="359">
        <v>0</v>
      </c>
      <c r="X72" s="359">
        <v>0.14212259371833799</v>
      </c>
      <c r="Y72" s="359">
        <v>0.14212259371833799</v>
      </c>
    </row>
    <row r="73" spans="3:25" x14ac:dyDescent="0.25">
      <c r="D73" s="52"/>
      <c r="E73" s="52"/>
      <c r="F73" s="358" t="s">
        <v>51</v>
      </c>
      <c r="G73" s="12" t="s">
        <v>94</v>
      </c>
      <c r="J73" s="359">
        <v>0</v>
      </c>
      <c r="K73" s="359">
        <v>0</v>
      </c>
      <c r="L73" s="359">
        <v>0</v>
      </c>
      <c r="M73" s="359">
        <v>0</v>
      </c>
      <c r="N73" s="359">
        <v>0</v>
      </c>
      <c r="O73" s="359">
        <v>0</v>
      </c>
      <c r="P73" s="359">
        <v>0</v>
      </c>
      <c r="Q73" s="359">
        <v>0</v>
      </c>
      <c r="R73" s="359">
        <v>0</v>
      </c>
      <c r="S73" s="359">
        <v>0</v>
      </c>
      <c r="T73" s="359">
        <v>0</v>
      </c>
      <c r="U73" s="359">
        <v>0</v>
      </c>
      <c r="V73" s="359">
        <v>0</v>
      </c>
      <c r="W73" s="359">
        <v>0</v>
      </c>
      <c r="X73" s="359">
        <v>0</v>
      </c>
      <c r="Y73" s="359">
        <v>0</v>
      </c>
    </row>
    <row r="74" spans="3:25" x14ac:dyDescent="0.25">
      <c r="D74" s="52"/>
      <c r="E74" s="52"/>
      <c r="F74" s="358" t="s">
        <v>48</v>
      </c>
      <c r="G74" s="12" t="s">
        <v>94</v>
      </c>
      <c r="J74" s="359">
        <v>0.20065197841726601</v>
      </c>
      <c r="K74" s="359">
        <v>0.20065197841726601</v>
      </c>
      <c r="L74" s="359">
        <v>0.20065197841726601</v>
      </c>
      <c r="M74" s="359">
        <v>0.20065197841726601</v>
      </c>
      <c r="N74" s="359">
        <v>0.20065197841726601</v>
      </c>
      <c r="O74" s="359">
        <v>0.20065197841726601</v>
      </c>
      <c r="P74" s="359">
        <v>0.45146695143884902</v>
      </c>
      <c r="Q74" s="359">
        <v>0.20065197841726601</v>
      </c>
      <c r="R74" s="359">
        <v>0.20065197841726601</v>
      </c>
      <c r="S74" s="359">
        <v>0.20065197841726601</v>
      </c>
      <c r="T74" s="359">
        <v>0.20065197841726601</v>
      </c>
      <c r="U74" s="359">
        <v>0.20065197841726601</v>
      </c>
      <c r="V74" s="359">
        <v>0.20065197841726601</v>
      </c>
      <c r="W74" s="359">
        <v>0.20065197841726601</v>
      </c>
      <c r="X74" s="359">
        <v>0.45146695143884902</v>
      </c>
      <c r="Y74" s="359">
        <v>0.45146695143884902</v>
      </c>
    </row>
    <row r="75" spans="3:25" x14ac:dyDescent="0.25">
      <c r="D75" s="52"/>
      <c r="E75" s="52"/>
      <c r="F75" s="358" t="s">
        <v>49</v>
      </c>
      <c r="G75" s="12" t="s">
        <v>94</v>
      </c>
      <c r="J75" s="359">
        <v>0.26968503937007898</v>
      </c>
      <c r="K75" s="359">
        <v>0.26968503937007898</v>
      </c>
      <c r="L75" s="359">
        <v>0.26968503937007898</v>
      </c>
      <c r="M75" s="359">
        <v>0.26968503937007898</v>
      </c>
      <c r="N75" s="359">
        <v>0.26968503937007898</v>
      </c>
      <c r="O75" s="359">
        <v>0.26968503937007898</v>
      </c>
      <c r="P75" s="359">
        <v>0</v>
      </c>
      <c r="Q75" s="359">
        <v>0.26968503937007898</v>
      </c>
      <c r="R75" s="359">
        <v>0.26968503937007898</v>
      </c>
      <c r="S75" s="359">
        <v>0.26968503937007898</v>
      </c>
      <c r="T75" s="359">
        <v>0.26968503937007898</v>
      </c>
      <c r="U75" s="359">
        <v>0.26968503937007898</v>
      </c>
      <c r="V75" s="359">
        <v>0.26968503937007898</v>
      </c>
      <c r="W75" s="359">
        <v>0.26968503937007898</v>
      </c>
      <c r="X75" s="359">
        <v>0</v>
      </c>
      <c r="Y75" s="359">
        <v>0</v>
      </c>
    </row>
    <row r="76" spans="3:25" x14ac:dyDescent="0.25">
      <c r="D76" s="52"/>
      <c r="E76" s="52"/>
      <c r="F76" s="360" t="s">
        <v>50</v>
      </c>
      <c r="G76" s="13" t="s">
        <v>94</v>
      </c>
      <c r="H76" s="17"/>
      <c r="I76" s="17"/>
      <c r="J76" s="239">
        <v>0.92371773930088197</v>
      </c>
      <c r="K76" s="239">
        <v>0.92371773930088197</v>
      </c>
      <c r="L76" s="239">
        <v>0.92371773930088197</v>
      </c>
      <c r="M76" s="239">
        <v>0.92371773930088197</v>
      </c>
      <c r="N76" s="239">
        <v>0.92371773930088197</v>
      </c>
      <c r="O76" s="239">
        <v>0</v>
      </c>
      <c r="P76" s="239">
        <v>0</v>
      </c>
      <c r="Q76" s="239">
        <v>0.92371773930088197</v>
      </c>
      <c r="R76" s="239">
        <v>0.92371773930088197</v>
      </c>
      <c r="S76" s="239">
        <v>0</v>
      </c>
      <c r="T76" s="239">
        <v>0.92371773930088197</v>
      </c>
      <c r="U76" s="239">
        <v>0.92371773930088197</v>
      </c>
      <c r="V76" s="239">
        <v>0</v>
      </c>
      <c r="W76" s="239">
        <v>0</v>
      </c>
      <c r="X76" s="239">
        <v>0</v>
      </c>
      <c r="Y76" s="239">
        <v>0</v>
      </c>
    </row>
    <row r="77" spans="3:25" x14ac:dyDescent="0.25">
      <c r="C77" s="52"/>
      <c r="D77" s="52"/>
      <c r="J77" s="198"/>
      <c r="K77" s="198"/>
      <c r="L77" s="198"/>
      <c r="M77" s="198"/>
      <c r="N77" s="198"/>
      <c r="O77" s="198"/>
      <c r="P77" s="198"/>
      <c r="Q77" s="198"/>
      <c r="R77" s="198"/>
      <c r="S77" s="198"/>
      <c r="T77" s="198"/>
      <c r="U77" s="198"/>
      <c r="V77" s="198"/>
      <c r="W77" s="198"/>
      <c r="X77" s="198"/>
      <c r="Y77" s="198"/>
    </row>
    <row r="78" spans="3:25" x14ac:dyDescent="0.25">
      <c r="E78" s="12" t="s">
        <v>143</v>
      </c>
      <c r="F78" s="12"/>
      <c r="G78" s="12" t="s">
        <v>427</v>
      </c>
      <c r="J78" s="359">
        <f>'Pseudo-load coefficients'!J267</f>
        <v>1.7866084731825835</v>
      </c>
      <c r="K78" s="359">
        <f>'Pseudo-load coefficients'!K267</f>
        <v>1.7866084731825835</v>
      </c>
      <c r="L78" s="359">
        <f>'Pseudo-load coefficients'!L267</f>
        <v>1.6390346750469593</v>
      </c>
      <c r="M78" s="359">
        <f>'Pseudo-load coefficients'!M267</f>
        <v>1.6390346750469593</v>
      </c>
      <c r="N78" s="359">
        <f>'Pseudo-load coefficients'!N267</f>
        <v>1.4448462929475587</v>
      </c>
      <c r="O78" s="359">
        <f>'Pseudo-load coefficients'!O267</f>
        <v>1.2222222222222219</v>
      </c>
      <c r="P78" s="359">
        <f>'Pseudo-load coefficients'!P267</f>
        <v>1.1830601092896176</v>
      </c>
      <c r="Q78" s="359">
        <f>'Pseudo-load coefficients'!Q267</f>
        <v>1.912560721721027</v>
      </c>
      <c r="R78" s="359">
        <f>'Pseudo-load coefficients'!R267</f>
        <v>1</v>
      </c>
      <c r="S78" s="359">
        <f>'Pseudo-load coefficients'!S267</f>
        <v>1</v>
      </c>
      <c r="T78" s="359">
        <f>'Pseudo-load coefficients'!T267</f>
        <v>1</v>
      </c>
      <c r="U78" s="359">
        <f>'Pseudo-load coefficients'!U267</f>
        <v>1</v>
      </c>
      <c r="V78" s="359">
        <f>'Pseudo-load coefficients'!V267</f>
        <v>1</v>
      </c>
      <c r="W78" s="359">
        <f>'Pseudo-load coefficients'!W267</f>
        <v>1</v>
      </c>
      <c r="X78" s="359">
        <f>'Pseudo-load coefficients'!X267</f>
        <v>1</v>
      </c>
      <c r="Y78" s="359">
        <f>'Pseudo-load coefficients'!Y267</f>
        <v>1</v>
      </c>
    </row>
    <row r="79" spans="3:25" x14ac:dyDescent="0.25">
      <c r="D79" s="52"/>
      <c r="J79" s="198"/>
      <c r="K79" s="198"/>
      <c r="L79" s="198"/>
      <c r="M79" s="198"/>
      <c r="N79" s="198"/>
      <c r="O79" s="198"/>
      <c r="P79" s="198"/>
      <c r="Q79" s="198"/>
      <c r="R79" s="198"/>
      <c r="S79" s="198"/>
      <c r="T79" s="198"/>
      <c r="U79" s="198"/>
      <c r="V79" s="198"/>
      <c r="W79" s="198"/>
      <c r="X79" s="198"/>
      <c r="Y79" s="198"/>
    </row>
    <row r="80" spans="3:25" x14ac:dyDescent="0.25">
      <c r="E80" s="52" t="s">
        <v>248</v>
      </c>
      <c r="J80" s="198"/>
      <c r="K80" s="198"/>
      <c r="L80" s="198"/>
      <c r="M80" s="198"/>
      <c r="N80" s="198"/>
      <c r="O80" s="198"/>
      <c r="P80" s="198"/>
      <c r="Q80" s="198"/>
      <c r="R80" s="198"/>
      <c r="S80" s="198"/>
      <c r="T80" s="198"/>
      <c r="U80" s="198"/>
      <c r="V80" s="198"/>
      <c r="W80" s="198"/>
      <c r="X80" s="198"/>
      <c r="Y80" s="198"/>
    </row>
    <row r="81" spans="5:25" x14ac:dyDescent="0.25">
      <c r="E81" s="52"/>
      <c r="F81" s="357" t="s">
        <v>267</v>
      </c>
      <c r="G81" s="14" t="s">
        <v>427</v>
      </c>
      <c r="H81" s="80"/>
      <c r="I81" s="80"/>
      <c r="J81" s="472">
        <f>'Pseudo-load coefficients'!J272</f>
        <v>10.512574977414495</v>
      </c>
      <c r="K81" s="472">
        <f>'Pseudo-load coefficients'!K272</f>
        <v>10.512574977414495</v>
      </c>
      <c r="L81" s="472">
        <f>'Pseudo-load coefficients'!L272</f>
        <v>12.688461276539131</v>
      </c>
      <c r="M81" s="472">
        <f>'Pseudo-load coefficients'!M272</f>
        <v>12.688461276539131</v>
      </c>
      <c r="N81" s="472">
        <f>'Pseudo-load coefficients'!N272</f>
        <v>10.716365168209068</v>
      </c>
      <c r="O81" s="472">
        <f>'Pseudo-load coefficients'!O272</f>
        <v>9.3924982174489706</v>
      </c>
      <c r="P81" s="472">
        <f>'Pseudo-load coefficients'!P272</f>
        <v>9.3906606638031285</v>
      </c>
      <c r="Q81" s="472">
        <f>'Pseudo-load coefficients'!Q272</f>
        <v>25.679917661753063</v>
      </c>
      <c r="R81" s="472">
        <f>'Pseudo-load coefficients'!R272</f>
        <v>8.268720323645887</v>
      </c>
      <c r="S81" s="472">
        <f>'Pseudo-load coefficients'!S272</f>
        <v>8.268720323645887</v>
      </c>
      <c r="T81" s="472">
        <f>'Pseudo-load coefficients'!T272</f>
        <v>8.268720323645887</v>
      </c>
      <c r="U81" s="472">
        <f>'Pseudo-load coefficients'!U272</f>
        <v>8.268720323645887</v>
      </c>
      <c r="V81" s="472">
        <f>'Pseudo-load coefficients'!V272</f>
        <v>8.268720323645887</v>
      </c>
      <c r="W81" s="472">
        <f>'Pseudo-load coefficients'!W272</f>
        <v>8.268720323645887</v>
      </c>
      <c r="X81" s="472">
        <f>'Pseudo-load coefficients'!X272</f>
        <v>8.268720323645887</v>
      </c>
      <c r="Y81" s="472">
        <f>'Pseudo-load coefficients'!Y272</f>
        <v>8.268720323645887</v>
      </c>
    </row>
    <row r="82" spans="5:25" x14ac:dyDescent="0.25">
      <c r="E82" s="52"/>
      <c r="F82" s="358" t="s">
        <v>43</v>
      </c>
      <c r="G82" s="12" t="s">
        <v>427</v>
      </c>
      <c r="J82" s="359">
        <f>'Pseudo-load coefficients'!J272</f>
        <v>10.512574977414495</v>
      </c>
      <c r="K82" s="359">
        <f>'Pseudo-load coefficients'!K272</f>
        <v>10.512574977414495</v>
      </c>
      <c r="L82" s="359">
        <f>'Pseudo-load coefficients'!L272</f>
        <v>12.688461276539131</v>
      </c>
      <c r="M82" s="359">
        <f>'Pseudo-load coefficients'!M272</f>
        <v>12.688461276539131</v>
      </c>
      <c r="N82" s="359">
        <f>'Pseudo-load coefficients'!N272</f>
        <v>10.716365168209068</v>
      </c>
      <c r="O82" s="359">
        <f>'Pseudo-load coefficients'!O272</f>
        <v>9.3924982174489706</v>
      </c>
      <c r="P82" s="359">
        <f>'Pseudo-load coefficients'!P272</f>
        <v>9.3906606638031285</v>
      </c>
      <c r="Q82" s="359">
        <f>'Pseudo-load coefficients'!Q272</f>
        <v>25.679917661753063</v>
      </c>
      <c r="R82" s="359">
        <f>'Pseudo-load coefficients'!R272</f>
        <v>8.268720323645887</v>
      </c>
      <c r="S82" s="359">
        <f>'Pseudo-load coefficients'!S272</f>
        <v>8.268720323645887</v>
      </c>
      <c r="T82" s="359">
        <f>'Pseudo-load coefficients'!T272</f>
        <v>8.268720323645887</v>
      </c>
      <c r="U82" s="359">
        <f>'Pseudo-load coefficients'!U272</f>
        <v>8.268720323645887</v>
      </c>
      <c r="V82" s="359">
        <f>'Pseudo-load coefficients'!V272</f>
        <v>8.268720323645887</v>
      </c>
      <c r="W82" s="359">
        <f>'Pseudo-load coefficients'!W272</f>
        <v>8.268720323645887</v>
      </c>
      <c r="X82" s="359">
        <f>'Pseudo-load coefficients'!X272</f>
        <v>8.268720323645887</v>
      </c>
      <c r="Y82" s="359">
        <f>'Pseudo-load coefficients'!Y272</f>
        <v>8.268720323645887</v>
      </c>
    </row>
    <row r="83" spans="5:25" x14ac:dyDescent="0.25">
      <c r="E83" s="52"/>
      <c r="F83" s="358" t="s">
        <v>44</v>
      </c>
      <c r="G83" s="12" t="s">
        <v>427</v>
      </c>
      <c r="J83" s="359">
        <f>'Pseudo-load coefficients'!J273</f>
        <v>0</v>
      </c>
      <c r="K83" s="359">
        <f>'Pseudo-load coefficients'!K273</f>
        <v>0</v>
      </c>
      <c r="L83" s="359">
        <f>'Pseudo-load coefficients'!L273</f>
        <v>0</v>
      </c>
      <c r="M83" s="359">
        <f>'Pseudo-load coefficients'!M273</f>
        <v>0</v>
      </c>
      <c r="N83" s="359">
        <f>'Pseudo-load coefficients'!N273</f>
        <v>0</v>
      </c>
      <c r="O83" s="359">
        <f>'Pseudo-load coefficients'!O273</f>
        <v>0</v>
      </c>
      <c r="P83" s="359">
        <f>'Pseudo-load coefficients'!P273</f>
        <v>0</v>
      </c>
      <c r="Q83" s="359">
        <f>'Pseudo-load coefficients'!Q273</f>
        <v>0</v>
      </c>
      <c r="R83" s="359">
        <f>'Pseudo-load coefficients'!R273</f>
        <v>0</v>
      </c>
      <c r="S83" s="359">
        <f>'Pseudo-load coefficients'!S273</f>
        <v>0</v>
      </c>
      <c r="T83" s="359">
        <f>'Pseudo-load coefficients'!T273</f>
        <v>0</v>
      </c>
      <c r="U83" s="359">
        <f>'Pseudo-load coefficients'!U273</f>
        <v>0</v>
      </c>
      <c r="V83" s="359">
        <f>'Pseudo-load coefficients'!V273</f>
        <v>0</v>
      </c>
      <c r="W83" s="359">
        <f>'Pseudo-load coefficients'!W273</f>
        <v>0</v>
      </c>
      <c r="X83" s="359">
        <f>'Pseudo-load coefficients'!X273</f>
        <v>0</v>
      </c>
      <c r="Y83" s="359">
        <f>'Pseudo-load coefficients'!Y273</f>
        <v>0</v>
      </c>
    </row>
    <row r="84" spans="5:25" x14ac:dyDescent="0.25">
      <c r="E84" s="52"/>
      <c r="F84" s="358" t="s">
        <v>45</v>
      </c>
      <c r="G84" s="12" t="s">
        <v>427</v>
      </c>
      <c r="J84" s="359">
        <f>'Pseudo-load coefficients'!J274</f>
        <v>0</v>
      </c>
      <c r="K84" s="359">
        <f>'Pseudo-load coefficients'!K274</f>
        <v>0</v>
      </c>
      <c r="L84" s="359">
        <f>'Pseudo-load coefficients'!L274</f>
        <v>0</v>
      </c>
      <c r="M84" s="359">
        <f>'Pseudo-load coefficients'!M274</f>
        <v>0</v>
      </c>
      <c r="N84" s="359">
        <f>'Pseudo-load coefficients'!N274</f>
        <v>0</v>
      </c>
      <c r="O84" s="359">
        <f>'Pseudo-load coefficients'!O274</f>
        <v>0</v>
      </c>
      <c r="P84" s="359">
        <f>'Pseudo-load coefficients'!P274</f>
        <v>0</v>
      </c>
      <c r="Q84" s="359">
        <f>'Pseudo-load coefficients'!Q274</f>
        <v>0</v>
      </c>
      <c r="R84" s="359">
        <f>'Pseudo-load coefficients'!R274</f>
        <v>0</v>
      </c>
      <c r="S84" s="359">
        <f>'Pseudo-load coefficients'!S274</f>
        <v>0</v>
      </c>
      <c r="T84" s="359">
        <f>'Pseudo-load coefficients'!T274</f>
        <v>0</v>
      </c>
      <c r="U84" s="359">
        <f>'Pseudo-load coefficients'!U274</f>
        <v>0</v>
      </c>
      <c r="V84" s="359">
        <f>'Pseudo-load coefficients'!V274</f>
        <v>0</v>
      </c>
      <c r="W84" s="359">
        <f>'Pseudo-load coefficients'!W274</f>
        <v>0</v>
      </c>
      <c r="X84" s="359">
        <f>'Pseudo-load coefficients'!X274</f>
        <v>0</v>
      </c>
      <c r="Y84" s="359">
        <f>'Pseudo-load coefficients'!Y274</f>
        <v>0</v>
      </c>
    </row>
    <row r="85" spans="5:25" x14ac:dyDescent="0.25">
      <c r="E85" s="52"/>
      <c r="F85" s="358" t="s">
        <v>46</v>
      </c>
      <c r="G85" s="12" t="s">
        <v>427</v>
      </c>
      <c r="J85" s="359">
        <f>'Pseudo-load coefficients'!J275</f>
        <v>10.512574977414495</v>
      </c>
      <c r="K85" s="359">
        <f>'Pseudo-load coefficients'!K275</f>
        <v>10.512574977414495</v>
      </c>
      <c r="L85" s="359">
        <f>'Pseudo-load coefficients'!L275</f>
        <v>12.688461276539131</v>
      </c>
      <c r="M85" s="359">
        <f>'Pseudo-load coefficients'!M275</f>
        <v>12.688461276539131</v>
      </c>
      <c r="N85" s="359">
        <f>'Pseudo-load coefficients'!N275</f>
        <v>10.716365168209068</v>
      </c>
      <c r="O85" s="359">
        <f>'Pseudo-load coefficients'!O275</f>
        <v>9.3924982174489706</v>
      </c>
      <c r="P85" s="359">
        <f>'Pseudo-load coefficients'!P275</f>
        <v>9.3906606638031285</v>
      </c>
      <c r="Q85" s="359">
        <f>'Pseudo-load coefficients'!Q275</f>
        <v>25.679917661753063</v>
      </c>
      <c r="R85" s="359">
        <f>'Pseudo-load coefficients'!R275</f>
        <v>8.268720323645887</v>
      </c>
      <c r="S85" s="359">
        <f>'Pseudo-load coefficients'!S275</f>
        <v>8.268720323645887</v>
      </c>
      <c r="T85" s="359">
        <f>'Pseudo-load coefficients'!T275</f>
        <v>8.268720323645887</v>
      </c>
      <c r="U85" s="359">
        <f>'Pseudo-load coefficients'!U275</f>
        <v>8.268720323645887</v>
      </c>
      <c r="V85" s="359">
        <f>'Pseudo-load coefficients'!V275</f>
        <v>8.268720323645887</v>
      </c>
      <c r="W85" s="359">
        <f>'Pseudo-load coefficients'!W275</f>
        <v>8.268720323645887</v>
      </c>
      <c r="X85" s="359">
        <f>'Pseudo-load coefficients'!X275</f>
        <v>8.268720323645887</v>
      </c>
      <c r="Y85" s="359">
        <f>'Pseudo-load coefficients'!Y275</f>
        <v>8.268720323645887</v>
      </c>
    </row>
    <row r="86" spans="5:25" x14ac:dyDescent="0.25">
      <c r="E86" s="52"/>
      <c r="F86" s="358" t="s">
        <v>47</v>
      </c>
      <c r="G86" s="12" t="s">
        <v>427</v>
      </c>
      <c r="J86" s="359">
        <f>'Pseudo-load coefficients'!J276</f>
        <v>8.4702749127750003</v>
      </c>
      <c r="K86" s="359">
        <f>'Pseudo-load coefficients'!K276</f>
        <v>8.4702749127750003</v>
      </c>
      <c r="L86" s="359">
        <f>'Pseudo-load coefficients'!L276</f>
        <v>10.223447201402905</v>
      </c>
      <c r="M86" s="359">
        <f>'Pseudo-load coefficients'!M276</f>
        <v>10.223447201402905</v>
      </c>
      <c r="N86" s="359">
        <f>'Pseudo-load coefficients'!N276</f>
        <v>8.6344743543262297</v>
      </c>
      <c r="O86" s="359">
        <f>'Pseudo-load coefficients'!O276</f>
        <v>7.5677978221762459</v>
      </c>
      <c r="P86" s="359">
        <f>'Pseudo-load coefficients'!P276</f>
        <v>7.5663172539443249</v>
      </c>
      <c r="Q86" s="359">
        <f>'Pseudo-load coefficients'!Q276</f>
        <v>21.674072873739892</v>
      </c>
      <c r="R86" s="359">
        <f>'Pseudo-load coefficients'!R276</f>
        <v>6.6623386247996148</v>
      </c>
      <c r="S86" s="359">
        <f>'Pseudo-load coefficients'!S276</f>
        <v>6.6623386247996148</v>
      </c>
      <c r="T86" s="359">
        <f>'Pseudo-load coefficients'!T276</f>
        <v>6.6623386247996148</v>
      </c>
      <c r="U86" s="359">
        <f>'Pseudo-load coefficients'!U276</f>
        <v>6.6623386247996148</v>
      </c>
      <c r="V86" s="359">
        <f>'Pseudo-load coefficients'!V276</f>
        <v>6.6623386247996148</v>
      </c>
      <c r="W86" s="359">
        <f>'Pseudo-load coefficients'!W276</f>
        <v>6.6623386247996148</v>
      </c>
      <c r="X86" s="359">
        <f>'Pseudo-load coefficients'!X276</f>
        <v>6.6623386247996148</v>
      </c>
      <c r="Y86" s="359">
        <f>'Pseudo-load coefficients'!Y276</f>
        <v>6.6623386247996148</v>
      </c>
    </row>
    <row r="87" spans="5:25" x14ac:dyDescent="0.25">
      <c r="E87" s="52"/>
      <c r="F87" s="358" t="s">
        <v>51</v>
      </c>
      <c r="G87" s="12" t="s">
        <v>427</v>
      </c>
      <c r="J87" s="359">
        <f>'Pseudo-load coefficients'!J277</f>
        <v>0</v>
      </c>
      <c r="K87" s="359">
        <f>'Pseudo-load coefficients'!K277</f>
        <v>0</v>
      </c>
      <c r="L87" s="359">
        <f>'Pseudo-load coefficients'!L277</f>
        <v>0</v>
      </c>
      <c r="M87" s="359">
        <f>'Pseudo-load coefficients'!M277</f>
        <v>0</v>
      </c>
      <c r="N87" s="359">
        <f>'Pseudo-load coefficients'!N277</f>
        <v>0</v>
      </c>
      <c r="O87" s="359">
        <f>'Pseudo-load coefficients'!O277</f>
        <v>0</v>
      </c>
      <c r="P87" s="359">
        <f>'Pseudo-load coefficients'!P277</f>
        <v>0</v>
      </c>
      <c r="Q87" s="359">
        <f>'Pseudo-load coefficients'!Q277</f>
        <v>0</v>
      </c>
      <c r="R87" s="359">
        <f>'Pseudo-load coefficients'!R277</f>
        <v>0</v>
      </c>
      <c r="S87" s="359">
        <f>'Pseudo-load coefficients'!S277</f>
        <v>0</v>
      </c>
      <c r="T87" s="359">
        <f>'Pseudo-load coefficients'!T277</f>
        <v>0</v>
      </c>
      <c r="U87" s="359">
        <f>'Pseudo-load coefficients'!U277</f>
        <v>0</v>
      </c>
      <c r="V87" s="359">
        <f>'Pseudo-load coefficients'!V277</f>
        <v>0</v>
      </c>
      <c r="W87" s="359">
        <f>'Pseudo-load coefficients'!W277</f>
        <v>0</v>
      </c>
      <c r="X87" s="359">
        <f>'Pseudo-load coefficients'!X277</f>
        <v>0</v>
      </c>
      <c r="Y87" s="359">
        <f>'Pseudo-load coefficients'!Y277</f>
        <v>0</v>
      </c>
    </row>
    <row r="88" spans="5:25" x14ac:dyDescent="0.25">
      <c r="E88" s="52"/>
      <c r="F88" s="358" t="s">
        <v>48</v>
      </c>
      <c r="G88" s="12" t="s">
        <v>427</v>
      </c>
      <c r="J88" s="359">
        <f>'Pseudo-load coefficients'!J278</f>
        <v>8.4702749127750003</v>
      </c>
      <c r="K88" s="359">
        <f>'Pseudo-load coefficients'!K278</f>
        <v>8.4702749127750003</v>
      </c>
      <c r="L88" s="359">
        <f>'Pseudo-load coefficients'!L278</f>
        <v>10.223447201402905</v>
      </c>
      <c r="M88" s="359">
        <f>'Pseudo-load coefficients'!M278</f>
        <v>10.223447201402905</v>
      </c>
      <c r="N88" s="359">
        <f>'Pseudo-load coefficients'!N278</f>
        <v>8.6344743543262297</v>
      </c>
      <c r="O88" s="359">
        <f>'Pseudo-load coefficients'!O278</f>
        <v>7.5677978221762459</v>
      </c>
      <c r="P88" s="359">
        <f>'Pseudo-load coefficients'!P278</f>
        <v>7.5663172539443249</v>
      </c>
      <c r="Q88" s="359">
        <f>'Pseudo-load coefficients'!Q278</f>
        <v>21.674072873739892</v>
      </c>
      <c r="R88" s="359">
        <f>'Pseudo-load coefficients'!R278</f>
        <v>6.6623386247996148</v>
      </c>
      <c r="S88" s="359">
        <f>'Pseudo-load coefficients'!S278</f>
        <v>6.6623386247996148</v>
      </c>
      <c r="T88" s="359">
        <f>'Pseudo-load coefficients'!T278</f>
        <v>6.6623386247996148</v>
      </c>
      <c r="U88" s="359">
        <f>'Pseudo-load coefficients'!U278</f>
        <v>6.6623386247996148</v>
      </c>
      <c r="V88" s="359">
        <f>'Pseudo-load coefficients'!V278</f>
        <v>6.6623386247996148</v>
      </c>
      <c r="W88" s="359">
        <f>'Pseudo-load coefficients'!W278</f>
        <v>6.6623386247996148</v>
      </c>
      <c r="X88" s="359">
        <f>'Pseudo-load coefficients'!X278</f>
        <v>6.6623386247996148</v>
      </c>
      <c r="Y88" s="359">
        <f>'Pseudo-load coefficients'!Y278</f>
        <v>6.6623386247996148</v>
      </c>
    </row>
    <row r="89" spans="5:25" x14ac:dyDescent="0.25">
      <c r="E89" s="52"/>
      <c r="F89" s="358" t="s">
        <v>49</v>
      </c>
      <c r="G89" s="12" t="s">
        <v>427</v>
      </c>
      <c r="J89" s="359">
        <f>'Pseudo-load coefficients'!J279</f>
        <v>8.4702749127750003</v>
      </c>
      <c r="K89" s="359">
        <f>'Pseudo-load coefficients'!K279</f>
        <v>8.4702749127750003</v>
      </c>
      <c r="L89" s="359">
        <f>'Pseudo-load coefficients'!L279</f>
        <v>10.223447201402905</v>
      </c>
      <c r="M89" s="359">
        <f>'Pseudo-load coefficients'!M279</f>
        <v>10.223447201402905</v>
      </c>
      <c r="N89" s="359">
        <f>'Pseudo-load coefficients'!N279</f>
        <v>8.6344743543262297</v>
      </c>
      <c r="O89" s="359">
        <f>'Pseudo-load coefficients'!O279</f>
        <v>7.5677978221762459</v>
      </c>
      <c r="P89" s="359">
        <f>'Pseudo-load coefficients'!P279</f>
        <v>7.5663172539443249</v>
      </c>
      <c r="Q89" s="359">
        <f>'Pseudo-load coefficients'!Q279</f>
        <v>21.674072873739892</v>
      </c>
      <c r="R89" s="359">
        <f>'Pseudo-load coefficients'!R279</f>
        <v>6.6623386247996148</v>
      </c>
      <c r="S89" s="359">
        <f>'Pseudo-load coefficients'!S279</f>
        <v>6.6623386247996148</v>
      </c>
      <c r="T89" s="359">
        <f>'Pseudo-load coefficients'!T279</f>
        <v>6.6623386247996148</v>
      </c>
      <c r="U89" s="359">
        <f>'Pseudo-load coefficients'!U279</f>
        <v>6.6623386247996148</v>
      </c>
      <c r="V89" s="359">
        <f>'Pseudo-load coefficients'!V279</f>
        <v>6.6623386247996148</v>
      </c>
      <c r="W89" s="359">
        <f>'Pseudo-load coefficients'!W279</f>
        <v>6.6623386247996148</v>
      </c>
      <c r="X89" s="359">
        <f>'Pseudo-load coefficients'!X279</f>
        <v>6.6623386247996148</v>
      </c>
      <c r="Y89" s="359">
        <f>'Pseudo-load coefficients'!Y279</f>
        <v>6.6623386247996148</v>
      </c>
    </row>
    <row r="90" spans="5:25" x14ac:dyDescent="0.25">
      <c r="E90" s="52"/>
      <c r="F90" s="360" t="s">
        <v>50</v>
      </c>
      <c r="G90" s="13" t="s">
        <v>427</v>
      </c>
      <c r="H90" s="17"/>
      <c r="I90" s="17"/>
      <c r="J90" s="239">
        <f>'Pseudo-load coefficients'!J280</f>
        <v>8.4702749127750003</v>
      </c>
      <c r="K90" s="239">
        <f>'Pseudo-load coefficients'!K280</f>
        <v>8.4702749127750003</v>
      </c>
      <c r="L90" s="239">
        <f>'Pseudo-load coefficients'!L280</f>
        <v>10.223447201402905</v>
      </c>
      <c r="M90" s="239">
        <f>'Pseudo-load coefficients'!M280</f>
        <v>10.223447201402905</v>
      </c>
      <c r="N90" s="239">
        <f>'Pseudo-load coefficients'!N280</f>
        <v>8.6344743543262297</v>
      </c>
      <c r="O90" s="239">
        <f>'Pseudo-load coefficients'!O280</f>
        <v>7.5677978221762459</v>
      </c>
      <c r="P90" s="239">
        <f>'Pseudo-load coefficients'!P280</f>
        <v>7.5663172539443249</v>
      </c>
      <c r="Q90" s="239">
        <f>'Pseudo-load coefficients'!Q280</f>
        <v>21.674072873739892</v>
      </c>
      <c r="R90" s="239">
        <f>'Pseudo-load coefficients'!R280</f>
        <v>6.6623386247996148</v>
      </c>
      <c r="S90" s="239">
        <f>'Pseudo-load coefficients'!S280</f>
        <v>6.6623386247996148</v>
      </c>
      <c r="T90" s="239">
        <f>'Pseudo-load coefficients'!T280</f>
        <v>6.6623386247996148</v>
      </c>
      <c r="U90" s="239">
        <f>'Pseudo-load coefficients'!U280</f>
        <v>6.6623386247996148</v>
      </c>
      <c r="V90" s="239">
        <f>'Pseudo-load coefficients'!V280</f>
        <v>6.6623386247996148</v>
      </c>
      <c r="W90" s="239">
        <f>'Pseudo-load coefficients'!W280</f>
        <v>6.6623386247996148</v>
      </c>
      <c r="X90" s="239">
        <f>'Pseudo-load coefficients'!X280</f>
        <v>6.6623386247996148</v>
      </c>
      <c r="Y90" s="239">
        <f>'Pseudo-load coefficients'!Y280</f>
        <v>6.6623386247996148</v>
      </c>
    </row>
    <row r="91" spans="5:25" x14ac:dyDescent="0.25">
      <c r="E91" s="52"/>
      <c r="J91" s="198"/>
      <c r="K91" s="198"/>
      <c r="L91" s="198"/>
      <c r="M91" s="198"/>
      <c r="N91" s="198"/>
      <c r="O91" s="198"/>
      <c r="P91" s="198"/>
      <c r="Q91" s="198"/>
      <c r="R91" s="198"/>
      <c r="S91" s="198"/>
      <c r="T91" s="198"/>
      <c r="U91" s="198"/>
      <c r="V91" s="198"/>
      <c r="W91" s="198"/>
      <c r="X91" s="198"/>
      <c r="Y91" s="198"/>
    </row>
    <row r="92" spans="5:25" x14ac:dyDescent="0.25">
      <c r="E92" s="52" t="s">
        <v>249</v>
      </c>
      <c r="J92" s="198"/>
      <c r="K92" s="198"/>
      <c r="L92" s="198"/>
      <c r="M92" s="198"/>
      <c r="N92" s="198"/>
      <c r="O92" s="198"/>
      <c r="P92" s="198"/>
      <c r="Q92" s="198"/>
      <c r="R92" s="198"/>
      <c r="S92" s="198"/>
      <c r="T92" s="198"/>
      <c r="U92" s="198"/>
      <c r="V92" s="198"/>
      <c r="W92" s="198"/>
      <c r="X92" s="198"/>
      <c r="Y92" s="198"/>
    </row>
    <row r="93" spans="5:25" x14ac:dyDescent="0.25">
      <c r="E93" s="52"/>
      <c r="F93" s="357" t="s">
        <v>267</v>
      </c>
      <c r="G93" s="14" t="s">
        <v>427</v>
      </c>
      <c r="H93" s="80"/>
      <c r="I93" s="80"/>
      <c r="J93" s="472">
        <f>'Pseudo-load coefficients'!J283</f>
        <v>0.8348510664390576</v>
      </c>
      <c r="K93" s="472">
        <f>'Pseudo-load coefficients'!K283</f>
        <v>0.8348510664390576</v>
      </c>
      <c r="L93" s="472">
        <f>'Pseudo-load coefficients'!L283</f>
        <v>1.0076480263824628</v>
      </c>
      <c r="M93" s="472">
        <f>'Pseudo-load coefficients'!M283</f>
        <v>1.0076480263824628</v>
      </c>
      <c r="N93" s="472">
        <f>'Pseudo-load coefficients'!N283</f>
        <v>0.85103496605263362</v>
      </c>
      <c r="O93" s="472">
        <f>'Pseudo-load coefficients'!O283</f>
        <v>0.74590071131105018</v>
      </c>
      <c r="P93" s="472">
        <f>'Pseudo-load coefficients'!P283</f>
        <v>0.74575478287542285</v>
      </c>
      <c r="Q93" s="472">
        <f>'Pseudo-load coefficients'!Q283</f>
        <v>0.81855783299625506</v>
      </c>
      <c r="R93" s="472">
        <f>'Pseudo-load coefficients'!R283</f>
        <v>0.65665643242621285</v>
      </c>
      <c r="S93" s="472">
        <f>'Pseudo-load coefficients'!S283</f>
        <v>0.65665643242621285</v>
      </c>
      <c r="T93" s="472">
        <f>'Pseudo-load coefficients'!T283</f>
        <v>0.65665643242621285</v>
      </c>
      <c r="U93" s="472">
        <f>'Pseudo-load coefficients'!U283</f>
        <v>0.65665643242621285</v>
      </c>
      <c r="V93" s="472">
        <f>'Pseudo-load coefficients'!V283</f>
        <v>0.65665643242621285</v>
      </c>
      <c r="W93" s="472">
        <f>'Pseudo-load coefficients'!W283</f>
        <v>0.65665643242621285</v>
      </c>
      <c r="X93" s="472">
        <f>'Pseudo-load coefficients'!X283</f>
        <v>0.65665643242621285</v>
      </c>
      <c r="Y93" s="472">
        <f>'Pseudo-load coefficients'!Y283</f>
        <v>0.65665643242621285</v>
      </c>
    </row>
    <row r="94" spans="5:25" x14ac:dyDescent="0.25">
      <c r="E94" s="52"/>
      <c r="F94" s="358" t="s">
        <v>43</v>
      </c>
      <c r="G94" s="12" t="s">
        <v>427</v>
      </c>
      <c r="J94" s="359">
        <f>'Pseudo-load coefficients'!J283</f>
        <v>0.8348510664390576</v>
      </c>
      <c r="K94" s="359">
        <f>'Pseudo-load coefficients'!K283</f>
        <v>0.8348510664390576</v>
      </c>
      <c r="L94" s="359">
        <f>'Pseudo-load coefficients'!L283</f>
        <v>1.0076480263824628</v>
      </c>
      <c r="M94" s="359">
        <f>'Pseudo-load coefficients'!M283</f>
        <v>1.0076480263824628</v>
      </c>
      <c r="N94" s="359">
        <f>'Pseudo-load coefficients'!N283</f>
        <v>0.85103496605263362</v>
      </c>
      <c r="O94" s="359">
        <f>'Pseudo-load coefficients'!O283</f>
        <v>0.74590071131105018</v>
      </c>
      <c r="P94" s="359">
        <f>'Pseudo-load coefficients'!P283</f>
        <v>0.74575478287542285</v>
      </c>
      <c r="Q94" s="359">
        <f>'Pseudo-load coefficients'!Q283</f>
        <v>0.81855783299625506</v>
      </c>
      <c r="R94" s="359">
        <f>'Pseudo-load coefficients'!R283</f>
        <v>0.65665643242621285</v>
      </c>
      <c r="S94" s="359">
        <f>'Pseudo-load coefficients'!S283</f>
        <v>0.65665643242621285</v>
      </c>
      <c r="T94" s="359">
        <f>'Pseudo-load coefficients'!T283</f>
        <v>0.65665643242621285</v>
      </c>
      <c r="U94" s="359">
        <f>'Pseudo-load coefficients'!U283</f>
        <v>0.65665643242621285</v>
      </c>
      <c r="V94" s="359">
        <f>'Pseudo-load coefficients'!V283</f>
        <v>0.65665643242621285</v>
      </c>
      <c r="W94" s="359">
        <f>'Pseudo-load coefficients'!W283</f>
        <v>0.65665643242621285</v>
      </c>
      <c r="X94" s="359">
        <f>'Pseudo-load coefficients'!X283</f>
        <v>0.65665643242621285</v>
      </c>
      <c r="Y94" s="359">
        <f>'Pseudo-load coefficients'!Y283</f>
        <v>0.65665643242621285</v>
      </c>
    </row>
    <row r="95" spans="5:25" x14ac:dyDescent="0.25">
      <c r="E95" s="52"/>
      <c r="F95" s="358" t="s">
        <v>44</v>
      </c>
      <c r="G95" s="12" t="s">
        <v>427</v>
      </c>
      <c r="J95" s="359">
        <f>'Pseudo-load coefficients'!J284</f>
        <v>0</v>
      </c>
      <c r="K95" s="359">
        <f>'Pseudo-load coefficients'!K284</f>
        <v>0</v>
      </c>
      <c r="L95" s="359">
        <f>'Pseudo-load coefficients'!L284</f>
        <v>0</v>
      </c>
      <c r="M95" s="359">
        <f>'Pseudo-load coefficients'!M284</f>
        <v>0</v>
      </c>
      <c r="N95" s="359">
        <f>'Pseudo-load coefficients'!N284</f>
        <v>0</v>
      </c>
      <c r="O95" s="359">
        <f>'Pseudo-load coefficients'!O284</f>
        <v>0</v>
      </c>
      <c r="P95" s="359">
        <f>'Pseudo-load coefficients'!P284</f>
        <v>0</v>
      </c>
      <c r="Q95" s="359">
        <f>'Pseudo-load coefficients'!Q284</f>
        <v>0</v>
      </c>
      <c r="R95" s="359">
        <f>'Pseudo-load coefficients'!R284</f>
        <v>0</v>
      </c>
      <c r="S95" s="359">
        <f>'Pseudo-load coefficients'!S284</f>
        <v>0</v>
      </c>
      <c r="T95" s="359">
        <f>'Pseudo-load coefficients'!T284</f>
        <v>0</v>
      </c>
      <c r="U95" s="359">
        <f>'Pseudo-load coefficients'!U284</f>
        <v>0</v>
      </c>
      <c r="V95" s="359">
        <f>'Pseudo-load coefficients'!V284</f>
        <v>0</v>
      </c>
      <c r="W95" s="359">
        <f>'Pseudo-load coefficients'!W284</f>
        <v>0</v>
      </c>
      <c r="X95" s="359">
        <f>'Pseudo-load coefficients'!X284</f>
        <v>0</v>
      </c>
      <c r="Y95" s="359">
        <f>'Pseudo-load coefficients'!Y284</f>
        <v>0</v>
      </c>
    </row>
    <row r="96" spans="5:25" x14ac:dyDescent="0.25">
      <c r="E96" s="52"/>
      <c r="F96" s="358" t="s">
        <v>45</v>
      </c>
      <c r="G96" s="12" t="s">
        <v>427</v>
      </c>
      <c r="J96" s="359">
        <f>'Pseudo-load coefficients'!J285</f>
        <v>0</v>
      </c>
      <c r="K96" s="359">
        <f>'Pseudo-load coefficients'!K285</f>
        <v>0</v>
      </c>
      <c r="L96" s="359">
        <f>'Pseudo-load coefficients'!L285</f>
        <v>0</v>
      </c>
      <c r="M96" s="359">
        <f>'Pseudo-load coefficients'!M285</f>
        <v>0</v>
      </c>
      <c r="N96" s="359">
        <f>'Pseudo-load coefficients'!N285</f>
        <v>0</v>
      </c>
      <c r="O96" s="359">
        <f>'Pseudo-load coefficients'!O285</f>
        <v>0</v>
      </c>
      <c r="P96" s="359">
        <f>'Pseudo-load coefficients'!P285</f>
        <v>0</v>
      </c>
      <c r="Q96" s="359">
        <f>'Pseudo-load coefficients'!Q285</f>
        <v>0</v>
      </c>
      <c r="R96" s="359">
        <f>'Pseudo-load coefficients'!R285</f>
        <v>0</v>
      </c>
      <c r="S96" s="359">
        <f>'Pseudo-load coefficients'!S285</f>
        <v>0</v>
      </c>
      <c r="T96" s="359">
        <f>'Pseudo-load coefficients'!T285</f>
        <v>0</v>
      </c>
      <c r="U96" s="359">
        <f>'Pseudo-load coefficients'!U285</f>
        <v>0</v>
      </c>
      <c r="V96" s="359">
        <f>'Pseudo-load coefficients'!V285</f>
        <v>0</v>
      </c>
      <c r="W96" s="359">
        <f>'Pseudo-load coefficients'!W285</f>
        <v>0</v>
      </c>
      <c r="X96" s="359">
        <f>'Pseudo-load coefficients'!X285</f>
        <v>0</v>
      </c>
      <c r="Y96" s="359">
        <f>'Pseudo-load coefficients'!Y285</f>
        <v>0</v>
      </c>
    </row>
    <row r="97" spans="3:25" x14ac:dyDescent="0.25">
      <c r="E97" s="52"/>
      <c r="F97" s="358" t="s">
        <v>46</v>
      </c>
      <c r="G97" s="12" t="s">
        <v>427</v>
      </c>
      <c r="J97" s="359">
        <f>'Pseudo-load coefficients'!J286</f>
        <v>0.8348510664390576</v>
      </c>
      <c r="K97" s="359">
        <f>'Pseudo-load coefficients'!K286</f>
        <v>0.8348510664390576</v>
      </c>
      <c r="L97" s="359">
        <f>'Pseudo-load coefficients'!L286</f>
        <v>1.0076480263824628</v>
      </c>
      <c r="M97" s="359">
        <f>'Pseudo-load coefficients'!M286</f>
        <v>1.0076480263824628</v>
      </c>
      <c r="N97" s="359">
        <f>'Pseudo-load coefficients'!N286</f>
        <v>0.85103496605263362</v>
      </c>
      <c r="O97" s="359">
        <f>'Pseudo-load coefficients'!O286</f>
        <v>0.74590071131105018</v>
      </c>
      <c r="P97" s="359">
        <f>'Pseudo-load coefficients'!P286</f>
        <v>0.74575478287542285</v>
      </c>
      <c r="Q97" s="359">
        <f>'Pseudo-load coefficients'!Q286</f>
        <v>0.81855783299625506</v>
      </c>
      <c r="R97" s="359">
        <f>'Pseudo-load coefficients'!R286</f>
        <v>0.65665643242621285</v>
      </c>
      <c r="S97" s="359">
        <f>'Pseudo-load coefficients'!S286</f>
        <v>0.65665643242621285</v>
      </c>
      <c r="T97" s="359">
        <f>'Pseudo-load coefficients'!T286</f>
        <v>0.65665643242621285</v>
      </c>
      <c r="U97" s="359">
        <f>'Pseudo-load coefficients'!U286</f>
        <v>0.65665643242621285</v>
      </c>
      <c r="V97" s="359">
        <f>'Pseudo-load coefficients'!V286</f>
        <v>0.65665643242621285</v>
      </c>
      <c r="W97" s="359">
        <f>'Pseudo-load coefficients'!W286</f>
        <v>0.65665643242621285</v>
      </c>
      <c r="X97" s="359">
        <f>'Pseudo-load coefficients'!X286</f>
        <v>0.65665643242621285</v>
      </c>
      <c r="Y97" s="359">
        <f>'Pseudo-load coefficients'!Y286</f>
        <v>0.65665643242621285</v>
      </c>
    </row>
    <row r="98" spans="3:25" x14ac:dyDescent="0.25">
      <c r="E98" s="52"/>
      <c r="F98" s="358" t="s">
        <v>47</v>
      </c>
      <c r="G98" s="12" t="s">
        <v>427</v>
      </c>
      <c r="J98" s="359">
        <f>'Pseudo-load coefficients'!J287</f>
        <v>1.2839290674865163</v>
      </c>
      <c r="K98" s="359">
        <f>'Pseudo-load coefficients'!K287</f>
        <v>1.2839290674865163</v>
      </c>
      <c r="L98" s="359">
        <f>'Pseudo-load coefficients'!L287</f>
        <v>1.5496759157129312</v>
      </c>
      <c r="M98" s="359">
        <f>'Pseudo-load coefficients'!M287</f>
        <v>1.5496759157129312</v>
      </c>
      <c r="N98" s="359">
        <f>'Pseudo-load coefficients'!N287</f>
        <v>1.3088185118131359</v>
      </c>
      <c r="O98" s="359">
        <f>'Pseudo-load coefficients'!O287</f>
        <v>1.1471310790749703</v>
      </c>
      <c r="P98" s="359">
        <f>'Pseudo-load coefficients'!P287</f>
        <v>1.1469066537040189</v>
      </c>
      <c r="Q98" s="359">
        <f>'Pseudo-load coefficients'!Q287</f>
        <v>1.0661844150646287</v>
      </c>
      <c r="R98" s="359">
        <f>'Pseudo-load coefficients'!R287</f>
        <v>1.0098810612294458</v>
      </c>
      <c r="S98" s="359">
        <f>'Pseudo-load coefficients'!S287</f>
        <v>1.0098810612294458</v>
      </c>
      <c r="T98" s="359">
        <f>'Pseudo-load coefficients'!T287</f>
        <v>1.0098810612294458</v>
      </c>
      <c r="U98" s="359">
        <f>'Pseudo-load coefficients'!U287</f>
        <v>1.0098810612294458</v>
      </c>
      <c r="V98" s="359">
        <f>'Pseudo-load coefficients'!V287</f>
        <v>1.0098810612294458</v>
      </c>
      <c r="W98" s="359">
        <f>'Pseudo-load coefficients'!W287</f>
        <v>1.0098810612294458</v>
      </c>
      <c r="X98" s="359">
        <f>'Pseudo-load coefficients'!X287</f>
        <v>1.0098810612294458</v>
      </c>
      <c r="Y98" s="359">
        <f>'Pseudo-load coefficients'!Y287</f>
        <v>1.0098810612294458</v>
      </c>
    </row>
    <row r="99" spans="3:25" x14ac:dyDescent="0.25">
      <c r="E99" s="52"/>
      <c r="F99" s="358" t="s">
        <v>51</v>
      </c>
      <c r="G99" s="12" t="s">
        <v>427</v>
      </c>
      <c r="J99" s="359">
        <f>'Pseudo-load coefficients'!J288</f>
        <v>0</v>
      </c>
      <c r="K99" s="359">
        <f>'Pseudo-load coefficients'!K288</f>
        <v>0</v>
      </c>
      <c r="L99" s="359">
        <f>'Pseudo-load coefficients'!L288</f>
        <v>0</v>
      </c>
      <c r="M99" s="359">
        <f>'Pseudo-load coefficients'!M288</f>
        <v>0</v>
      </c>
      <c r="N99" s="359">
        <f>'Pseudo-load coefficients'!N288</f>
        <v>0</v>
      </c>
      <c r="O99" s="359">
        <f>'Pseudo-load coefficients'!O288</f>
        <v>0</v>
      </c>
      <c r="P99" s="359">
        <f>'Pseudo-load coefficients'!P288</f>
        <v>0</v>
      </c>
      <c r="Q99" s="359">
        <f>'Pseudo-load coefficients'!Q288</f>
        <v>0</v>
      </c>
      <c r="R99" s="359">
        <f>'Pseudo-load coefficients'!R288</f>
        <v>0</v>
      </c>
      <c r="S99" s="359">
        <f>'Pseudo-load coefficients'!S288</f>
        <v>0</v>
      </c>
      <c r="T99" s="359">
        <f>'Pseudo-load coefficients'!T288</f>
        <v>0</v>
      </c>
      <c r="U99" s="359">
        <f>'Pseudo-load coefficients'!U288</f>
        <v>0</v>
      </c>
      <c r="V99" s="359">
        <f>'Pseudo-load coefficients'!V288</f>
        <v>0</v>
      </c>
      <c r="W99" s="359">
        <f>'Pseudo-load coefficients'!W288</f>
        <v>0</v>
      </c>
      <c r="X99" s="359">
        <f>'Pseudo-load coefficients'!X288</f>
        <v>0</v>
      </c>
      <c r="Y99" s="359">
        <f>'Pseudo-load coefficients'!Y288</f>
        <v>0</v>
      </c>
    </row>
    <row r="100" spans="3:25" x14ac:dyDescent="0.25">
      <c r="E100" s="52"/>
      <c r="F100" s="358" t="s">
        <v>48</v>
      </c>
      <c r="G100" s="12" t="s">
        <v>427</v>
      </c>
      <c r="J100" s="359">
        <f>'Pseudo-load coefficients'!J289</f>
        <v>1.2839290674865163</v>
      </c>
      <c r="K100" s="359">
        <f>'Pseudo-load coefficients'!K289</f>
        <v>1.2839290674865163</v>
      </c>
      <c r="L100" s="359">
        <f>'Pseudo-load coefficients'!L289</f>
        <v>1.5496759157129312</v>
      </c>
      <c r="M100" s="359">
        <f>'Pseudo-load coefficients'!M289</f>
        <v>1.5496759157129312</v>
      </c>
      <c r="N100" s="359">
        <f>'Pseudo-load coefficients'!N289</f>
        <v>1.3088185118131359</v>
      </c>
      <c r="O100" s="359">
        <f>'Pseudo-load coefficients'!O289</f>
        <v>1.1471310790749703</v>
      </c>
      <c r="P100" s="359">
        <f>'Pseudo-load coefficients'!P289</f>
        <v>1.1469066537040189</v>
      </c>
      <c r="Q100" s="359">
        <f>'Pseudo-load coefficients'!Q289</f>
        <v>1.0661844150646287</v>
      </c>
      <c r="R100" s="359">
        <f>'Pseudo-load coefficients'!R289</f>
        <v>1.0098810612294458</v>
      </c>
      <c r="S100" s="359">
        <f>'Pseudo-load coefficients'!S289</f>
        <v>1.0098810612294458</v>
      </c>
      <c r="T100" s="359">
        <f>'Pseudo-load coefficients'!T289</f>
        <v>1.0098810612294458</v>
      </c>
      <c r="U100" s="359">
        <f>'Pseudo-load coefficients'!U289</f>
        <v>1.0098810612294458</v>
      </c>
      <c r="V100" s="359">
        <f>'Pseudo-load coefficients'!V289</f>
        <v>1.0098810612294458</v>
      </c>
      <c r="W100" s="359">
        <f>'Pseudo-load coefficients'!W289</f>
        <v>1.0098810612294458</v>
      </c>
      <c r="X100" s="359">
        <f>'Pseudo-load coefficients'!X289</f>
        <v>1.0098810612294458</v>
      </c>
      <c r="Y100" s="359">
        <f>'Pseudo-load coefficients'!Y289</f>
        <v>1.0098810612294458</v>
      </c>
    </row>
    <row r="101" spans="3:25" x14ac:dyDescent="0.25">
      <c r="E101" s="52"/>
      <c r="F101" s="358" t="s">
        <v>49</v>
      </c>
      <c r="G101" s="12" t="s">
        <v>427</v>
      </c>
      <c r="J101" s="359">
        <f>'Pseudo-load coefficients'!J290</f>
        <v>1.2839290674865163</v>
      </c>
      <c r="K101" s="359">
        <f>'Pseudo-load coefficients'!K290</f>
        <v>1.2839290674865163</v>
      </c>
      <c r="L101" s="359">
        <f>'Pseudo-load coefficients'!L290</f>
        <v>1.5496759157129312</v>
      </c>
      <c r="M101" s="359">
        <f>'Pseudo-load coefficients'!M290</f>
        <v>1.5496759157129312</v>
      </c>
      <c r="N101" s="359">
        <f>'Pseudo-load coefficients'!N290</f>
        <v>1.3088185118131359</v>
      </c>
      <c r="O101" s="359">
        <f>'Pseudo-load coefficients'!O290</f>
        <v>1.1471310790749703</v>
      </c>
      <c r="P101" s="359">
        <f>'Pseudo-load coefficients'!P290</f>
        <v>1.1469066537040189</v>
      </c>
      <c r="Q101" s="359">
        <f>'Pseudo-load coefficients'!Q290</f>
        <v>1.0661844150646287</v>
      </c>
      <c r="R101" s="359">
        <f>'Pseudo-load coefficients'!R290</f>
        <v>1.0098810612294458</v>
      </c>
      <c r="S101" s="359">
        <f>'Pseudo-load coefficients'!S290</f>
        <v>1.0098810612294458</v>
      </c>
      <c r="T101" s="359">
        <f>'Pseudo-load coefficients'!T290</f>
        <v>1.0098810612294458</v>
      </c>
      <c r="U101" s="359">
        <f>'Pseudo-load coefficients'!U290</f>
        <v>1.0098810612294458</v>
      </c>
      <c r="V101" s="359">
        <f>'Pseudo-load coefficients'!V290</f>
        <v>1.0098810612294458</v>
      </c>
      <c r="W101" s="359">
        <f>'Pseudo-load coefficients'!W290</f>
        <v>1.0098810612294458</v>
      </c>
      <c r="X101" s="359">
        <f>'Pseudo-load coefficients'!X290</f>
        <v>1.0098810612294458</v>
      </c>
      <c r="Y101" s="359">
        <f>'Pseudo-load coefficients'!Y290</f>
        <v>1.0098810612294458</v>
      </c>
    </row>
    <row r="102" spans="3:25" x14ac:dyDescent="0.25">
      <c r="E102" s="52"/>
      <c r="F102" s="360" t="s">
        <v>50</v>
      </c>
      <c r="G102" s="13" t="s">
        <v>427</v>
      </c>
      <c r="H102" s="17"/>
      <c r="I102" s="17"/>
      <c r="J102" s="239">
        <f>'Pseudo-load coefficients'!J291</f>
        <v>1.2839290674865163</v>
      </c>
      <c r="K102" s="239">
        <f>'Pseudo-load coefficients'!K291</f>
        <v>1.2839290674865163</v>
      </c>
      <c r="L102" s="239">
        <f>'Pseudo-load coefficients'!L291</f>
        <v>1.5496759157129312</v>
      </c>
      <c r="M102" s="239">
        <f>'Pseudo-load coefficients'!M291</f>
        <v>1.5496759157129312</v>
      </c>
      <c r="N102" s="239">
        <f>'Pseudo-load coefficients'!N291</f>
        <v>1.3088185118131359</v>
      </c>
      <c r="O102" s="239">
        <f>'Pseudo-load coefficients'!O291</f>
        <v>1.1471310790749703</v>
      </c>
      <c r="P102" s="239">
        <f>'Pseudo-load coefficients'!P291</f>
        <v>1.1469066537040189</v>
      </c>
      <c r="Q102" s="239">
        <f>'Pseudo-load coefficients'!Q291</f>
        <v>1.0661844150646287</v>
      </c>
      <c r="R102" s="239">
        <f>'Pseudo-load coefficients'!R291</f>
        <v>1.0098810612294458</v>
      </c>
      <c r="S102" s="239">
        <f>'Pseudo-load coefficients'!S291</f>
        <v>1.0098810612294458</v>
      </c>
      <c r="T102" s="239">
        <f>'Pseudo-load coefficients'!T291</f>
        <v>1.0098810612294458</v>
      </c>
      <c r="U102" s="239">
        <f>'Pseudo-load coefficients'!U291</f>
        <v>1.0098810612294458</v>
      </c>
      <c r="V102" s="239">
        <f>'Pseudo-load coefficients'!V291</f>
        <v>1.0098810612294458</v>
      </c>
      <c r="W102" s="239">
        <f>'Pseudo-load coefficients'!W291</f>
        <v>1.0098810612294458</v>
      </c>
      <c r="X102" s="239">
        <f>'Pseudo-load coefficients'!X291</f>
        <v>1.0098810612294458</v>
      </c>
      <c r="Y102" s="239">
        <f>'Pseudo-load coefficients'!Y291</f>
        <v>1.0098810612294458</v>
      </c>
    </row>
    <row r="103" spans="3:25" x14ac:dyDescent="0.25">
      <c r="E103" s="52"/>
      <c r="J103" s="198"/>
      <c r="K103" s="198"/>
      <c r="L103" s="198"/>
      <c r="M103" s="198"/>
      <c r="N103" s="198"/>
      <c r="O103" s="198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</row>
    <row r="104" spans="3:25" x14ac:dyDescent="0.25">
      <c r="E104" s="52" t="s">
        <v>250</v>
      </c>
      <c r="J104" s="198"/>
      <c r="K104" s="198"/>
      <c r="L104" s="198"/>
      <c r="M104" s="198"/>
      <c r="N104" s="198"/>
      <c r="O104" s="198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</row>
    <row r="105" spans="3:25" x14ac:dyDescent="0.25">
      <c r="C105" s="52"/>
      <c r="E105" s="52"/>
      <c r="F105" s="357" t="s">
        <v>267</v>
      </c>
      <c r="G105" s="14" t="s">
        <v>427</v>
      </c>
      <c r="H105" s="80"/>
      <c r="I105" s="80"/>
      <c r="J105" s="472">
        <f>'Pseudo-load coefficients'!J294</f>
        <v>1.156375944596222E-2</v>
      </c>
      <c r="K105" s="472">
        <f>'Pseudo-load coefficients'!K294</f>
        <v>1.156375944596222E-2</v>
      </c>
      <c r="L105" s="472">
        <f>'Pseudo-load coefficients'!L294</f>
        <v>1.3957219259461745E-2</v>
      </c>
      <c r="M105" s="472">
        <f>'Pseudo-load coefficients'!M294</f>
        <v>1.3957219259461745E-2</v>
      </c>
      <c r="N105" s="472">
        <f>'Pseudo-load coefficients'!N294</f>
        <v>1.1787927240138064E-2</v>
      </c>
      <c r="O105" s="472">
        <f>'Pseudo-load coefficients'!O294</f>
        <v>1.0331682790996031E-2</v>
      </c>
      <c r="P105" s="472">
        <f>'Pseudo-load coefficients'!P294</f>
        <v>1.0329661494750801E-2</v>
      </c>
      <c r="Q105" s="472">
        <f>'Pseudo-load coefficients'!Q294</f>
        <v>1.0278624802745882E-2</v>
      </c>
      <c r="R105" s="472">
        <f>'Pseudo-load coefficients'!R294</f>
        <v>9.095534914519721E-3</v>
      </c>
      <c r="S105" s="472">
        <f>'Pseudo-load coefficients'!S294</f>
        <v>9.095534914519721E-3</v>
      </c>
      <c r="T105" s="472">
        <f>'Pseudo-load coefficients'!T294</f>
        <v>9.095534914519721E-3</v>
      </c>
      <c r="U105" s="472">
        <f>'Pseudo-load coefficients'!U294</f>
        <v>9.095534914519721E-3</v>
      </c>
      <c r="V105" s="472">
        <f>'Pseudo-load coefficients'!V294</f>
        <v>9.095534914519721E-3</v>
      </c>
      <c r="W105" s="472">
        <f>'Pseudo-load coefficients'!W294</f>
        <v>9.095534914519721E-3</v>
      </c>
      <c r="X105" s="472">
        <f>'Pseudo-load coefficients'!X294</f>
        <v>9.095534914519721E-3</v>
      </c>
      <c r="Y105" s="472">
        <f>'Pseudo-load coefficients'!Y294</f>
        <v>9.095534914519721E-3</v>
      </c>
    </row>
    <row r="106" spans="3:25" x14ac:dyDescent="0.25">
      <c r="C106" s="52"/>
      <c r="E106" s="52"/>
      <c r="F106" s="358" t="s">
        <v>43</v>
      </c>
      <c r="G106" s="12" t="s">
        <v>427</v>
      </c>
      <c r="J106" s="359">
        <f>'Pseudo-load coefficients'!J294</f>
        <v>1.156375944596222E-2</v>
      </c>
      <c r="K106" s="359">
        <f>'Pseudo-load coefficients'!K294</f>
        <v>1.156375944596222E-2</v>
      </c>
      <c r="L106" s="359">
        <f>'Pseudo-load coefficients'!L294</f>
        <v>1.3957219259461745E-2</v>
      </c>
      <c r="M106" s="359">
        <f>'Pseudo-load coefficients'!M294</f>
        <v>1.3957219259461745E-2</v>
      </c>
      <c r="N106" s="359">
        <f>'Pseudo-load coefficients'!N294</f>
        <v>1.1787927240138064E-2</v>
      </c>
      <c r="O106" s="359">
        <f>'Pseudo-load coefficients'!O294</f>
        <v>1.0331682790996031E-2</v>
      </c>
      <c r="P106" s="359">
        <f>'Pseudo-load coefficients'!P294</f>
        <v>1.0329661494750801E-2</v>
      </c>
      <c r="Q106" s="359">
        <f>'Pseudo-load coefficients'!Q294</f>
        <v>1.0278624802745882E-2</v>
      </c>
      <c r="R106" s="359">
        <f>'Pseudo-load coefficients'!R294</f>
        <v>9.095534914519721E-3</v>
      </c>
      <c r="S106" s="359">
        <f>'Pseudo-load coefficients'!S294</f>
        <v>9.095534914519721E-3</v>
      </c>
      <c r="T106" s="359">
        <f>'Pseudo-load coefficients'!T294</f>
        <v>9.095534914519721E-3</v>
      </c>
      <c r="U106" s="359">
        <f>'Pseudo-load coefficients'!U294</f>
        <v>9.095534914519721E-3</v>
      </c>
      <c r="V106" s="359">
        <f>'Pseudo-load coefficients'!V294</f>
        <v>9.095534914519721E-3</v>
      </c>
      <c r="W106" s="359">
        <f>'Pseudo-load coefficients'!W294</f>
        <v>9.095534914519721E-3</v>
      </c>
      <c r="X106" s="359">
        <f>'Pseudo-load coefficients'!X294</f>
        <v>9.095534914519721E-3</v>
      </c>
      <c r="Y106" s="359">
        <f>'Pseudo-load coefficients'!Y294</f>
        <v>9.095534914519721E-3</v>
      </c>
    </row>
    <row r="107" spans="3:25" x14ac:dyDescent="0.25">
      <c r="C107" s="52"/>
      <c r="E107" s="52"/>
      <c r="F107" s="358" t="s">
        <v>44</v>
      </c>
      <c r="G107" s="12" t="s">
        <v>427</v>
      </c>
      <c r="J107" s="359">
        <f>'Pseudo-load coefficients'!J295</f>
        <v>0</v>
      </c>
      <c r="K107" s="359">
        <f>'Pseudo-load coefficients'!K295</f>
        <v>0</v>
      </c>
      <c r="L107" s="359">
        <f>'Pseudo-load coefficients'!L295</f>
        <v>0</v>
      </c>
      <c r="M107" s="359">
        <f>'Pseudo-load coefficients'!M295</f>
        <v>0</v>
      </c>
      <c r="N107" s="359">
        <f>'Pseudo-load coefficients'!N295</f>
        <v>0</v>
      </c>
      <c r="O107" s="359">
        <f>'Pseudo-load coefficients'!O295</f>
        <v>0</v>
      </c>
      <c r="P107" s="359">
        <f>'Pseudo-load coefficients'!P295</f>
        <v>0</v>
      </c>
      <c r="Q107" s="359">
        <f>'Pseudo-load coefficients'!Q295</f>
        <v>0</v>
      </c>
      <c r="R107" s="359">
        <f>'Pseudo-load coefficients'!R295</f>
        <v>0</v>
      </c>
      <c r="S107" s="359">
        <f>'Pseudo-load coefficients'!S295</f>
        <v>0</v>
      </c>
      <c r="T107" s="359">
        <f>'Pseudo-load coefficients'!T295</f>
        <v>0</v>
      </c>
      <c r="U107" s="359">
        <f>'Pseudo-load coefficients'!U295</f>
        <v>0</v>
      </c>
      <c r="V107" s="359">
        <f>'Pseudo-load coefficients'!V295</f>
        <v>0</v>
      </c>
      <c r="W107" s="359">
        <f>'Pseudo-load coefficients'!W295</f>
        <v>0</v>
      </c>
      <c r="X107" s="359">
        <f>'Pseudo-load coefficients'!X295</f>
        <v>0</v>
      </c>
      <c r="Y107" s="359">
        <f>'Pseudo-load coefficients'!Y295</f>
        <v>0</v>
      </c>
    </row>
    <row r="108" spans="3:25" x14ac:dyDescent="0.25">
      <c r="C108" s="52"/>
      <c r="E108" s="52"/>
      <c r="F108" s="358" t="s">
        <v>45</v>
      </c>
      <c r="G108" s="12" t="s">
        <v>427</v>
      </c>
      <c r="J108" s="359">
        <f>'Pseudo-load coefficients'!J296</f>
        <v>0</v>
      </c>
      <c r="K108" s="359">
        <f>'Pseudo-load coefficients'!K296</f>
        <v>0</v>
      </c>
      <c r="L108" s="359">
        <f>'Pseudo-load coefficients'!L296</f>
        <v>0</v>
      </c>
      <c r="M108" s="359">
        <f>'Pseudo-load coefficients'!M296</f>
        <v>0</v>
      </c>
      <c r="N108" s="359">
        <f>'Pseudo-load coefficients'!N296</f>
        <v>0</v>
      </c>
      <c r="O108" s="359">
        <f>'Pseudo-load coefficients'!O296</f>
        <v>0</v>
      </c>
      <c r="P108" s="359">
        <f>'Pseudo-load coefficients'!P296</f>
        <v>0</v>
      </c>
      <c r="Q108" s="359">
        <f>'Pseudo-load coefficients'!Q296</f>
        <v>0</v>
      </c>
      <c r="R108" s="359">
        <f>'Pseudo-load coefficients'!R296</f>
        <v>0</v>
      </c>
      <c r="S108" s="359">
        <f>'Pseudo-load coefficients'!S296</f>
        <v>0</v>
      </c>
      <c r="T108" s="359">
        <f>'Pseudo-load coefficients'!T296</f>
        <v>0</v>
      </c>
      <c r="U108" s="359">
        <f>'Pseudo-load coefficients'!U296</f>
        <v>0</v>
      </c>
      <c r="V108" s="359">
        <f>'Pseudo-load coefficients'!V296</f>
        <v>0</v>
      </c>
      <c r="W108" s="359">
        <f>'Pseudo-load coefficients'!W296</f>
        <v>0</v>
      </c>
      <c r="X108" s="359">
        <f>'Pseudo-load coefficients'!X296</f>
        <v>0</v>
      </c>
      <c r="Y108" s="359">
        <f>'Pseudo-load coefficients'!Y296</f>
        <v>0</v>
      </c>
    </row>
    <row r="109" spans="3:25" x14ac:dyDescent="0.25">
      <c r="C109" s="52"/>
      <c r="E109" s="52"/>
      <c r="F109" s="358" t="s">
        <v>46</v>
      </c>
      <c r="G109" s="12" t="s">
        <v>427</v>
      </c>
      <c r="J109" s="359">
        <f>'Pseudo-load coefficients'!J297</f>
        <v>1.156375944596222E-2</v>
      </c>
      <c r="K109" s="359">
        <f>'Pseudo-load coefficients'!K297</f>
        <v>1.156375944596222E-2</v>
      </c>
      <c r="L109" s="359">
        <f>'Pseudo-load coefficients'!L297</f>
        <v>1.3957219259461745E-2</v>
      </c>
      <c r="M109" s="359">
        <f>'Pseudo-load coefficients'!M297</f>
        <v>1.3957219259461745E-2</v>
      </c>
      <c r="N109" s="359">
        <f>'Pseudo-load coefficients'!N297</f>
        <v>1.1787927240138064E-2</v>
      </c>
      <c r="O109" s="359">
        <f>'Pseudo-load coefficients'!O297</f>
        <v>1.0331682790996031E-2</v>
      </c>
      <c r="P109" s="359">
        <f>'Pseudo-load coefficients'!P297</f>
        <v>1.0329661494750801E-2</v>
      </c>
      <c r="Q109" s="359">
        <f>'Pseudo-load coefficients'!Q297</f>
        <v>1.0278624802745882E-2</v>
      </c>
      <c r="R109" s="359">
        <f>'Pseudo-load coefficients'!R297</f>
        <v>9.095534914519721E-3</v>
      </c>
      <c r="S109" s="359">
        <f>'Pseudo-load coefficients'!S297</f>
        <v>9.095534914519721E-3</v>
      </c>
      <c r="T109" s="359">
        <f>'Pseudo-load coefficients'!T297</f>
        <v>9.095534914519721E-3</v>
      </c>
      <c r="U109" s="359">
        <f>'Pseudo-load coefficients'!U297</f>
        <v>9.095534914519721E-3</v>
      </c>
      <c r="V109" s="359">
        <f>'Pseudo-load coefficients'!V297</f>
        <v>9.095534914519721E-3</v>
      </c>
      <c r="W109" s="359">
        <f>'Pseudo-load coefficients'!W297</f>
        <v>9.095534914519721E-3</v>
      </c>
      <c r="X109" s="359">
        <f>'Pseudo-load coefficients'!X297</f>
        <v>9.095534914519721E-3</v>
      </c>
      <c r="Y109" s="359">
        <f>'Pseudo-load coefficients'!Y297</f>
        <v>9.095534914519721E-3</v>
      </c>
    </row>
    <row r="110" spans="3:25" x14ac:dyDescent="0.25">
      <c r="C110" s="52"/>
      <c r="E110" s="52"/>
      <c r="F110" s="358" t="s">
        <v>47</v>
      </c>
      <c r="G110" s="12" t="s">
        <v>427</v>
      </c>
      <c r="J110" s="359">
        <f>'Pseudo-load coefficients'!J298</f>
        <v>2.5686744657375873E-2</v>
      </c>
      <c r="K110" s="359">
        <f>'Pseudo-load coefficients'!K298</f>
        <v>2.5686744657375873E-2</v>
      </c>
      <c r="L110" s="359">
        <f>'Pseudo-load coefficients'!L298</f>
        <v>3.100337125829675E-2</v>
      </c>
      <c r="M110" s="359">
        <f>'Pseudo-load coefficients'!M298</f>
        <v>3.100337125829675E-2</v>
      </c>
      <c r="N110" s="359">
        <f>'Pseudo-load coefficients'!N298</f>
        <v>2.6184691792674738E-2</v>
      </c>
      <c r="O110" s="359">
        <f>'Pseudo-load coefficients'!O298</f>
        <v>2.2949915118304045E-2</v>
      </c>
      <c r="P110" s="359">
        <f>'Pseudo-load coefficients'!P298</f>
        <v>2.2945425183973366E-2</v>
      </c>
      <c r="Q110" s="359">
        <f>'Pseudo-load coefficients'!Q298</f>
        <v>2.2832056648263703E-2</v>
      </c>
      <c r="R110" s="359">
        <f>'Pseudo-load coefficients'!R298</f>
        <v>2.0204042116519005E-2</v>
      </c>
      <c r="S110" s="359">
        <f>'Pseudo-load coefficients'!S298</f>
        <v>2.0204042116519005E-2</v>
      </c>
      <c r="T110" s="359">
        <f>'Pseudo-load coefficients'!T298</f>
        <v>2.0204042116519005E-2</v>
      </c>
      <c r="U110" s="359">
        <f>'Pseudo-load coefficients'!U298</f>
        <v>2.0204042116519005E-2</v>
      </c>
      <c r="V110" s="359">
        <f>'Pseudo-load coefficients'!V298</f>
        <v>2.0204042116519005E-2</v>
      </c>
      <c r="W110" s="359">
        <f>'Pseudo-load coefficients'!W298</f>
        <v>2.0204042116519005E-2</v>
      </c>
      <c r="X110" s="359">
        <f>'Pseudo-load coefficients'!X298</f>
        <v>2.0204042116519005E-2</v>
      </c>
      <c r="Y110" s="359">
        <f>'Pseudo-load coefficients'!Y298</f>
        <v>2.0204042116519005E-2</v>
      </c>
    </row>
    <row r="111" spans="3:25" x14ac:dyDescent="0.25">
      <c r="C111" s="52"/>
      <c r="E111" s="52"/>
      <c r="F111" s="358" t="s">
        <v>51</v>
      </c>
      <c r="G111" s="12" t="s">
        <v>427</v>
      </c>
      <c r="J111" s="359">
        <f>'Pseudo-load coefficients'!J299</f>
        <v>0</v>
      </c>
      <c r="K111" s="359">
        <f>'Pseudo-load coefficients'!K299</f>
        <v>0</v>
      </c>
      <c r="L111" s="359">
        <f>'Pseudo-load coefficients'!L299</f>
        <v>0</v>
      </c>
      <c r="M111" s="359">
        <f>'Pseudo-load coefficients'!M299</f>
        <v>0</v>
      </c>
      <c r="N111" s="359">
        <f>'Pseudo-load coefficients'!N299</f>
        <v>0</v>
      </c>
      <c r="O111" s="359">
        <f>'Pseudo-load coefficients'!O299</f>
        <v>0</v>
      </c>
      <c r="P111" s="359">
        <f>'Pseudo-load coefficients'!P299</f>
        <v>0</v>
      </c>
      <c r="Q111" s="359">
        <f>'Pseudo-load coefficients'!Q299</f>
        <v>0</v>
      </c>
      <c r="R111" s="359">
        <f>'Pseudo-load coefficients'!R299</f>
        <v>0</v>
      </c>
      <c r="S111" s="359">
        <f>'Pseudo-load coefficients'!S299</f>
        <v>0</v>
      </c>
      <c r="T111" s="359">
        <f>'Pseudo-load coefficients'!T299</f>
        <v>0</v>
      </c>
      <c r="U111" s="359">
        <f>'Pseudo-load coefficients'!U299</f>
        <v>0</v>
      </c>
      <c r="V111" s="359">
        <f>'Pseudo-load coefficients'!V299</f>
        <v>0</v>
      </c>
      <c r="W111" s="359">
        <f>'Pseudo-load coefficients'!W299</f>
        <v>0</v>
      </c>
      <c r="X111" s="359">
        <f>'Pseudo-load coefficients'!X299</f>
        <v>0</v>
      </c>
      <c r="Y111" s="359">
        <f>'Pseudo-load coefficients'!Y299</f>
        <v>0</v>
      </c>
    </row>
    <row r="112" spans="3:25" x14ac:dyDescent="0.25">
      <c r="C112" s="52"/>
      <c r="E112" s="52"/>
      <c r="F112" s="358" t="s">
        <v>48</v>
      </c>
      <c r="G112" s="12" t="s">
        <v>427</v>
      </c>
      <c r="J112" s="359">
        <f>'Pseudo-load coefficients'!J300</f>
        <v>2.5686744657375873E-2</v>
      </c>
      <c r="K112" s="359">
        <f>'Pseudo-load coefficients'!K300</f>
        <v>2.5686744657375873E-2</v>
      </c>
      <c r="L112" s="359">
        <f>'Pseudo-load coefficients'!L300</f>
        <v>3.100337125829675E-2</v>
      </c>
      <c r="M112" s="359">
        <f>'Pseudo-load coefficients'!M300</f>
        <v>3.100337125829675E-2</v>
      </c>
      <c r="N112" s="359">
        <f>'Pseudo-load coefficients'!N300</f>
        <v>2.6184691792674738E-2</v>
      </c>
      <c r="O112" s="359">
        <f>'Pseudo-load coefficients'!O300</f>
        <v>2.2949915118304045E-2</v>
      </c>
      <c r="P112" s="359">
        <f>'Pseudo-load coefficients'!P300</f>
        <v>2.2945425183973366E-2</v>
      </c>
      <c r="Q112" s="359">
        <f>'Pseudo-load coefficients'!Q300</f>
        <v>2.2832056648263703E-2</v>
      </c>
      <c r="R112" s="359">
        <f>'Pseudo-load coefficients'!R300</f>
        <v>2.0204042116519005E-2</v>
      </c>
      <c r="S112" s="359">
        <f>'Pseudo-load coefficients'!S300</f>
        <v>2.0204042116519005E-2</v>
      </c>
      <c r="T112" s="359">
        <f>'Pseudo-load coefficients'!T300</f>
        <v>2.0204042116519005E-2</v>
      </c>
      <c r="U112" s="359">
        <f>'Pseudo-load coefficients'!U300</f>
        <v>2.0204042116519005E-2</v>
      </c>
      <c r="V112" s="359">
        <f>'Pseudo-load coefficients'!V300</f>
        <v>2.0204042116519005E-2</v>
      </c>
      <c r="W112" s="359">
        <f>'Pseudo-load coefficients'!W300</f>
        <v>2.0204042116519005E-2</v>
      </c>
      <c r="X112" s="359">
        <f>'Pseudo-load coefficients'!X300</f>
        <v>2.0204042116519005E-2</v>
      </c>
      <c r="Y112" s="359">
        <f>'Pseudo-load coefficients'!Y300</f>
        <v>2.0204042116519005E-2</v>
      </c>
    </row>
    <row r="113" spans="2:27" x14ac:dyDescent="0.25">
      <c r="C113" s="52"/>
      <c r="E113" s="52"/>
      <c r="F113" s="358" t="s">
        <v>49</v>
      </c>
      <c r="G113" s="12" t="s">
        <v>427</v>
      </c>
      <c r="J113" s="359">
        <f>'Pseudo-load coefficients'!J301</f>
        <v>2.5686744657375873E-2</v>
      </c>
      <c r="K113" s="359">
        <f>'Pseudo-load coefficients'!K301</f>
        <v>2.5686744657375873E-2</v>
      </c>
      <c r="L113" s="359">
        <f>'Pseudo-load coefficients'!L301</f>
        <v>3.100337125829675E-2</v>
      </c>
      <c r="M113" s="359">
        <f>'Pseudo-load coefficients'!M301</f>
        <v>3.100337125829675E-2</v>
      </c>
      <c r="N113" s="359">
        <f>'Pseudo-load coefficients'!N301</f>
        <v>2.6184691792674738E-2</v>
      </c>
      <c r="O113" s="359">
        <f>'Pseudo-load coefficients'!O301</f>
        <v>2.2949915118304045E-2</v>
      </c>
      <c r="P113" s="359">
        <f>'Pseudo-load coefficients'!P301</f>
        <v>2.2945425183973366E-2</v>
      </c>
      <c r="Q113" s="359">
        <f>'Pseudo-load coefficients'!Q301</f>
        <v>2.2832056648263703E-2</v>
      </c>
      <c r="R113" s="359">
        <f>'Pseudo-load coefficients'!R301</f>
        <v>2.0204042116519005E-2</v>
      </c>
      <c r="S113" s="359">
        <f>'Pseudo-load coefficients'!S301</f>
        <v>2.0204042116519005E-2</v>
      </c>
      <c r="T113" s="359">
        <f>'Pseudo-load coefficients'!T301</f>
        <v>2.0204042116519005E-2</v>
      </c>
      <c r="U113" s="359">
        <f>'Pseudo-load coefficients'!U301</f>
        <v>2.0204042116519005E-2</v>
      </c>
      <c r="V113" s="359">
        <f>'Pseudo-load coefficients'!V301</f>
        <v>2.0204042116519005E-2</v>
      </c>
      <c r="W113" s="359">
        <f>'Pseudo-load coefficients'!W301</f>
        <v>2.0204042116519005E-2</v>
      </c>
      <c r="X113" s="359">
        <f>'Pseudo-load coefficients'!X301</f>
        <v>2.0204042116519005E-2</v>
      </c>
      <c r="Y113" s="359">
        <f>'Pseudo-load coefficients'!Y301</f>
        <v>2.0204042116519005E-2</v>
      </c>
    </row>
    <row r="114" spans="2:27" x14ac:dyDescent="0.25">
      <c r="C114" s="52"/>
      <c r="E114" s="52"/>
      <c r="F114" s="360" t="s">
        <v>50</v>
      </c>
      <c r="G114" s="13" t="s">
        <v>427</v>
      </c>
      <c r="H114" s="17"/>
      <c r="I114" s="17"/>
      <c r="J114" s="239">
        <f>'Pseudo-load coefficients'!J302</f>
        <v>2.5686744657375873E-2</v>
      </c>
      <c r="K114" s="239">
        <f>'Pseudo-load coefficients'!K302</f>
        <v>2.5686744657375873E-2</v>
      </c>
      <c r="L114" s="239">
        <f>'Pseudo-load coefficients'!L302</f>
        <v>3.100337125829675E-2</v>
      </c>
      <c r="M114" s="239">
        <f>'Pseudo-load coefficients'!M302</f>
        <v>3.100337125829675E-2</v>
      </c>
      <c r="N114" s="239">
        <f>'Pseudo-load coefficients'!N302</f>
        <v>2.6184691792674738E-2</v>
      </c>
      <c r="O114" s="239">
        <f>'Pseudo-load coefficients'!O302</f>
        <v>2.2949915118304045E-2</v>
      </c>
      <c r="P114" s="239">
        <f>'Pseudo-load coefficients'!P302</f>
        <v>2.2945425183973366E-2</v>
      </c>
      <c r="Q114" s="239">
        <f>'Pseudo-load coefficients'!Q302</f>
        <v>2.2832056648263703E-2</v>
      </c>
      <c r="R114" s="239">
        <f>'Pseudo-load coefficients'!R302</f>
        <v>2.0204042116519005E-2</v>
      </c>
      <c r="S114" s="239">
        <f>'Pseudo-load coefficients'!S302</f>
        <v>2.0204042116519005E-2</v>
      </c>
      <c r="T114" s="239">
        <f>'Pseudo-load coefficients'!T302</f>
        <v>2.0204042116519005E-2</v>
      </c>
      <c r="U114" s="239">
        <f>'Pseudo-load coefficients'!U302</f>
        <v>2.0204042116519005E-2</v>
      </c>
      <c r="V114" s="239">
        <f>'Pseudo-load coefficients'!V302</f>
        <v>2.0204042116519005E-2</v>
      </c>
      <c r="W114" s="239">
        <f>'Pseudo-load coefficients'!W302</f>
        <v>2.0204042116519005E-2</v>
      </c>
      <c r="X114" s="239">
        <f>'Pseudo-load coefficients'!X302</f>
        <v>2.0204042116519005E-2</v>
      </c>
      <c r="Y114" s="239">
        <f>'Pseudo-load coefficients'!Y302</f>
        <v>2.0204042116519005E-2</v>
      </c>
    </row>
    <row r="115" spans="2:27" x14ac:dyDescent="0.25">
      <c r="C115" s="52"/>
      <c r="D115" s="52"/>
      <c r="E115" s="52"/>
      <c r="J115" s="198"/>
      <c r="K115" s="198"/>
      <c r="L115" s="198"/>
      <c r="M115" s="198"/>
      <c r="N115" s="198"/>
      <c r="O115" s="198"/>
      <c r="P115" s="198"/>
      <c r="Q115" s="198"/>
      <c r="R115" s="198"/>
      <c r="S115" s="198"/>
      <c r="T115" s="198"/>
      <c r="U115" s="198"/>
      <c r="V115" s="198"/>
      <c r="W115" s="198"/>
      <c r="X115" s="198"/>
      <c r="Y115" s="198"/>
    </row>
    <row r="116" spans="2:27" x14ac:dyDescent="0.25">
      <c r="B116" s="82" t="s">
        <v>664</v>
      </c>
      <c r="C116" s="82"/>
      <c r="D116" s="82"/>
      <c r="E116" s="82"/>
      <c r="F116" s="82"/>
      <c r="G116" s="82"/>
      <c r="H116" s="82"/>
      <c r="I116" s="82"/>
      <c r="J116" s="236"/>
      <c r="K116" s="236"/>
      <c r="L116" s="236"/>
      <c r="M116" s="236"/>
      <c r="N116" s="236"/>
      <c r="O116" s="236"/>
      <c r="P116" s="236"/>
      <c r="Q116" s="236"/>
      <c r="R116" s="236"/>
      <c r="S116" s="236"/>
      <c r="T116" s="236"/>
      <c r="U116" s="236"/>
      <c r="V116" s="236"/>
      <c r="W116" s="236"/>
      <c r="X116" s="236"/>
      <c r="Y116" s="236"/>
      <c r="Z116" s="82"/>
      <c r="AA116" s="82"/>
    </row>
    <row r="117" spans="2:27" x14ac:dyDescent="0.25"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</row>
    <row r="118" spans="2:27" x14ac:dyDescent="0.25">
      <c r="C118" s="5" t="str">
        <f ca="1">INDEX('Version control'!$H$36:$H$62,MATCH($A$1,'Version control'!$F$36:$F$62,0),1)&amp;"-B: Yardstick charges"</f>
        <v>Section 512-B: Yardstick charges</v>
      </c>
      <c r="D118" s="5"/>
      <c r="E118" s="5"/>
      <c r="F118" s="5"/>
      <c r="G118" s="5"/>
      <c r="H118" s="5"/>
      <c r="I118" s="5"/>
      <c r="J118" s="204"/>
      <c r="K118" s="204"/>
      <c r="L118" s="204"/>
      <c r="M118" s="204"/>
      <c r="N118" s="204"/>
      <c r="O118" s="204"/>
      <c r="P118" s="204"/>
      <c r="Q118" s="204"/>
      <c r="R118" s="204"/>
      <c r="S118" s="204"/>
      <c r="T118" s="204"/>
      <c r="U118" s="204"/>
      <c r="V118" s="204"/>
      <c r="W118" s="204"/>
      <c r="X118" s="204"/>
      <c r="Y118" s="204"/>
      <c r="Z118" s="5"/>
      <c r="AA118" s="5"/>
    </row>
    <row r="119" spans="2:27" x14ac:dyDescent="0.25">
      <c r="C119" s="52"/>
      <c r="D119" s="52"/>
      <c r="E119" s="52"/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</row>
    <row r="120" spans="2:27" x14ac:dyDescent="0.25">
      <c r="D120" s="73" t="s">
        <v>724</v>
      </c>
      <c r="E120" s="52"/>
      <c r="F120" s="52"/>
      <c r="J120" s="198"/>
      <c r="K120" s="198"/>
      <c r="L120" s="198"/>
      <c r="M120" s="198"/>
      <c r="N120" s="198"/>
      <c r="O120" s="198"/>
      <c r="P120" s="198"/>
      <c r="Q120" s="198"/>
      <c r="R120" s="198"/>
      <c r="S120" s="198"/>
      <c r="T120" s="198"/>
      <c r="U120" s="198"/>
      <c r="V120" s="198"/>
      <c r="W120" s="198"/>
      <c r="X120" s="198"/>
      <c r="Y120" s="198"/>
    </row>
    <row r="121" spans="2:27" x14ac:dyDescent="0.25">
      <c r="D121" s="52"/>
      <c r="E121" s="52"/>
      <c r="F121" s="52"/>
      <c r="I121" s="19" t="s">
        <v>359</v>
      </c>
      <c r="J121" s="198"/>
      <c r="K121" s="198"/>
      <c r="L121" s="198"/>
      <c r="M121" s="198"/>
      <c r="N121" s="198"/>
      <c r="O121" s="198"/>
      <c r="P121" s="198"/>
      <c r="Q121" s="198"/>
      <c r="R121" s="198"/>
      <c r="S121" s="198"/>
      <c r="T121" s="198"/>
      <c r="U121" s="198"/>
      <c r="V121" s="198"/>
      <c r="W121" s="198"/>
      <c r="X121" s="198"/>
      <c r="Y121" s="198"/>
      <c r="AA121" t="s">
        <v>723</v>
      </c>
    </row>
    <row r="122" spans="2:27" x14ac:dyDescent="0.25">
      <c r="E122" s="52" t="s">
        <v>139</v>
      </c>
      <c r="J122" s="211"/>
      <c r="K122" s="211"/>
      <c r="L122" s="211"/>
      <c r="M122" s="211"/>
      <c r="N122" s="211"/>
      <c r="O122" s="211"/>
      <c r="P122" s="211"/>
      <c r="Q122" s="211"/>
      <c r="R122" s="211"/>
      <c r="S122" s="211"/>
      <c r="T122" s="211"/>
      <c r="U122" s="211"/>
      <c r="V122" s="211"/>
      <c r="W122" s="211"/>
      <c r="X122" s="211"/>
      <c r="Y122" s="211"/>
    </row>
    <row r="123" spans="2:27" x14ac:dyDescent="0.25">
      <c r="E123" s="52"/>
      <c r="F123" s="357" t="s">
        <v>267</v>
      </c>
      <c r="G123" s="80" t="s">
        <v>183</v>
      </c>
      <c r="H123" s="296"/>
      <c r="I123" s="296"/>
      <c r="J123" s="302">
        <f t="shared" ref="J123:Y123" si="0">hundred * $H18 * J55 / $H43 * J$78 * (1 - J67) / hours_in_year</f>
        <v>0</v>
      </c>
      <c r="K123" s="302">
        <f t="shared" si="0"/>
        <v>0</v>
      </c>
      <c r="L123" s="302">
        <f t="shared" si="0"/>
        <v>0</v>
      </c>
      <c r="M123" s="302">
        <f t="shared" si="0"/>
        <v>0</v>
      </c>
      <c r="N123" s="302">
        <f t="shared" si="0"/>
        <v>0</v>
      </c>
      <c r="O123" s="302">
        <f t="shared" si="0"/>
        <v>0</v>
      </c>
      <c r="P123" s="302">
        <f t="shared" si="0"/>
        <v>0</v>
      </c>
      <c r="Q123" s="302">
        <f t="shared" si="0"/>
        <v>0</v>
      </c>
      <c r="R123" s="302">
        <f t="shared" si="0"/>
        <v>0</v>
      </c>
      <c r="S123" s="302">
        <f t="shared" si="0"/>
        <v>0</v>
      </c>
      <c r="T123" s="302">
        <f t="shared" si="0"/>
        <v>0</v>
      </c>
      <c r="U123" s="302">
        <f t="shared" si="0"/>
        <v>0</v>
      </c>
      <c r="V123" s="302">
        <f t="shared" si="0"/>
        <v>0</v>
      </c>
      <c r="W123" s="302">
        <f t="shared" si="0"/>
        <v>0</v>
      </c>
      <c r="X123" s="302">
        <f t="shared" si="0"/>
        <v>0</v>
      </c>
      <c r="Y123" s="302">
        <f t="shared" si="0"/>
        <v>0</v>
      </c>
      <c r="Z123" s="298"/>
      <c r="AA123" s="298"/>
    </row>
    <row r="124" spans="2:27" x14ac:dyDescent="0.25">
      <c r="E124" s="52"/>
      <c r="F124" s="358" t="s">
        <v>43</v>
      </c>
      <c r="G124" t="s">
        <v>183</v>
      </c>
      <c r="H124" s="298"/>
      <c r="I124" s="298"/>
      <c r="J124" s="303">
        <f t="shared" ref="J124:Y124" si="1">hundred * $H19 * J56 / $H44 * J$78 * (1 - J68) / hours_in_year</f>
        <v>0</v>
      </c>
      <c r="K124" s="303">
        <f t="shared" si="1"/>
        <v>0</v>
      </c>
      <c r="L124" s="303">
        <f t="shared" si="1"/>
        <v>0</v>
      </c>
      <c r="M124" s="303">
        <f t="shared" si="1"/>
        <v>0</v>
      </c>
      <c r="N124" s="303">
        <f t="shared" si="1"/>
        <v>0</v>
      </c>
      <c r="O124" s="303">
        <f t="shared" si="1"/>
        <v>0</v>
      </c>
      <c r="P124" s="303">
        <f t="shared" si="1"/>
        <v>0</v>
      </c>
      <c r="Q124" s="303">
        <f t="shared" si="1"/>
        <v>0</v>
      </c>
      <c r="R124" s="303">
        <f t="shared" si="1"/>
        <v>0</v>
      </c>
      <c r="S124" s="303">
        <f t="shared" si="1"/>
        <v>0</v>
      </c>
      <c r="T124" s="303">
        <f t="shared" si="1"/>
        <v>0</v>
      </c>
      <c r="U124" s="303">
        <f t="shared" si="1"/>
        <v>0</v>
      </c>
      <c r="V124" s="303">
        <f t="shared" si="1"/>
        <v>0</v>
      </c>
      <c r="W124" s="303">
        <f t="shared" si="1"/>
        <v>0</v>
      </c>
      <c r="X124" s="303">
        <f t="shared" si="1"/>
        <v>0</v>
      </c>
      <c r="Y124" s="303">
        <f t="shared" si="1"/>
        <v>0</v>
      </c>
      <c r="Z124" s="298"/>
      <c r="AA124" s="298"/>
    </row>
    <row r="125" spans="2:27" x14ac:dyDescent="0.25">
      <c r="E125" s="52"/>
      <c r="F125" s="358" t="s">
        <v>44</v>
      </c>
      <c r="G125" t="s">
        <v>183</v>
      </c>
      <c r="H125" s="298"/>
      <c r="I125" s="298"/>
      <c r="J125" s="303">
        <f t="shared" ref="J125:Y125" si="2">hundred * $H20 * J57 / $H45 * J$78 * (1 - J69) / hours_in_year</f>
        <v>0</v>
      </c>
      <c r="K125" s="303">
        <f t="shared" si="2"/>
        <v>0</v>
      </c>
      <c r="L125" s="303">
        <f t="shared" si="2"/>
        <v>0</v>
      </c>
      <c r="M125" s="303">
        <f t="shared" si="2"/>
        <v>0</v>
      </c>
      <c r="N125" s="303">
        <f t="shared" si="2"/>
        <v>0</v>
      </c>
      <c r="O125" s="303">
        <f t="shared" si="2"/>
        <v>0</v>
      </c>
      <c r="P125" s="303">
        <f t="shared" si="2"/>
        <v>0</v>
      </c>
      <c r="Q125" s="303">
        <f t="shared" si="2"/>
        <v>0</v>
      </c>
      <c r="R125" s="303">
        <f t="shared" si="2"/>
        <v>0</v>
      </c>
      <c r="S125" s="303">
        <f t="shared" si="2"/>
        <v>0</v>
      </c>
      <c r="T125" s="303">
        <f t="shared" si="2"/>
        <v>0</v>
      </c>
      <c r="U125" s="303">
        <f t="shared" si="2"/>
        <v>0</v>
      </c>
      <c r="V125" s="303">
        <f t="shared" si="2"/>
        <v>0</v>
      </c>
      <c r="W125" s="303">
        <f t="shared" si="2"/>
        <v>0</v>
      </c>
      <c r="X125" s="303">
        <f t="shared" si="2"/>
        <v>0</v>
      </c>
      <c r="Y125" s="303">
        <f t="shared" si="2"/>
        <v>0</v>
      </c>
      <c r="Z125" s="298"/>
      <c r="AA125" s="298"/>
    </row>
    <row r="126" spans="2:27" x14ac:dyDescent="0.25">
      <c r="E126" s="52"/>
      <c r="F126" s="358" t="s">
        <v>45</v>
      </c>
      <c r="G126" t="s">
        <v>183</v>
      </c>
      <c r="H126" s="298"/>
      <c r="I126" s="298"/>
      <c r="J126" s="303">
        <f t="shared" ref="J126:Y126" si="3">hundred * $H21 * J58 / $H46 * J$78 * (1 - J70) / hours_in_year</f>
        <v>0</v>
      </c>
      <c r="K126" s="303">
        <f t="shared" si="3"/>
        <v>0</v>
      </c>
      <c r="L126" s="303">
        <f t="shared" si="3"/>
        <v>0</v>
      </c>
      <c r="M126" s="303">
        <f t="shared" si="3"/>
        <v>0</v>
      </c>
      <c r="N126" s="303">
        <f t="shared" si="3"/>
        <v>0</v>
      </c>
      <c r="O126" s="303">
        <f t="shared" si="3"/>
        <v>0</v>
      </c>
      <c r="P126" s="303">
        <f t="shared" si="3"/>
        <v>0</v>
      </c>
      <c r="Q126" s="303">
        <f t="shared" si="3"/>
        <v>0</v>
      </c>
      <c r="R126" s="303">
        <f t="shared" si="3"/>
        <v>0</v>
      </c>
      <c r="S126" s="303">
        <f t="shared" si="3"/>
        <v>0</v>
      </c>
      <c r="T126" s="303">
        <f t="shared" si="3"/>
        <v>0</v>
      </c>
      <c r="U126" s="303">
        <f t="shared" si="3"/>
        <v>0</v>
      </c>
      <c r="V126" s="303">
        <f t="shared" si="3"/>
        <v>0</v>
      </c>
      <c r="W126" s="303">
        <f t="shared" si="3"/>
        <v>0</v>
      </c>
      <c r="X126" s="303">
        <f t="shared" si="3"/>
        <v>0</v>
      </c>
      <c r="Y126" s="303">
        <f t="shared" si="3"/>
        <v>0</v>
      </c>
      <c r="Z126" s="298"/>
      <c r="AA126" s="298"/>
    </row>
    <row r="127" spans="2:27" x14ac:dyDescent="0.25">
      <c r="E127" s="52"/>
      <c r="F127" s="358" t="s">
        <v>46</v>
      </c>
      <c r="G127" t="s">
        <v>183</v>
      </c>
      <c r="H127" s="298"/>
      <c r="I127" s="298"/>
      <c r="J127" s="303">
        <f t="shared" ref="J127:Y127" si="4">hundred * $H22 * J59 / $H47 * J$78 * (1 - J71) / hours_in_year</f>
        <v>0.33479813444285239</v>
      </c>
      <c r="K127" s="303">
        <f t="shared" si="4"/>
        <v>0.33479813444285239</v>
      </c>
      <c r="L127" s="303">
        <f t="shared" si="4"/>
        <v>0.30714382010925867</v>
      </c>
      <c r="M127" s="303">
        <f t="shared" si="4"/>
        <v>0.30714382010925867</v>
      </c>
      <c r="N127" s="303">
        <f t="shared" si="4"/>
        <v>0.27075425349003052</v>
      </c>
      <c r="O127" s="303">
        <f t="shared" si="4"/>
        <v>0.21639241629147657</v>
      </c>
      <c r="P127" s="303">
        <f t="shared" si="4"/>
        <v>0.19905673256722797</v>
      </c>
      <c r="Q127" s="303">
        <f t="shared" si="4"/>
        <v>0.3584007191571385</v>
      </c>
      <c r="R127" s="303">
        <f t="shared" si="4"/>
        <v>-0.18739311912388845</v>
      </c>
      <c r="S127" s="303">
        <f t="shared" si="4"/>
        <v>-0.17704834060211724</v>
      </c>
      <c r="T127" s="303">
        <f t="shared" si="4"/>
        <v>-0.18739311912388845</v>
      </c>
      <c r="U127" s="303">
        <f t="shared" si="4"/>
        <v>-0.18739311912388845</v>
      </c>
      <c r="V127" s="303">
        <f t="shared" si="4"/>
        <v>-0.17704834060211724</v>
      </c>
      <c r="W127" s="303">
        <f t="shared" si="4"/>
        <v>-0.17704834060211724</v>
      </c>
      <c r="X127" s="303">
        <f t="shared" si="4"/>
        <v>-0.16825580628084397</v>
      </c>
      <c r="Y127" s="303">
        <f t="shared" si="4"/>
        <v>-0.16825580628084397</v>
      </c>
      <c r="Z127" s="298"/>
      <c r="AA127" s="298"/>
    </row>
    <row r="128" spans="2:27" x14ac:dyDescent="0.25">
      <c r="E128" s="52"/>
      <c r="F128" s="358" t="s">
        <v>47</v>
      </c>
      <c r="G128" t="s">
        <v>183</v>
      </c>
      <c r="H128" s="298"/>
      <c r="I128" s="298"/>
      <c r="J128" s="303">
        <f t="shared" ref="J128:Y128" si="5">hundred * $H23 * J60 / $H48 * J$78 * (1 - J72) / hours_in_year</f>
        <v>8.5790318927491477E-2</v>
      </c>
      <c r="K128" s="303">
        <f t="shared" si="5"/>
        <v>8.5790318927491477E-2</v>
      </c>
      <c r="L128" s="303">
        <f t="shared" si="5"/>
        <v>7.870404154918946E-2</v>
      </c>
      <c r="M128" s="303">
        <f t="shared" si="5"/>
        <v>7.870404154918946E-2</v>
      </c>
      <c r="N128" s="303">
        <f t="shared" si="5"/>
        <v>6.9379400206453251E-2</v>
      </c>
      <c r="O128" s="303">
        <f t="shared" si="5"/>
        <v>5.544945594762591E-2</v>
      </c>
      <c r="P128" s="303">
        <f t="shared" si="5"/>
        <v>4.516256635103396E-2</v>
      </c>
      <c r="Q128" s="303">
        <f t="shared" si="5"/>
        <v>9.1838361200849414E-2</v>
      </c>
      <c r="R128" s="303">
        <f t="shared" si="5"/>
        <v>-4.8018533559660383E-2</v>
      </c>
      <c r="S128" s="303">
        <f t="shared" si="5"/>
        <v>-4.5367736684421213E-2</v>
      </c>
      <c r="T128" s="303">
        <f t="shared" si="5"/>
        <v>-4.8018533559660383E-2</v>
      </c>
      <c r="U128" s="303">
        <f t="shared" si="5"/>
        <v>-4.8018533559660383E-2</v>
      </c>
      <c r="V128" s="303">
        <f t="shared" si="5"/>
        <v>-4.5367736684421213E-2</v>
      </c>
      <c r="W128" s="303">
        <f t="shared" si="5"/>
        <v>-4.5367736684421213E-2</v>
      </c>
      <c r="X128" s="303">
        <f t="shared" si="5"/>
        <v>-3.8174363243599137E-2</v>
      </c>
      <c r="Y128" s="303">
        <f t="shared" si="5"/>
        <v>-3.8174363243599137E-2</v>
      </c>
      <c r="Z128" s="298"/>
      <c r="AA128" s="298"/>
    </row>
    <row r="129" spans="4:27" x14ac:dyDescent="0.25">
      <c r="E129" s="52"/>
      <c r="F129" s="358" t="s">
        <v>51</v>
      </c>
      <c r="G129" t="s">
        <v>183</v>
      </c>
      <c r="H129" s="298"/>
      <c r="I129" s="298"/>
      <c r="J129" s="303">
        <f t="shared" ref="J129:Y129" si="6">hundred * $H24 * J61 / $H49 * J$78 * (1 - J73) / hours_in_year</f>
        <v>0</v>
      </c>
      <c r="K129" s="303">
        <f t="shared" si="6"/>
        <v>0</v>
      </c>
      <c r="L129" s="303">
        <f t="shared" si="6"/>
        <v>0</v>
      </c>
      <c r="M129" s="303">
        <f t="shared" si="6"/>
        <v>0</v>
      </c>
      <c r="N129" s="303">
        <f t="shared" si="6"/>
        <v>0</v>
      </c>
      <c r="O129" s="303">
        <f t="shared" si="6"/>
        <v>0</v>
      </c>
      <c r="P129" s="303">
        <f t="shared" si="6"/>
        <v>0</v>
      </c>
      <c r="Q129" s="303">
        <f t="shared" si="6"/>
        <v>0</v>
      </c>
      <c r="R129" s="303">
        <f t="shared" si="6"/>
        <v>0</v>
      </c>
      <c r="S129" s="303">
        <f t="shared" si="6"/>
        <v>0</v>
      </c>
      <c r="T129" s="303">
        <f t="shared" si="6"/>
        <v>0</v>
      </c>
      <c r="U129" s="303">
        <f t="shared" si="6"/>
        <v>0</v>
      </c>
      <c r="V129" s="303">
        <f t="shared" si="6"/>
        <v>0</v>
      </c>
      <c r="W129" s="303">
        <f t="shared" si="6"/>
        <v>0</v>
      </c>
      <c r="X129" s="303">
        <f t="shared" si="6"/>
        <v>0</v>
      </c>
      <c r="Y129" s="303">
        <f t="shared" si="6"/>
        <v>0</v>
      </c>
      <c r="Z129" s="298"/>
      <c r="AA129" s="298"/>
    </row>
    <row r="130" spans="4:27" x14ac:dyDescent="0.25">
      <c r="E130" s="52"/>
      <c r="F130" s="358" t="s">
        <v>48</v>
      </c>
      <c r="G130" t="s">
        <v>183</v>
      </c>
      <c r="H130" s="298"/>
      <c r="I130" s="298"/>
      <c r="J130" s="303">
        <f t="shared" ref="J130:Y130" si="7">hundred * $H25 * J62 / $H50 * J$78 * (1 - J74) / hours_in_year</f>
        <v>0.29501725711418952</v>
      </c>
      <c r="K130" s="303">
        <f t="shared" si="7"/>
        <v>0.29501725711418952</v>
      </c>
      <c r="L130" s="303">
        <f t="shared" si="7"/>
        <v>0.27064884187302563</v>
      </c>
      <c r="M130" s="303">
        <f t="shared" si="7"/>
        <v>0.27064884187302563</v>
      </c>
      <c r="N130" s="303">
        <f t="shared" si="7"/>
        <v>0.23858310127550375</v>
      </c>
      <c r="O130" s="303">
        <f t="shared" si="7"/>
        <v>0.19068056403856759</v>
      </c>
      <c r="P130" s="303">
        <f t="shared" si="7"/>
        <v>0.12423083813084429</v>
      </c>
      <c r="Q130" s="303">
        <f t="shared" si="7"/>
        <v>0.31581537122196857</v>
      </c>
      <c r="R130" s="303">
        <f t="shared" si="7"/>
        <v>-0.16512697747854016</v>
      </c>
      <c r="S130" s="303">
        <f t="shared" si="7"/>
        <v>-0.15601137057700992</v>
      </c>
      <c r="T130" s="303">
        <f t="shared" si="7"/>
        <v>-0.16512697747854016</v>
      </c>
      <c r="U130" s="303">
        <f t="shared" si="7"/>
        <v>-0.16512697747854016</v>
      </c>
      <c r="V130" s="303">
        <f t="shared" si="7"/>
        <v>-0.15601137057700992</v>
      </c>
      <c r="W130" s="303">
        <f t="shared" si="7"/>
        <v>-0.15601137057700992</v>
      </c>
      <c r="X130" s="303">
        <f t="shared" si="7"/>
        <v>0</v>
      </c>
      <c r="Y130" s="303">
        <f t="shared" si="7"/>
        <v>0</v>
      </c>
      <c r="Z130" s="298"/>
      <c r="AA130" s="298"/>
    </row>
    <row r="131" spans="4:27" x14ac:dyDescent="0.25">
      <c r="E131" s="52"/>
      <c r="F131" s="358" t="s">
        <v>49</v>
      </c>
      <c r="G131" t="s">
        <v>183</v>
      </c>
      <c r="H131" s="298"/>
      <c r="I131" s="298"/>
      <c r="J131" s="303">
        <f t="shared" ref="J131:Y131" si="8">hundred * $H26 * J63 / $H51 * J$78 * (1 - J75) / hours_in_year</f>
        <v>6.7742798571625934E-2</v>
      </c>
      <c r="K131" s="303">
        <f t="shared" si="8"/>
        <v>6.7742798571625934E-2</v>
      </c>
      <c r="L131" s="303">
        <f t="shared" si="8"/>
        <v>6.2147245750954996E-2</v>
      </c>
      <c r="M131" s="303">
        <f t="shared" si="8"/>
        <v>6.2147245750954996E-2</v>
      </c>
      <c r="N131" s="303">
        <f t="shared" si="8"/>
        <v>5.4784208660866571E-2</v>
      </c>
      <c r="O131" s="303">
        <f t="shared" si="8"/>
        <v>4.3784676081470547E-2</v>
      </c>
      <c r="P131" s="303">
        <f t="shared" si="8"/>
        <v>0</v>
      </c>
      <c r="Q131" s="303">
        <f t="shared" si="8"/>
        <v>7.2518527518653689E-2</v>
      </c>
      <c r="R131" s="303">
        <f t="shared" si="8"/>
        <v>-3.7916980462402015E-2</v>
      </c>
      <c r="S131" s="303">
        <f t="shared" si="8"/>
        <v>0</v>
      </c>
      <c r="T131" s="303">
        <f t="shared" si="8"/>
        <v>-3.7916980462402015E-2</v>
      </c>
      <c r="U131" s="303">
        <f t="shared" si="8"/>
        <v>-3.7916980462402015E-2</v>
      </c>
      <c r="V131" s="303">
        <f t="shared" si="8"/>
        <v>0</v>
      </c>
      <c r="W131" s="303">
        <f t="shared" si="8"/>
        <v>0</v>
      </c>
      <c r="X131" s="303">
        <f t="shared" si="8"/>
        <v>0</v>
      </c>
      <c r="Y131" s="303">
        <f t="shared" si="8"/>
        <v>0</v>
      </c>
      <c r="Z131" s="298"/>
      <c r="AA131" s="298"/>
    </row>
    <row r="132" spans="4:27" x14ac:dyDescent="0.25">
      <c r="E132" s="52"/>
      <c r="F132" s="360" t="s">
        <v>50</v>
      </c>
      <c r="G132" s="17" t="s">
        <v>183</v>
      </c>
      <c r="H132" s="300"/>
      <c r="I132" s="300"/>
      <c r="J132" s="304">
        <f t="shared" ref="J132:Y132" si="9">hundred * $H27 * J64 / $H52 * J$78 * (1 - J76) / hours_in_year</f>
        <v>1.1901745155784439E-2</v>
      </c>
      <c r="K132" s="304">
        <f t="shared" si="9"/>
        <v>1.1901745155784439E-2</v>
      </c>
      <c r="L132" s="304">
        <f t="shared" si="9"/>
        <v>1.091866141726806E-2</v>
      </c>
      <c r="M132" s="304">
        <f t="shared" si="9"/>
        <v>1.091866141726806E-2</v>
      </c>
      <c r="N132" s="304">
        <f t="shared" si="9"/>
        <v>9.6250480315416814E-3</v>
      </c>
      <c r="O132" s="304">
        <f t="shared" si="9"/>
        <v>0</v>
      </c>
      <c r="P132" s="304">
        <f t="shared" si="9"/>
        <v>0</v>
      </c>
      <c r="Q132" s="304">
        <f t="shared" si="9"/>
        <v>1.2740793882130305E-2</v>
      </c>
      <c r="R132" s="304">
        <f t="shared" si="9"/>
        <v>0</v>
      </c>
      <c r="S132" s="304">
        <f t="shared" si="9"/>
        <v>0</v>
      </c>
      <c r="T132" s="304">
        <f t="shared" si="9"/>
        <v>0</v>
      </c>
      <c r="U132" s="304">
        <f t="shared" si="9"/>
        <v>0</v>
      </c>
      <c r="V132" s="304">
        <f t="shared" si="9"/>
        <v>0</v>
      </c>
      <c r="W132" s="304">
        <f t="shared" si="9"/>
        <v>0</v>
      </c>
      <c r="X132" s="304">
        <f t="shared" si="9"/>
        <v>0</v>
      </c>
      <c r="Y132" s="304">
        <f t="shared" si="9"/>
        <v>0</v>
      </c>
      <c r="Z132" s="298"/>
      <c r="AA132" s="298"/>
    </row>
    <row r="133" spans="4:27" x14ac:dyDescent="0.25">
      <c r="E133" s="52"/>
      <c r="F133" s="358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</row>
    <row r="134" spans="4:27" x14ac:dyDescent="0.25">
      <c r="E134" s="52" t="s">
        <v>116</v>
      </c>
      <c r="J134" s="211"/>
      <c r="K134" s="211"/>
      <c r="L134" s="211"/>
      <c r="M134" s="211"/>
      <c r="N134" s="211"/>
      <c r="O134" s="211"/>
      <c r="P134" s="211"/>
      <c r="Q134" s="211"/>
      <c r="R134" s="211"/>
      <c r="S134" s="211"/>
      <c r="T134" s="211"/>
      <c r="U134" s="211"/>
      <c r="V134" s="211"/>
      <c r="W134" s="211"/>
      <c r="X134" s="211"/>
      <c r="Y134" s="211"/>
    </row>
    <row r="135" spans="4:27" x14ac:dyDescent="0.25">
      <c r="D135" s="52"/>
      <c r="E135" s="52"/>
      <c r="F135" s="357" t="s">
        <v>267</v>
      </c>
      <c r="G135" s="80" t="s">
        <v>183</v>
      </c>
      <c r="H135" s="296"/>
      <c r="I135" s="296"/>
      <c r="J135" s="302">
        <f t="shared" ref="J135:Y135" si="10">hundred * $H30 * J55 / $H43 * J$78 / hours_in_year</f>
        <v>0.1321881512471077</v>
      </c>
      <c r="K135" s="302">
        <f t="shared" si="10"/>
        <v>0.1321881512471077</v>
      </c>
      <c r="L135" s="302">
        <f t="shared" si="10"/>
        <v>0.12126941452282013</v>
      </c>
      <c r="M135" s="302">
        <f t="shared" si="10"/>
        <v>0.12126941452282013</v>
      </c>
      <c r="N135" s="302">
        <f t="shared" si="10"/>
        <v>0.1069017432570165</v>
      </c>
      <c r="O135" s="302">
        <f t="shared" si="10"/>
        <v>8.5438090929229438E-2</v>
      </c>
      <c r="P135" s="302">
        <f t="shared" si="10"/>
        <v>8.1116205897213176E-2</v>
      </c>
      <c r="Q135" s="302">
        <f t="shared" si="10"/>
        <v>0.14150714593991501</v>
      </c>
      <c r="R135" s="302">
        <f t="shared" si="10"/>
        <v>-7.3988315420688511E-2</v>
      </c>
      <c r="S135" s="302">
        <f t="shared" si="10"/>
        <v>-6.9903892578460469E-2</v>
      </c>
      <c r="T135" s="302">
        <f t="shared" si="10"/>
        <v>-7.3988315420688511E-2</v>
      </c>
      <c r="U135" s="302">
        <f t="shared" si="10"/>
        <v>-7.3988315420688511E-2</v>
      </c>
      <c r="V135" s="302">
        <f t="shared" si="10"/>
        <v>-6.9903892578460469E-2</v>
      </c>
      <c r="W135" s="302">
        <f t="shared" si="10"/>
        <v>-6.9903892578460469E-2</v>
      </c>
      <c r="X135" s="302">
        <f t="shared" si="10"/>
        <v>-6.856473754822176E-2</v>
      </c>
      <c r="Y135" s="302">
        <f t="shared" si="10"/>
        <v>-6.856473754822176E-2</v>
      </c>
      <c r="Z135" s="298"/>
      <c r="AA135" s="298"/>
    </row>
    <row r="136" spans="4:27" x14ac:dyDescent="0.25">
      <c r="D136" s="52"/>
      <c r="E136" s="52"/>
      <c r="F136" s="358" t="s">
        <v>43</v>
      </c>
      <c r="G136" t="s">
        <v>183</v>
      </c>
      <c r="H136" s="298"/>
      <c r="I136" s="298"/>
      <c r="J136" s="303">
        <f t="shared" ref="J136:Y136" si="11">hundred * $H31 * J56 / $H44 * J$78 / hours_in_year</f>
        <v>0</v>
      </c>
      <c r="K136" s="303">
        <f t="shared" si="11"/>
        <v>0</v>
      </c>
      <c r="L136" s="303">
        <f t="shared" si="11"/>
        <v>0</v>
      </c>
      <c r="M136" s="303">
        <f t="shared" si="11"/>
        <v>0</v>
      </c>
      <c r="N136" s="303">
        <f t="shared" si="11"/>
        <v>0</v>
      </c>
      <c r="O136" s="303">
        <f t="shared" si="11"/>
        <v>0</v>
      </c>
      <c r="P136" s="303">
        <f t="shared" si="11"/>
        <v>0</v>
      </c>
      <c r="Q136" s="303">
        <f t="shared" si="11"/>
        <v>0</v>
      </c>
      <c r="R136" s="303">
        <f t="shared" si="11"/>
        <v>0</v>
      </c>
      <c r="S136" s="303">
        <f t="shared" si="11"/>
        <v>0</v>
      </c>
      <c r="T136" s="303">
        <f t="shared" si="11"/>
        <v>0</v>
      </c>
      <c r="U136" s="303">
        <f t="shared" si="11"/>
        <v>0</v>
      </c>
      <c r="V136" s="303">
        <f t="shared" si="11"/>
        <v>0</v>
      </c>
      <c r="W136" s="303">
        <f t="shared" si="11"/>
        <v>0</v>
      </c>
      <c r="X136" s="303">
        <f t="shared" si="11"/>
        <v>0</v>
      </c>
      <c r="Y136" s="303">
        <f t="shared" si="11"/>
        <v>0</v>
      </c>
      <c r="Z136" s="298"/>
      <c r="AA136" s="298"/>
    </row>
    <row r="137" spans="4:27" x14ac:dyDescent="0.25">
      <c r="D137" s="52"/>
      <c r="E137" s="52"/>
      <c r="F137" s="358" t="s">
        <v>44</v>
      </c>
      <c r="G137" t="s">
        <v>183</v>
      </c>
      <c r="H137" s="298"/>
      <c r="I137" s="298"/>
      <c r="J137" s="303">
        <f t="shared" ref="J137:Y137" si="12">hundred * $H32 * J57 / $H45 * J$78 / hours_in_year</f>
        <v>0</v>
      </c>
      <c r="K137" s="303">
        <f t="shared" si="12"/>
        <v>0</v>
      </c>
      <c r="L137" s="303">
        <f t="shared" si="12"/>
        <v>0</v>
      </c>
      <c r="M137" s="303">
        <f t="shared" si="12"/>
        <v>0</v>
      </c>
      <c r="N137" s="303">
        <f t="shared" si="12"/>
        <v>0</v>
      </c>
      <c r="O137" s="303">
        <f t="shared" si="12"/>
        <v>0</v>
      </c>
      <c r="P137" s="303">
        <f t="shared" si="12"/>
        <v>0</v>
      </c>
      <c r="Q137" s="303">
        <f t="shared" si="12"/>
        <v>0</v>
      </c>
      <c r="R137" s="303">
        <f t="shared" si="12"/>
        <v>0</v>
      </c>
      <c r="S137" s="303">
        <f t="shared" si="12"/>
        <v>0</v>
      </c>
      <c r="T137" s="303">
        <f t="shared" si="12"/>
        <v>0</v>
      </c>
      <c r="U137" s="303">
        <f t="shared" si="12"/>
        <v>0</v>
      </c>
      <c r="V137" s="303">
        <f t="shared" si="12"/>
        <v>0</v>
      </c>
      <c r="W137" s="303">
        <f t="shared" si="12"/>
        <v>0</v>
      </c>
      <c r="X137" s="303">
        <f t="shared" si="12"/>
        <v>0</v>
      </c>
      <c r="Y137" s="303">
        <f t="shared" si="12"/>
        <v>0</v>
      </c>
      <c r="Z137" s="298"/>
      <c r="AA137" s="298"/>
    </row>
    <row r="138" spans="4:27" x14ac:dyDescent="0.25">
      <c r="D138" s="52"/>
      <c r="E138" s="52"/>
      <c r="F138" s="358" t="s">
        <v>45</v>
      </c>
      <c r="G138" t="s">
        <v>183</v>
      </c>
      <c r="H138" s="298"/>
      <c r="I138" s="298"/>
      <c r="J138" s="303">
        <f t="shared" ref="J138:Y138" si="13">hundred * $H33 * J58 / $H46 * J$78 / hours_in_year</f>
        <v>0</v>
      </c>
      <c r="K138" s="303">
        <f t="shared" si="13"/>
        <v>0</v>
      </c>
      <c r="L138" s="303">
        <f t="shared" si="13"/>
        <v>0</v>
      </c>
      <c r="M138" s="303">
        <f t="shared" si="13"/>
        <v>0</v>
      </c>
      <c r="N138" s="303">
        <f t="shared" si="13"/>
        <v>0</v>
      </c>
      <c r="O138" s="303">
        <f t="shared" si="13"/>
        <v>0</v>
      </c>
      <c r="P138" s="303">
        <f t="shared" si="13"/>
        <v>0</v>
      </c>
      <c r="Q138" s="303">
        <f t="shared" si="13"/>
        <v>0</v>
      </c>
      <c r="R138" s="303">
        <f t="shared" si="13"/>
        <v>0</v>
      </c>
      <c r="S138" s="303">
        <f t="shared" si="13"/>
        <v>0</v>
      </c>
      <c r="T138" s="303">
        <f t="shared" si="13"/>
        <v>0</v>
      </c>
      <c r="U138" s="303">
        <f t="shared" si="13"/>
        <v>0</v>
      </c>
      <c r="V138" s="303">
        <f t="shared" si="13"/>
        <v>0</v>
      </c>
      <c r="W138" s="303">
        <f t="shared" si="13"/>
        <v>0</v>
      </c>
      <c r="X138" s="303">
        <f t="shared" si="13"/>
        <v>0</v>
      </c>
      <c r="Y138" s="303">
        <f t="shared" si="13"/>
        <v>0</v>
      </c>
      <c r="Z138" s="298"/>
      <c r="AA138" s="298"/>
    </row>
    <row r="139" spans="4:27" x14ac:dyDescent="0.25">
      <c r="D139" s="52"/>
      <c r="E139" s="52"/>
      <c r="F139" s="358" t="s">
        <v>46</v>
      </c>
      <c r="G139" t="s">
        <v>183</v>
      </c>
      <c r="H139" s="298"/>
      <c r="I139" s="298"/>
      <c r="J139" s="303">
        <f t="shared" ref="J139:Y139" si="14">hundred * $H34 * J59 / $H47 * J$78 / hours_in_year</f>
        <v>0.2511474472632147</v>
      </c>
      <c r="K139" s="303">
        <f t="shared" si="14"/>
        <v>0.2511474472632147</v>
      </c>
      <c r="L139" s="303">
        <f t="shared" si="14"/>
        <v>0.23040267679950088</v>
      </c>
      <c r="M139" s="303">
        <f t="shared" si="14"/>
        <v>0.23040267679950088</v>
      </c>
      <c r="N139" s="303">
        <f t="shared" si="14"/>
        <v>0.20310519266434413</v>
      </c>
      <c r="O139" s="303">
        <f t="shared" si="14"/>
        <v>0.16232588347352264</v>
      </c>
      <c r="P139" s="303">
        <f t="shared" si="14"/>
        <v>0.15411463017346766</v>
      </c>
      <c r="Q139" s="303">
        <f t="shared" si="14"/>
        <v>0.26885282937256028</v>
      </c>
      <c r="R139" s="303">
        <f t="shared" si="14"/>
        <v>-0.14057217965379512</v>
      </c>
      <c r="S139" s="303">
        <f t="shared" si="14"/>
        <v>-0.13281208647833675</v>
      </c>
      <c r="T139" s="303">
        <f t="shared" si="14"/>
        <v>-0.14057217965379512</v>
      </c>
      <c r="U139" s="303">
        <f t="shared" si="14"/>
        <v>-0.14057217965379512</v>
      </c>
      <c r="V139" s="303">
        <f t="shared" si="14"/>
        <v>-0.13281208647833675</v>
      </c>
      <c r="W139" s="303">
        <f t="shared" si="14"/>
        <v>-0.13281208647833675</v>
      </c>
      <c r="X139" s="303">
        <f t="shared" si="14"/>
        <v>-0.13026779363392416</v>
      </c>
      <c r="Y139" s="303">
        <f t="shared" si="14"/>
        <v>-0.13026779363392416</v>
      </c>
      <c r="Z139" s="298"/>
      <c r="AA139" s="298"/>
    </row>
    <row r="140" spans="4:27" x14ac:dyDescent="0.25">
      <c r="D140" s="52"/>
      <c r="E140" s="52"/>
      <c r="F140" s="358" t="s">
        <v>47</v>
      </c>
      <c r="G140" t="s">
        <v>183</v>
      </c>
      <c r="H140" s="298"/>
      <c r="I140" s="298"/>
      <c r="J140" s="303">
        <f t="shared" ref="J140:Y140" si="15">hundred * $H35 * J60 / $H48 * J$78 / hours_in_year</f>
        <v>6.4355255845113729E-2</v>
      </c>
      <c r="K140" s="303">
        <f t="shared" si="15"/>
        <v>6.4355255845113729E-2</v>
      </c>
      <c r="L140" s="303">
        <f t="shared" si="15"/>
        <v>5.9039513936571524E-2</v>
      </c>
      <c r="M140" s="303">
        <f t="shared" si="15"/>
        <v>5.9039513936571524E-2</v>
      </c>
      <c r="N140" s="303">
        <f t="shared" si="15"/>
        <v>5.2044672481524605E-2</v>
      </c>
      <c r="O140" s="303">
        <f t="shared" si="15"/>
        <v>4.1595181934197423E-2</v>
      </c>
      <c r="P140" s="303">
        <f t="shared" si="15"/>
        <v>3.9491090044383212E-2</v>
      </c>
      <c r="Q140" s="303">
        <f t="shared" si="15"/>
        <v>6.8892169948358631E-2</v>
      </c>
      <c r="R140" s="303">
        <f t="shared" si="15"/>
        <v>-3.6020905985335555E-2</v>
      </c>
      <c r="S140" s="303">
        <f t="shared" si="15"/>
        <v>-3.4032421582525174E-2</v>
      </c>
      <c r="T140" s="303">
        <f t="shared" si="15"/>
        <v>-3.6020905985335555E-2</v>
      </c>
      <c r="U140" s="303">
        <f t="shared" si="15"/>
        <v>-3.6020905985335555E-2</v>
      </c>
      <c r="V140" s="303">
        <f t="shared" si="15"/>
        <v>-3.4032421582525174E-2</v>
      </c>
      <c r="W140" s="303">
        <f t="shared" si="15"/>
        <v>-3.4032421582525174E-2</v>
      </c>
      <c r="X140" s="303">
        <f t="shared" si="15"/>
        <v>-3.3380459483243079E-2</v>
      </c>
      <c r="Y140" s="303">
        <f t="shared" si="15"/>
        <v>-3.3380459483243079E-2</v>
      </c>
      <c r="Z140" s="298"/>
      <c r="AA140" s="298"/>
    </row>
    <row r="141" spans="4:27" x14ac:dyDescent="0.25">
      <c r="D141" s="52"/>
      <c r="E141" s="52"/>
      <c r="F141" s="358" t="s">
        <v>51</v>
      </c>
      <c r="G141" t="s">
        <v>183</v>
      </c>
      <c r="H141" s="298"/>
      <c r="I141" s="298"/>
      <c r="J141" s="303">
        <f t="shared" ref="J141:Y141" si="16">hundred * $H36 * J61 / $H49 * J$78 / hours_in_year</f>
        <v>0</v>
      </c>
      <c r="K141" s="303">
        <f t="shared" si="16"/>
        <v>0</v>
      </c>
      <c r="L141" s="303">
        <f t="shared" si="16"/>
        <v>0</v>
      </c>
      <c r="M141" s="303">
        <f t="shared" si="16"/>
        <v>0</v>
      </c>
      <c r="N141" s="303">
        <f t="shared" si="16"/>
        <v>0</v>
      </c>
      <c r="O141" s="303">
        <f t="shared" si="16"/>
        <v>0</v>
      </c>
      <c r="P141" s="303">
        <f t="shared" si="16"/>
        <v>0</v>
      </c>
      <c r="Q141" s="303">
        <f t="shared" si="16"/>
        <v>0</v>
      </c>
      <c r="R141" s="303">
        <f t="shared" si="16"/>
        <v>0</v>
      </c>
      <c r="S141" s="303">
        <f t="shared" si="16"/>
        <v>0</v>
      </c>
      <c r="T141" s="303">
        <f t="shared" si="16"/>
        <v>0</v>
      </c>
      <c r="U141" s="303">
        <f t="shared" si="16"/>
        <v>0</v>
      </c>
      <c r="V141" s="303">
        <f t="shared" si="16"/>
        <v>0</v>
      </c>
      <c r="W141" s="303">
        <f t="shared" si="16"/>
        <v>0</v>
      </c>
      <c r="X141" s="303">
        <f t="shared" si="16"/>
        <v>0</v>
      </c>
      <c r="Y141" s="303">
        <f t="shared" si="16"/>
        <v>0</v>
      </c>
      <c r="Z141" s="298"/>
      <c r="AA141" s="298"/>
    </row>
    <row r="142" spans="4:27" x14ac:dyDescent="0.25">
      <c r="D142" s="52"/>
      <c r="E142" s="52"/>
      <c r="F142" s="358" t="s">
        <v>48</v>
      </c>
      <c r="G142" t="s">
        <v>183</v>
      </c>
      <c r="H142" s="298"/>
      <c r="I142" s="298"/>
      <c r="J142" s="303">
        <f t="shared" ref="J142:Y142" si="17">hundred * $H37 * J62 / $H50 * J$78 / hours_in_year</f>
        <v>0.27685811353082967</v>
      </c>
      <c r="K142" s="303">
        <f t="shared" si="17"/>
        <v>0.27685811353082967</v>
      </c>
      <c r="L142" s="303">
        <f t="shared" si="17"/>
        <v>0.25398964292203002</v>
      </c>
      <c r="M142" s="303">
        <f t="shared" si="17"/>
        <v>0.25398964292203002</v>
      </c>
      <c r="N142" s="303">
        <f t="shared" si="17"/>
        <v>0.22389763902490661</v>
      </c>
      <c r="O142" s="303">
        <f t="shared" si="17"/>
        <v>0.17894363795226698</v>
      </c>
      <c r="P142" s="303">
        <f t="shared" si="17"/>
        <v>0.16989177569704592</v>
      </c>
      <c r="Q142" s="303">
        <f t="shared" si="17"/>
        <v>0.29637604510271026</v>
      </c>
      <c r="R142" s="303">
        <f t="shared" si="17"/>
        <v>-0.15496294665929083</v>
      </c>
      <c r="S142" s="303">
        <f t="shared" si="17"/>
        <v>-0.14640843105185486</v>
      </c>
      <c r="T142" s="303">
        <f t="shared" si="17"/>
        <v>-0.15496294665929083</v>
      </c>
      <c r="U142" s="303">
        <f t="shared" si="17"/>
        <v>-0.15496294665929083</v>
      </c>
      <c r="V142" s="303">
        <f t="shared" si="17"/>
        <v>-0.14640843105185486</v>
      </c>
      <c r="W142" s="303">
        <f t="shared" si="17"/>
        <v>-0.14640843105185486</v>
      </c>
      <c r="X142" s="303">
        <f t="shared" si="17"/>
        <v>0</v>
      </c>
      <c r="Y142" s="303">
        <f t="shared" si="17"/>
        <v>0</v>
      </c>
      <c r="Z142" s="298"/>
      <c r="AA142" s="298"/>
    </row>
    <row r="143" spans="4:27" x14ac:dyDescent="0.25">
      <c r="D143" s="52"/>
      <c r="E143" s="52"/>
      <c r="F143" s="358" t="s">
        <v>49</v>
      </c>
      <c r="G143" t="s">
        <v>183</v>
      </c>
      <c r="H143" s="298"/>
      <c r="I143" s="298"/>
      <c r="J143" s="303">
        <f t="shared" ref="J143:Y143" si="18">hundred * $H38 * J63 / $H51 * J$78 / hours_in_year</f>
        <v>6.9582283285569105E-2</v>
      </c>
      <c r="K143" s="303">
        <f t="shared" si="18"/>
        <v>6.9582283285569105E-2</v>
      </c>
      <c r="L143" s="303">
        <f t="shared" si="18"/>
        <v>6.3834789091103253E-2</v>
      </c>
      <c r="M143" s="303">
        <f t="shared" si="18"/>
        <v>6.3834789091103253E-2</v>
      </c>
      <c r="N143" s="303">
        <f t="shared" si="18"/>
        <v>5.6271816443863407E-2</v>
      </c>
      <c r="O143" s="303">
        <f t="shared" si="18"/>
        <v>4.4973603082643393E-2</v>
      </c>
      <c r="P143" s="303">
        <f t="shared" si="18"/>
        <v>0</v>
      </c>
      <c r="Q143" s="303">
        <f t="shared" si="18"/>
        <v>7.4487692148118886E-2</v>
      </c>
      <c r="R143" s="303">
        <f t="shared" si="18"/>
        <v>-3.8946576337242134E-2</v>
      </c>
      <c r="S143" s="303">
        <f t="shared" si="18"/>
        <v>0</v>
      </c>
      <c r="T143" s="303">
        <f t="shared" si="18"/>
        <v>-3.8946576337242134E-2</v>
      </c>
      <c r="U143" s="303">
        <f t="shared" si="18"/>
        <v>-3.8946576337242134E-2</v>
      </c>
      <c r="V143" s="303">
        <f t="shared" si="18"/>
        <v>0</v>
      </c>
      <c r="W143" s="303">
        <f t="shared" si="18"/>
        <v>0</v>
      </c>
      <c r="X143" s="303">
        <f t="shared" si="18"/>
        <v>0</v>
      </c>
      <c r="Y143" s="303">
        <f t="shared" si="18"/>
        <v>0</v>
      </c>
      <c r="Z143" s="298"/>
      <c r="AA143" s="298"/>
    </row>
    <row r="144" spans="4:27" x14ac:dyDescent="0.25">
      <c r="D144" s="52"/>
      <c r="E144" s="52"/>
      <c r="F144" s="360" t="s">
        <v>50</v>
      </c>
      <c r="G144" s="17" t="s">
        <v>183</v>
      </c>
      <c r="H144" s="300"/>
      <c r="I144" s="300"/>
      <c r="J144" s="304">
        <f t="shared" ref="J144:Y144" si="19">hundred * $H39 * J64 / $H52 * J$78 / hours_in_year</f>
        <v>0.11703960039604976</v>
      </c>
      <c r="K144" s="304">
        <f t="shared" si="19"/>
        <v>0.11703960039604976</v>
      </c>
      <c r="L144" s="304">
        <f t="shared" si="19"/>
        <v>0.10737213344849116</v>
      </c>
      <c r="M144" s="304">
        <f t="shared" si="19"/>
        <v>0.10737213344849116</v>
      </c>
      <c r="N144" s="304">
        <f t="shared" si="19"/>
        <v>9.465097434529765E-2</v>
      </c>
      <c r="O144" s="304">
        <f t="shared" si="19"/>
        <v>0</v>
      </c>
      <c r="P144" s="304">
        <f t="shared" si="19"/>
        <v>0</v>
      </c>
      <c r="Q144" s="304">
        <f t="shared" si="19"/>
        <v>0.125290653192001</v>
      </c>
      <c r="R144" s="304">
        <f t="shared" si="19"/>
        <v>0</v>
      </c>
      <c r="S144" s="304">
        <f t="shared" si="19"/>
        <v>0</v>
      </c>
      <c r="T144" s="304">
        <f t="shared" si="19"/>
        <v>0</v>
      </c>
      <c r="U144" s="304">
        <f t="shared" si="19"/>
        <v>0</v>
      </c>
      <c r="V144" s="304">
        <f t="shared" si="19"/>
        <v>0</v>
      </c>
      <c r="W144" s="304">
        <f t="shared" si="19"/>
        <v>0</v>
      </c>
      <c r="X144" s="304">
        <f t="shared" si="19"/>
        <v>0</v>
      </c>
      <c r="Y144" s="304">
        <f t="shared" si="19"/>
        <v>0</v>
      </c>
      <c r="Z144" s="298"/>
      <c r="AA144" s="298"/>
    </row>
    <row r="145" spans="3:27" x14ac:dyDescent="0.25">
      <c r="C145" s="52"/>
      <c r="D145" s="52"/>
      <c r="E145" s="52"/>
      <c r="J145" s="198"/>
      <c r="K145" s="198"/>
      <c r="L145" s="198"/>
      <c r="M145" s="198"/>
      <c r="N145" s="198"/>
      <c r="O145" s="198"/>
      <c r="P145" s="198"/>
      <c r="Q145" s="198"/>
      <c r="R145" s="198"/>
      <c r="S145" s="198"/>
      <c r="T145" s="198"/>
      <c r="U145" s="198"/>
      <c r="V145" s="198"/>
      <c r="W145" s="198"/>
      <c r="X145" s="198"/>
      <c r="Y145" s="198"/>
    </row>
    <row r="146" spans="3:27" x14ac:dyDescent="0.25">
      <c r="C146" s="5" t="str">
        <f ca="1">INDEX('Version control'!$H$36:$H$62,MATCH($A$1,'Version control'!$F$36:$F$62,0),1)&amp;"-C: Unit rate 1"</f>
        <v>Section 512-C: Unit rate 1</v>
      </c>
      <c r="D146" s="5"/>
      <c r="E146" s="5"/>
      <c r="F146" s="5"/>
      <c r="G146" s="5"/>
      <c r="H146" s="5"/>
      <c r="I146" s="5"/>
      <c r="J146" s="204"/>
      <c r="K146" s="204"/>
      <c r="L146" s="204"/>
      <c r="M146" s="204"/>
      <c r="N146" s="204"/>
      <c r="O146" s="204"/>
      <c r="P146" s="204"/>
      <c r="Q146" s="204"/>
      <c r="R146" s="204"/>
      <c r="S146" s="204"/>
      <c r="T146" s="204"/>
      <c r="U146" s="204"/>
      <c r="V146" s="204"/>
      <c r="W146" s="204"/>
      <c r="X146" s="204"/>
      <c r="Y146" s="204"/>
      <c r="Z146" s="5"/>
      <c r="AA146" s="5"/>
    </row>
    <row r="147" spans="3:27" x14ac:dyDescent="0.25">
      <c r="C147" s="52"/>
      <c r="D147" s="52"/>
      <c r="E147" s="52"/>
      <c r="J147" s="198"/>
      <c r="K147" s="198"/>
      <c r="L147" s="198"/>
      <c r="M147" s="198"/>
      <c r="N147" s="198"/>
      <c r="O147" s="198"/>
      <c r="P147" s="198"/>
      <c r="Q147" s="198"/>
      <c r="R147" s="198"/>
      <c r="S147" s="198"/>
      <c r="T147" s="198"/>
      <c r="U147" s="198"/>
      <c r="V147" s="198"/>
      <c r="W147" s="198"/>
      <c r="X147" s="198"/>
      <c r="Y147" s="198"/>
    </row>
    <row r="148" spans="3:27" x14ac:dyDescent="0.25">
      <c r="D148" s="73" t="s">
        <v>817</v>
      </c>
      <c r="E148" s="52"/>
      <c r="F148" s="52"/>
      <c r="J148" s="198"/>
      <c r="K148" s="198"/>
      <c r="L148" s="198"/>
      <c r="M148" s="198"/>
      <c r="N148" s="198"/>
      <c r="O148" s="198"/>
      <c r="P148" s="198"/>
      <c r="Q148" s="198"/>
      <c r="R148" s="198"/>
      <c r="S148" s="198"/>
      <c r="T148" s="198"/>
      <c r="U148" s="198"/>
      <c r="V148" s="198"/>
      <c r="W148" s="198"/>
      <c r="X148" s="198"/>
      <c r="Y148" s="198"/>
    </row>
    <row r="149" spans="3:27" x14ac:dyDescent="0.25">
      <c r="D149" s="73" t="s">
        <v>376</v>
      </c>
      <c r="E149" s="52"/>
      <c r="F149" s="52"/>
      <c r="J149" s="198"/>
      <c r="K149" s="198"/>
      <c r="L149" s="198"/>
      <c r="M149" s="198"/>
      <c r="N149" s="198"/>
      <c r="O149" s="198"/>
      <c r="P149" s="198"/>
      <c r="Q149" s="198"/>
      <c r="R149" s="198"/>
      <c r="S149" s="198"/>
      <c r="T149" s="198"/>
      <c r="U149" s="198"/>
      <c r="V149" s="198"/>
      <c r="W149" s="198"/>
      <c r="X149" s="198"/>
      <c r="Y149" s="198"/>
    </row>
    <row r="150" spans="3:27" x14ac:dyDescent="0.25">
      <c r="D150" s="52"/>
      <c r="E150" s="52"/>
      <c r="F150" s="52"/>
      <c r="I150" s="19" t="s">
        <v>359</v>
      </c>
      <c r="J150" s="198"/>
      <c r="K150" s="198"/>
      <c r="L150" s="198"/>
      <c r="M150" s="198"/>
      <c r="N150" s="198"/>
      <c r="O150" s="198"/>
      <c r="P150" s="198"/>
      <c r="Q150" s="198"/>
      <c r="R150" s="198"/>
      <c r="S150" s="198"/>
      <c r="T150" s="198"/>
      <c r="U150" s="198"/>
      <c r="V150" s="198"/>
      <c r="W150" s="198"/>
      <c r="X150" s="198"/>
      <c r="Y150" s="198"/>
      <c r="AA150" t="s">
        <v>725</v>
      </c>
    </row>
    <row r="151" spans="3:27" x14ac:dyDescent="0.25">
      <c r="E151" s="52" t="s">
        <v>139</v>
      </c>
      <c r="J151" s="198"/>
      <c r="K151" s="198"/>
      <c r="L151" s="198"/>
      <c r="M151" s="198"/>
      <c r="N151" s="198"/>
      <c r="O151" s="198"/>
      <c r="P151" s="198"/>
      <c r="Q151" s="198"/>
      <c r="R151" s="198"/>
      <c r="S151" s="198"/>
      <c r="T151" s="198"/>
      <c r="U151" s="198"/>
      <c r="V151" s="198"/>
      <c r="W151" s="198"/>
      <c r="X151" s="198"/>
      <c r="Y151" s="198"/>
    </row>
    <row r="152" spans="3:27" x14ac:dyDescent="0.25">
      <c r="E152" s="52"/>
      <c r="F152" s="357" t="s">
        <v>267</v>
      </c>
      <c r="G152" s="80" t="s">
        <v>183</v>
      </c>
      <c r="H152" s="296"/>
      <c r="I152" s="296"/>
      <c r="J152" s="302">
        <f t="shared" ref="J152:Y152" si="20">hundred * $H18 * J55 / $H43 * J81 * (1 - J67) / hours_in_year</f>
        <v>0</v>
      </c>
      <c r="K152" s="302">
        <f t="shared" si="20"/>
        <v>0</v>
      </c>
      <c r="L152" s="302">
        <f t="shared" si="20"/>
        <v>0</v>
      </c>
      <c r="M152" s="302">
        <f t="shared" si="20"/>
        <v>0</v>
      </c>
      <c r="N152" s="302">
        <f t="shared" si="20"/>
        <v>0</v>
      </c>
      <c r="O152" s="302">
        <f t="shared" si="20"/>
        <v>0</v>
      </c>
      <c r="P152" s="302">
        <f t="shared" si="20"/>
        <v>0</v>
      </c>
      <c r="Q152" s="302">
        <f t="shared" si="20"/>
        <v>0</v>
      </c>
      <c r="R152" s="302">
        <f t="shared" si="20"/>
        <v>0</v>
      </c>
      <c r="S152" s="302">
        <f t="shared" si="20"/>
        <v>0</v>
      </c>
      <c r="T152" s="302">
        <f t="shared" si="20"/>
        <v>0</v>
      </c>
      <c r="U152" s="302">
        <f t="shared" si="20"/>
        <v>0</v>
      </c>
      <c r="V152" s="302">
        <f t="shared" si="20"/>
        <v>0</v>
      </c>
      <c r="W152" s="302">
        <f t="shared" si="20"/>
        <v>0</v>
      </c>
      <c r="X152" s="302">
        <f t="shared" si="20"/>
        <v>0</v>
      </c>
      <c r="Y152" s="302">
        <f t="shared" si="20"/>
        <v>0</v>
      </c>
      <c r="Z152" s="298"/>
      <c r="AA152" s="298"/>
    </row>
    <row r="153" spans="3:27" x14ac:dyDescent="0.25">
      <c r="E153" s="52"/>
      <c r="F153" s="358" t="s">
        <v>43</v>
      </c>
      <c r="G153" t="s">
        <v>183</v>
      </c>
      <c r="H153" s="298"/>
      <c r="I153" s="298"/>
      <c r="J153" s="303">
        <f t="shared" ref="J153:Y153" si="21">hundred * $H19 * J56 / $H44 * J82 * (1 - J68) / hours_in_year</f>
        <v>0</v>
      </c>
      <c r="K153" s="303">
        <f t="shared" si="21"/>
        <v>0</v>
      </c>
      <c r="L153" s="303">
        <f t="shared" si="21"/>
        <v>0</v>
      </c>
      <c r="M153" s="303">
        <f t="shared" si="21"/>
        <v>0</v>
      </c>
      <c r="N153" s="303">
        <f t="shared" si="21"/>
        <v>0</v>
      </c>
      <c r="O153" s="303">
        <f t="shared" si="21"/>
        <v>0</v>
      </c>
      <c r="P153" s="303">
        <f t="shared" si="21"/>
        <v>0</v>
      </c>
      <c r="Q153" s="303">
        <f t="shared" si="21"/>
        <v>0</v>
      </c>
      <c r="R153" s="303">
        <f t="shared" si="21"/>
        <v>0</v>
      </c>
      <c r="S153" s="303">
        <f t="shared" si="21"/>
        <v>0</v>
      </c>
      <c r="T153" s="303">
        <f t="shared" si="21"/>
        <v>0</v>
      </c>
      <c r="U153" s="303">
        <f t="shared" si="21"/>
        <v>0</v>
      </c>
      <c r="V153" s="303">
        <f t="shared" si="21"/>
        <v>0</v>
      </c>
      <c r="W153" s="303">
        <f t="shared" si="21"/>
        <v>0</v>
      </c>
      <c r="X153" s="303">
        <f t="shared" si="21"/>
        <v>0</v>
      </c>
      <c r="Y153" s="303">
        <f t="shared" si="21"/>
        <v>0</v>
      </c>
      <c r="Z153" s="298"/>
      <c r="AA153" s="298"/>
    </row>
    <row r="154" spans="3:27" x14ac:dyDescent="0.25">
      <c r="E154" s="52"/>
      <c r="F154" s="358" t="s">
        <v>44</v>
      </c>
      <c r="G154" t="s">
        <v>183</v>
      </c>
      <c r="H154" s="298"/>
      <c r="I154" s="298"/>
      <c r="J154" s="303">
        <f t="shared" ref="J154:Y154" si="22">hundred * $H20 * J57 / $H45 * J83 * (1 - J69) / hours_in_year</f>
        <v>0</v>
      </c>
      <c r="K154" s="303">
        <f t="shared" si="22"/>
        <v>0</v>
      </c>
      <c r="L154" s="303">
        <f t="shared" si="22"/>
        <v>0</v>
      </c>
      <c r="M154" s="303">
        <f t="shared" si="22"/>
        <v>0</v>
      </c>
      <c r="N154" s="303">
        <f t="shared" si="22"/>
        <v>0</v>
      </c>
      <c r="O154" s="303">
        <f t="shared" si="22"/>
        <v>0</v>
      </c>
      <c r="P154" s="303">
        <f t="shared" si="22"/>
        <v>0</v>
      </c>
      <c r="Q154" s="303">
        <f t="shared" si="22"/>
        <v>0</v>
      </c>
      <c r="R154" s="303">
        <f t="shared" si="22"/>
        <v>0</v>
      </c>
      <c r="S154" s="303">
        <f t="shared" si="22"/>
        <v>0</v>
      </c>
      <c r="T154" s="303">
        <f t="shared" si="22"/>
        <v>0</v>
      </c>
      <c r="U154" s="303">
        <f t="shared" si="22"/>
        <v>0</v>
      </c>
      <c r="V154" s="303">
        <f t="shared" si="22"/>
        <v>0</v>
      </c>
      <c r="W154" s="303">
        <f t="shared" si="22"/>
        <v>0</v>
      </c>
      <c r="X154" s="303">
        <f t="shared" si="22"/>
        <v>0</v>
      </c>
      <c r="Y154" s="303">
        <f t="shared" si="22"/>
        <v>0</v>
      </c>
      <c r="Z154" s="298"/>
      <c r="AA154" s="298"/>
    </row>
    <row r="155" spans="3:27" x14ac:dyDescent="0.25">
      <c r="E155" s="52"/>
      <c r="F155" s="358" t="s">
        <v>45</v>
      </c>
      <c r="G155" t="s">
        <v>183</v>
      </c>
      <c r="H155" s="298"/>
      <c r="I155" s="298"/>
      <c r="J155" s="303">
        <f t="shared" ref="J155:Y155" si="23">hundred * $H21 * J58 / $H46 * J84 * (1 - J70) / hours_in_year</f>
        <v>0</v>
      </c>
      <c r="K155" s="303">
        <f t="shared" si="23"/>
        <v>0</v>
      </c>
      <c r="L155" s="303">
        <f t="shared" si="23"/>
        <v>0</v>
      </c>
      <c r="M155" s="303">
        <f t="shared" si="23"/>
        <v>0</v>
      </c>
      <c r="N155" s="303">
        <f t="shared" si="23"/>
        <v>0</v>
      </c>
      <c r="O155" s="303">
        <f t="shared" si="23"/>
        <v>0</v>
      </c>
      <c r="P155" s="303">
        <f t="shared" si="23"/>
        <v>0</v>
      </c>
      <c r="Q155" s="303">
        <f t="shared" si="23"/>
        <v>0</v>
      </c>
      <c r="R155" s="303">
        <f t="shared" si="23"/>
        <v>0</v>
      </c>
      <c r="S155" s="303">
        <f t="shared" si="23"/>
        <v>0</v>
      </c>
      <c r="T155" s="303">
        <f t="shared" si="23"/>
        <v>0</v>
      </c>
      <c r="U155" s="303">
        <f t="shared" si="23"/>
        <v>0</v>
      </c>
      <c r="V155" s="303">
        <f t="shared" si="23"/>
        <v>0</v>
      </c>
      <c r="W155" s="303">
        <f t="shared" si="23"/>
        <v>0</v>
      </c>
      <c r="X155" s="303">
        <f t="shared" si="23"/>
        <v>0</v>
      </c>
      <c r="Y155" s="303">
        <f t="shared" si="23"/>
        <v>0</v>
      </c>
      <c r="Z155" s="298"/>
      <c r="AA155" s="298"/>
    </row>
    <row r="156" spans="3:27" x14ac:dyDescent="0.25">
      <c r="E156" s="52"/>
      <c r="F156" s="358" t="s">
        <v>46</v>
      </c>
      <c r="G156" t="s">
        <v>183</v>
      </c>
      <c r="H156" s="298"/>
      <c r="I156" s="298"/>
      <c r="J156" s="303">
        <f t="shared" ref="J156:Y156" si="24">hundred * $H22 * J59 / $H47 * J85 * (1 - J71) / hours_in_year</f>
        <v>1.9699842150414437</v>
      </c>
      <c r="K156" s="303">
        <f t="shared" si="24"/>
        <v>1.9699842150414437</v>
      </c>
      <c r="L156" s="303">
        <f t="shared" si="24"/>
        <v>2.3777303354933434</v>
      </c>
      <c r="M156" s="303">
        <f t="shared" si="24"/>
        <v>2.3777303354933434</v>
      </c>
      <c r="N156" s="303">
        <f t="shared" si="24"/>
        <v>2.008173094541291</v>
      </c>
      <c r="O156" s="303">
        <f t="shared" si="24"/>
        <v>1.6629262235076845</v>
      </c>
      <c r="P156" s="303">
        <f t="shared" si="24"/>
        <v>1.5800331814980009</v>
      </c>
      <c r="Q156" s="303">
        <f t="shared" si="24"/>
        <v>4.8122398694805391</v>
      </c>
      <c r="R156" s="303">
        <f t="shared" si="24"/>
        <v>-1.5495012926110912</v>
      </c>
      <c r="S156" s="303">
        <f t="shared" si="24"/>
        <v>-1.4639632122045061</v>
      </c>
      <c r="T156" s="303">
        <f t="shared" si="24"/>
        <v>-1.5495012926110912</v>
      </c>
      <c r="U156" s="303">
        <f t="shared" si="24"/>
        <v>-1.5495012926110912</v>
      </c>
      <c r="V156" s="303">
        <f t="shared" si="24"/>
        <v>-1.4639632122045061</v>
      </c>
      <c r="W156" s="303">
        <f t="shared" si="24"/>
        <v>-1.4639632122045061</v>
      </c>
      <c r="X156" s="303">
        <f t="shared" si="24"/>
        <v>-1.39126020496584</v>
      </c>
      <c r="Y156" s="303">
        <f t="shared" si="24"/>
        <v>-1.39126020496584</v>
      </c>
      <c r="Z156" s="298"/>
      <c r="AA156" s="298"/>
    </row>
    <row r="157" spans="3:27" x14ac:dyDescent="0.25">
      <c r="E157" s="52"/>
      <c r="F157" s="358" t="s">
        <v>47</v>
      </c>
      <c r="G157" t="s">
        <v>183</v>
      </c>
      <c r="H157" s="298"/>
      <c r="I157" s="298"/>
      <c r="J157" s="303">
        <f t="shared" ref="J157:Y157" si="25">hundred * $H23 * J60 / $H48 * J86 * (1 - J72) / hours_in_year</f>
        <v>0.40673018015863577</v>
      </c>
      <c r="K157" s="303">
        <f t="shared" si="25"/>
        <v>0.40673018015863577</v>
      </c>
      <c r="L157" s="303">
        <f t="shared" si="25"/>
        <v>0.49091494253598139</v>
      </c>
      <c r="M157" s="303">
        <f t="shared" si="25"/>
        <v>0.49091494253598139</v>
      </c>
      <c r="N157" s="303">
        <f t="shared" si="25"/>
        <v>0.41461479655324096</v>
      </c>
      <c r="O157" s="303">
        <f t="shared" si="25"/>
        <v>0.34333385887742823</v>
      </c>
      <c r="P157" s="303">
        <f t="shared" si="25"/>
        <v>0.28883934326838223</v>
      </c>
      <c r="Q157" s="303">
        <f t="shared" si="25"/>
        <v>1.0407571956622039</v>
      </c>
      <c r="R157" s="303">
        <f t="shared" si="25"/>
        <v>-0.31991573084076191</v>
      </c>
      <c r="S157" s="303">
        <f t="shared" si="25"/>
        <v>-0.30225522443235792</v>
      </c>
      <c r="T157" s="303">
        <f t="shared" si="25"/>
        <v>-0.31991573084076191</v>
      </c>
      <c r="U157" s="303">
        <f t="shared" si="25"/>
        <v>-0.31991573084076191</v>
      </c>
      <c r="V157" s="303">
        <f t="shared" si="25"/>
        <v>-0.30225522443235792</v>
      </c>
      <c r="W157" s="303">
        <f t="shared" si="25"/>
        <v>-0.30225522443235792</v>
      </c>
      <c r="X157" s="303">
        <f t="shared" si="25"/>
        <v>-0.25433053471496125</v>
      </c>
      <c r="Y157" s="303">
        <f t="shared" si="25"/>
        <v>-0.25433053471496125</v>
      </c>
      <c r="Z157" s="298"/>
      <c r="AA157" s="298"/>
    </row>
    <row r="158" spans="3:27" x14ac:dyDescent="0.25">
      <c r="E158" s="52"/>
      <c r="F158" s="358" t="s">
        <v>51</v>
      </c>
      <c r="G158" t="s">
        <v>183</v>
      </c>
      <c r="H158" s="298"/>
      <c r="I158" s="298"/>
      <c r="J158" s="303">
        <f t="shared" ref="J158:Y158" si="26">hundred * $H24 * J61 / $H49 * J87 * (1 - J73) / hours_in_year</f>
        <v>0</v>
      </c>
      <c r="K158" s="303">
        <f t="shared" si="26"/>
        <v>0</v>
      </c>
      <c r="L158" s="303">
        <f t="shared" si="26"/>
        <v>0</v>
      </c>
      <c r="M158" s="303">
        <f t="shared" si="26"/>
        <v>0</v>
      </c>
      <c r="N158" s="303">
        <f t="shared" si="26"/>
        <v>0</v>
      </c>
      <c r="O158" s="303">
        <f t="shared" si="26"/>
        <v>0</v>
      </c>
      <c r="P158" s="303">
        <f t="shared" si="26"/>
        <v>0</v>
      </c>
      <c r="Q158" s="303">
        <f t="shared" si="26"/>
        <v>0</v>
      </c>
      <c r="R158" s="303">
        <f t="shared" si="26"/>
        <v>0</v>
      </c>
      <c r="S158" s="303">
        <f t="shared" si="26"/>
        <v>0</v>
      </c>
      <c r="T158" s="303">
        <f t="shared" si="26"/>
        <v>0</v>
      </c>
      <c r="U158" s="303">
        <f t="shared" si="26"/>
        <v>0</v>
      </c>
      <c r="V158" s="303">
        <f t="shared" si="26"/>
        <v>0</v>
      </c>
      <c r="W158" s="303">
        <f t="shared" si="26"/>
        <v>0</v>
      </c>
      <c r="X158" s="303">
        <f t="shared" si="26"/>
        <v>0</v>
      </c>
      <c r="Y158" s="303">
        <f t="shared" si="26"/>
        <v>0</v>
      </c>
      <c r="Z158" s="298"/>
      <c r="AA158" s="298"/>
    </row>
    <row r="159" spans="3:27" x14ac:dyDescent="0.25">
      <c r="E159" s="52"/>
      <c r="F159" s="358" t="s">
        <v>48</v>
      </c>
      <c r="G159" t="s">
        <v>183</v>
      </c>
      <c r="H159" s="298"/>
      <c r="I159" s="298"/>
      <c r="J159" s="303">
        <f t="shared" ref="J159:Y159" si="27">hundred * $H25 * J62 / $H50 * J88 * (1 - J74) / hours_in_year</f>
        <v>1.3986708947588413</v>
      </c>
      <c r="K159" s="303">
        <f t="shared" si="27"/>
        <v>1.3986708947588413</v>
      </c>
      <c r="L159" s="303">
        <f t="shared" si="27"/>
        <v>1.6881669357791018</v>
      </c>
      <c r="M159" s="303">
        <f t="shared" si="27"/>
        <v>1.6881669357791018</v>
      </c>
      <c r="N159" s="303">
        <f t="shared" si="27"/>
        <v>1.4257846522458599</v>
      </c>
      <c r="O159" s="303">
        <f t="shared" si="27"/>
        <v>1.1806625104874269</v>
      </c>
      <c r="P159" s="303">
        <f t="shared" si="27"/>
        <v>0.79452423984254494</v>
      </c>
      <c r="Q159" s="303">
        <f t="shared" si="27"/>
        <v>3.5789741432902855</v>
      </c>
      <c r="R159" s="303">
        <f t="shared" si="27"/>
        <v>-1.1001318400516942</v>
      </c>
      <c r="S159" s="303">
        <f t="shared" si="27"/>
        <v>-1.0394005801031394</v>
      </c>
      <c r="T159" s="303">
        <f t="shared" si="27"/>
        <v>-1.1001318400516942</v>
      </c>
      <c r="U159" s="303">
        <f t="shared" si="27"/>
        <v>-1.1001318400516942</v>
      </c>
      <c r="V159" s="303">
        <f t="shared" si="27"/>
        <v>-1.0394005801031394</v>
      </c>
      <c r="W159" s="303">
        <f t="shared" si="27"/>
        <v>-1.0394005801031394</v>
      </c>
      <c r="X159" s="303">
        <f t="shared" si="27"/>
        <v>0</v>
      </c>
      <c r="Y159" s="303">
        <f t="shared" si="27"/>
        <v>0</v>
      </c>
      <c r="Z159" s="298"/>
      <c r="AA159" s="298"/>
    </row>
    <row r="160" spans="3:27" x14ac:dyDescent="0.25">
      <c r="E160" s="52"/>
      <c r="F160" s="358" t="s">
        <v>49</v>
      </c>
      <c r="G160" t="s">
        <v>183</v>
      </c>
      <c r="H160" s="298"/>
      <c r="I160" s="298"/>
      <c r="J160" s="303">
        <f t="shared" ref="J160:Y160" si="28">hundred * $H26 * J63 / $H51 * J89 * (1 - J75) / hours_in_year</f>
        <v>0.32116724837886368</v>
      </c>
      <c r="K160" s="303">
        <f t="shared" si="28"/>
        <v>0.32116724837886368</v>
      </c>
      <c r="L160" s="303">
        <f t="shared" si="28"/>
        <v>0.38764224779399253</v>
      </c>
      <c r="M160" s="303">
        <f t="shared" si="28"/>
        <v>0.38764224779399253</v>
      </c>
      <c r="N160" s="303">
        <f t="shared" si="28"/>
        <v>0.3273931953960989</v>
      </c>
      <c r="O160" s="303">
        <f t="shared" si="28"/>
        <v>0.27110747151330983</v>
      </c>
      <c r="P160" s="303">
        <f t="shared" si="28"/>
        <v>0</v>
      </c>
      <c r="Q160" s="303">
        <f t="shared" si="28"/>
        <v>0.82181539769427292</v>
      </c>
      <c r="R160" s="303">
        <f t="shared" si="28"/>
        <v>-0.2526157634704333</v>
      </c>
      <c r="S160" s="303">
        <f t="shared" si="28"/>
        <v>0</v>
      </c>
      <c r="T160" s="303">
        <f t="shared" si="28"/>
        <v>-0.2526157634704333</v>
      </c>
      <c r="U160" s="303">
        <f t="shared" si="28"/>
        <v>-0.2526157634704333</v>
      </c>
      <c r="V160" s="303">
        <f t="shared" si="28"/>
        <v>0</v>
      </c>
      <c r="W160" s="303">
        <f t="shared" si="28"/>
        <v>0</v>
      </c>
      <c r="X160" s="303">
        <f t="shared" si="28"/>
        <v>0</v>
      </c>
      <c r="Y160" s="303">
        <f t="shared" si="28"/>
        <v>0</v>
      </c>
      <c r="Z160" s="298"/>
      <c r="AA160" s="298"/>
    </row>
    <row r="161" spans="3:27" x14ac:dyDescent="0.25">
      <c r="E161" s="52"/>
      <c r="F161" s="360" t="s">
        <v>50</v>
      </c>
      <c r="G161" s="17" t="s">
        <v>183</v>
      </c>
      <c r="H161" s="300"/>
      <c r="I161" s="300"/>
      <c r="J161" s="304">
        <f t="shared" ref="J161:Y161" si="29">hundred * $H27 * J64 / $H52 * J90 * (1 - J76) / hours_in_year</f>
        <v>5.6425934906545065E-2</v>
      </c>
      <c r="K161" s="304">
        <f t="shared" si="29"/>
        <v>5.6425934906545065E-2</v>
      </c>
      <c r="L161" s="304">
        <f t="shared" si="29"/>
        <v>6.8104940187575264E-2</v>
      </c>
      <c r="M161" s="304">
        <f t="shared" si="29"/>
        <v>6.8104940187575264E-2</v>
      </c>
      <c r="N161" s="304">
        <f t="shared" si="29"/>
        <v>5.7519772721264274E-2</v>
      </c>
      <c r="O161" s="304">
        <f t="shared" si="29"/>
        <v>0</v>
      </c>
      <c r="P161" s="304">
        <f t="shared" si="29"/>
        <v>0</v>
      </c>
      <c r="Q161" s="304">
        <f t="shared" si="29"/>
        <v>0.14438490340955101</v>
      </c>
      <c r="R161" s="304">
        <f t="shared" si="29"/>
        <v>0</v>
      </c>
      <c r="S161" s="304">
        <f t="shared" si="29"/>
        <v>0</v>
      </c>
      <c r="T161" s="304">
        <f t="shared" si="29"/>
        <v>0</v>
      </c>
      <c r="U161" s="304">
        <f t="shared" si="29"/>
        <v>0</v>
      </c>
      <c r="V161" s="304">
        <f t="shared" si="29"/>
        <v>0</v>
      </c>
      <c r="W161" s="304">
        <f t="shared" si="29"/>
        <v>0</v>
      </c>
      <c r="X161" s="304">
        <f t="shared" si="29"/>
        <v>0</v>
      </c>
      <c r="Y161" s="304">
        <f t="shared" si="29"/>
        <v>0</v>
      </c>
      <c r="Z161" s="298"/>
      <c r="AA161" s="298"/>
    </row>
    <row r="162" spans="3:27" x14ac:dyDescent="0.25">
      <c r="E162" s="52"/>
      <c r="F162" s="358"/>
      <c r="J162" s="198"/>
      <c r="K162" s="198"/>
      <c r="L162" s="198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198"/>
      <c r="Y162" s="198"/>
    </row>
    <row r="163" spans="3:27" x14ac:dyDescent="0.25">
      <c r="E163" s="52" t="s">
        <v>116</v>
      </c>
      <c r="J163" s="198"/>
      <c r="K163" s="198"/>
      <c r="L163" s="198"/>
      <c r="M163" s="198"/>
      <c r="N163" s="198"/>
      <c r="O163" s="198"/>
      <c r="P163" s="198"/>
      <c r="Q163" s="198"/>
      <c r="R163" s="198"/>
      <c r="S163" s="198"/>
      <c r="T163" s="198"/>
      <c r="U163" s="198"/>
      <c r="V163" s="198"/>
      <c r="W163" s="198"/>
      <c r="X163" s="198"/>
      <c r="Y163" s="198"/>
    </row>
    <row r="164" spans="3:27" x14ac:dyDescent="0.25">
      <c r="D164" s="52"/>
      <c r="E164" s="52"/>
      <c r="F164" s="357" t="s">
        <v>267</v>
      </c>
      <c r="G164" s="80" t="s">
        <v>183</v>
      </c>
      <c r="H164" s="296"/>
      <c r="I164" s="296"/>
      <c r="J164" s="302">
        <f t="shared" ref="J164:Y164" si="30">hundred * $H30 * J55 / $H43 * J81 / hours_in_year</f>
        <v>0.77780771331258114</v>
      </c>
      <c r="K164" s="302">
        <f t="shared" si="30"/>
        <v>0.77780771331258114</v>
      </c>
      <c r="L164" s="302">
        <f t="shared" si="30"/>
        <v>0.93879787513176938</v>
      </c>
      <c r="M164" s="302">
        <f t="shared" si="30"/>
        <v>0.93879787513176938</v>
      </c>
      <c r="N164" s="302">
        <f t="shared" si="30"/>
        <v>0.79288580622873228</v>
      </c>
      <c r="O164" s="302">
        <f t="shared" si="30"/>
        <v>0.65657218643593429</v>
      </c>
      <c r="P164" s="302">
        <f t="shared" si="30"/>
        <v>0.64386818381807154</v>
      </c>
      <c r="Q164" s="302">
        <f t="shared" si="30"/>
        <v>1.9000138479350954</v>
      </c>
      <c r="R164" s="302">
        <f t="shared" si="30"/>
        <v>-0.61178868743136949</v>
      </c>
      <c r="S164" s="302">
        <f t="shared" si="30"/>
        <v>-0.57801573726547506</v>
      </c>
      <c r="T164" s="302">
        <f t="shared" si="30"/>
        <v>-0.61178868743136949</v>
      </c>
      <c r="U164" s="302">
        <f t="shared" si="30"/>
        <v>-0.61178868743136949</v>
      </c>
      <c r="V164" s="302">
        <f t="shared" si="30"/>
        <v>-0.57801573726547506</v>
      </c>
      <c r="W164" s="302">
        <f t="shared" si="30"/>
        <v>-0.57801573726547506</v>
      </c>
      <c r="X164" s="302">
        <f t="shared" si="30"/>
        <v>-0.5669426388504275</v>
      </c>
      <c r="Y164" s="302">
        <f t="shared" si="30"/>
        <v>-0.5669426388504275</v>
      </c>
      <c r="Z164" s="298"/>
      <c r="AA164" s="298"/>
    </row>
    <row r="165" spans="3:27" x14ac:dyDescent="0.25">
      <c r="D165" s="52"/>
      <c r="E165" s="52"/>
      <c r="F165" s="358" t="s">
        <v>43</v>
      </c>
      <c r="G165" t="s">
        <v>183</v>
      </c>
      <c r="H165" s="298"/>
      <c r="I165" s="298"/>
      <c r="J165" s="303">
        <f t="shared" ref="J165:Y165" si="31">hundred * $H31 * J56 / $H44 * J82 / hours_in_year</f>
        <v>0</v>
      </c>
      <c r="K165" s="303">
        <f t="shared" si="31"/>
        <v>0</v>
      </c>
      <c r="L165" s="303">
        <f t="shared" si="31"/>
        <v>0</v>
      </c>
      <c r="M165" s="303">
        <f t="shared" si="31"/>
        <v>0</v>
      </c>
      <c r="N165" s="303">
        <f t="shared" si="31"/>
        <v>0</v>
      </c>
      <c r="O165" s="303">
        <f t="shared" si="31"/>
        <v>0</v>
      </c>
      <c r="P165" s="303">
        <f t="shared" si="31"/>
        <v>0</v>
      </c>
      <c r="Q165" s="303">
        <f t="shared" si="31"/>
        <v>0</v>
      </c>
      <c r="R165" s="303">
        <f t="shared" si="31"/>
        <v>0</v>
      </c>
      <c r="S165" s="303">
        <f t="shared" si="31"/>
        <v>0</v>
      </c>
      <c r="T165" s="303">
        <f t="shared" si="31"/>
        <v>0</v>
      </c>
      <c r="U165" s="303">
        <f t="shared" si="31"/>
        <v>0</v>
      </c>
      <c r="V165" s="303">
        <f t="shared" si="31"/>
        <v>0</v>
      </c>
      <c r="W165" s="303">
        <f t="shared" si="31"/>
        <v>0</v>
      </c>
      <c r="X165" s="303">
        <f t="shared" si="31"/>
        <v>0</v>
      </c>
      <c r="Y165" s="303">
        <f t="shared" si="31"/>
        <v>0</v>
      </c>
      <c r="Z165" s="298"/>
      <c r="AA165" s="298"/>
    </row>
    <row r="166" spans="3:27" x14ac:dyDescent="0.25">
      <c r="D166" s="52"/>
      <c r="E166" s="52"/>
      <c r="F166" s="358" t="s">
        <v>44</v>
      </c>
      <c r="G166" t="s">
        <v>183</v>
      </c>
      <c r="H166" s="298"/>
      <c r="I166" s="298"/>
      <c r="J166" s="303">
        <f t="shared" ref="J166:Y166" si="32">hundred * $H32 * J57 / $H45 * J83 / hours_in_year</f>
        <v>0</v>
      </c>
      <c r="K166" s="303">
        <f t="shared" si="32"/>
        <v>0</v>
      </c>
      <c r="L166" s="303">
        <f t="shared" si="32"/>
        <v>0</v>
      </c>
      <c r="M166" s="303">
        <f t="shared" si="32"/>
        <v>0</v>
      </c>
      <c r="N166" s="303">
        <f t="shared" si="32"/>
        <v>0</v>
      </c>
      <c r="O166" s="303">
        <f t="shared" si="32"/>
        <v>0</v>
      </c>
      <c r="P166" s="303">
        <f t="shared" si="32"/>
        <v>0</v>
      </c>
      <c r="Q166" s="303">
        <f t="shared" si="32"/>
        <v>0</v>
      </c>
      <c r="R166" s="303">
        <f t="shared" si="32"/>
        <v>0</v>
      </c>
      <c r="S166" s="303">
        <f t="shared" si="32"/>
        <v>0</v>
      </c>
      <c r="T166" s="303">
        <f t="shared" si="32"/>
        <v>0</v>
      </c>
      <c r="U166" s="303">
        <f t="shared" si="32"/>
        <v>0</v>
      </c>
      <c r="V166" s="303">
        <f t="shared" si="32"/>
        <v>0</v>
      </c>
      <c r="W166" s="303">
        <f t="shared" si="32"/>
        <v>0</v>
      </c>
      <c r="X166" s="303">
        <f t="shared" si="32"/>
        <v>0</v>
      </c>
      <c r="Y166" s="303">
        <f t="shared" si="32"/>
        <v>0</v>
      </c>
      <c r="Z166" s="298"/>
      <c r="AA166" s="298"/>
    </row>
    <row r="167" spans="3:27" x14ac:dyDescent="0.25">
      <c r="D167" s="52"/>
      <c r="E167" s="52"/>
      <c r="F167" s="358" t="s">
        <v>45</v>
      </c>
      <c r="G167" t="s">
        <v>183</v>
      </c>
      <c r="H167" s="298"/>
      <c r="I167" s="298"/>
      <c r="J167" s="303">
        <f t="shared" ref="J167:Y167" si="33">hundred * $H33 * J58 / $H46 * J84 / hours_in_year</f>
        <v>0</v>
      </c>
      <c r="K167" s="303">
        <f t="shared" si="33"/>
        <v>0</v>
      </c>
      <c r="L167" s="303">
        <f t="shared" si="33"/>
        <v>0</v>
      </c>
      <c r="M167" s="303">
        <f t="shared" si="33"/>
        <v>0</v>
      </c>
      <c r="N167" s="303">
        <f t="shared" si="33"/>
        <v>0</v>
      </c>
      <c r="O167" s="303">
        <f t="shared" si="33"/>
        <v>0</v>
      </c>
      <c r="P167" s="303">
        <f t="shared" si="33"/>
        <v>0</v>
      </c>
      <c r="Q167" s="303">
        <f t="shared" si="33"/>
        <v>0</v>
      </c>
      <c r="R167" s="303">
        <f t="shared" si="33"/>
        <v>0</v>
      </c>
      <c r="S167" s="303">
        <f t="shared" si="33"/>
        <v>0</v>
      </c>
      <c r="T167" s="303">
        <f t="shared" si="33"/>
        <v>0</v>
      </c>
      <c r="U167" s="303">
        <f t="shared" si="33"/>
        <v>0</v>
      </c>
      <c r="V167" s="303">
        <f t="shared" si="33"/>
        <v>0</v>
      </c>
      <c r="W167" s="303">
        <f t="shared" si="33"/>
        <v>0</v>
      </c>
      <c r="X167" s="303">
        <f t="shared" si="33"/>
        <v>0</v>
      </c>
      <c r="Y167" s="303">
        <f t="shared" si="33"/>
        <v>0</v>
      </c>
      <c r="Z167" s="298"/>
      <c r="AA167" s="298"/>
    </row>
    <row r="168" spans="3:27" x14ac:dyDescent="0.25">
      <c r="D168" s="52"/>
      <c r="E168" s="52"/>
      <c r="F168" s="358" t="s">
        <v>46</v>
      </c>
      <c r="G168" t="s">
        <v>183</v>
      </c>
      <c r="H168" s="298"/>
      <c r="I168" s="298"/>
      <c r="J168" s="303">
        <f t="shared" ref="J168:Y168" si="34">hundred * $H34 * J59 / $H47 * J85 / hours_in_year</f>
        <v>1.4777755783491016</v>
      </c>
      <c r="K168" s="303">
        <f t="shared" si="34"/>
        <v>1.4777755783491016</v>
      </c>
      <c r="L168" s="303">
        <f t="shared" si="34"/>
        <v>1.7836446580958814</v>
      </c>
      <c r="M168" s="303">
        <f t="shared" si="34"/>
        <v>1.7836446580958814</v>
      </c>
      <c r="N168" s="303">
        <f t="shared" si="34"/>
        <v>1.5064228096611576</v>
      </c>
      <c r="O168" s="303">
        <f t="shared" si="34"/>
        <v>1.2474372855034563</v>
      </c>
      <c r="P168" s="303">
        <f t="shared" si="34"/>
        <v>1.2233006454385154</v>
      </c>
      <c r="Q168" s="303">
        <f t="shared" si="34"/>
        <v>3.6098819990426181</v>
      </c>
      <c r="R168" s="303">
        <f t="shared" si="34"/>
        <v>-1.1623520388425366</v>
      </c>
      <c r="S168" s="303">
        <f t="shared" si="34"/>
        <v>-1.0981859986892382</v>
      </c>
      <c r="T168" s="303">
        <f t="shared" si="34"/>
        <v>-1.1623520388425366</v>
      </c>
      <c r="U168" s="303">
        <f t="shared" si="34"/>
        <v>-1.1623520388425366</v>
      </c>
      <c r="V168" s="303">
        <f t="shared" si="34"/>
        <v>-1.0981859986892382</v>
      </c>
      <c r="W168" s="303">
        <f t="shared" si="34"/>
        <v>-1.0981859986892382</v>
      </c>
      <c r="X168" s="303">
        <f t="shared" si="34"/>
        <v>-1.0771479527373369</v>
      </c>
      <c r="Y168" s="303">
        <f t="shared" si="34"/>
        <v>-1.0771479527373369</v>
      </c>
      <c r="Z168" s="298"/>
      <c r="AA168" s="298"/>
    </row>
    <row r="169" spans="3:27" x14ac:dyDescent="0.25">
      <c r="D169" s="52"/>
      <c r="E169" s="52"/>
      <c r="F169" s="358" t="s">
        <v>47</v>
      </c>
      <c r="G169" t="s">
        <v>183</v>
      </c>
      <c r="H169" s="298"/>
      <c r="I169" s="298"/>
      <c r="J169" s="303">
        <f t="shared" ref="J169:Y169" si="35">hundred * $H35 * J60 / $H48 * J86 / hours_in_year</f>
        <v>0.30510697630301459</v>
      </c>
      <c r="K169" s="303">
        <f t="shared" si="35"/>
        <v>0.30510697630301459</v>
      </c>
      <c r="L169" s="303">
        <f t="shared" si="35"/>
        <v>0.36825783048777594</v>
      </c>
      <c r="M169" s="303">
        <f t="shared" si="35"/>
        <v>0.36825783048777594</v>
      </c>
      <c r="N169" s="303">
        <f t="shared" si="35"/>
        <v>0.311021588949976</v>
      </c>
      <c r="O169" s="303">
        <f t="shared" si="35"/>
        <v>0.25755048593561786</v>
      </c>
      <c r="P169" s="303">
        <f t="shared" si="35"/>
        <v>0.25256714653265155</v>
      </c>
      <c r="Q169" s="303">
        <f t="shared" si="35"/>
        <v>0.78071974130429611</v>
      </c>
      <c r="R169" s="303">
        <f t="shared" si="35"/>
        <v>-0.23998347324637667</v>
      </c>
      <c r="S169" s="303">
        <f t="shared" si="35"/>
        <v>-0.22673551680472151</v>
      </c>
      <c r="T169" s="303">
        <f t="shared" si="35"/>
        <v>-0.23998347324637667</v>
      </c>
      <c r="U169" s="303">
        <f t="shared" si="35"/>
        <v>-0.23998347324637667</v>
      </c>
      <c r="V169" s="303">
        <f t="shared" si="35"/>
        <v>-0.22673551680472151</v>
      </c>
      <c r="W169" s="303">
        <f t="shared" si="35"/>
        <v>-0.22673551680472151</v>
      </c>
      <c r="X169" s="303">
        <f t="shared" si="35"/>
        <v>-0.22239192452876896</v>
      </c>
      <c r="Y169" s="303">
        <f t="shared" si="35"/>
        <v>-0.22239192452876896</v>
      </c>
      <c r="Z169" s="298"/>
      <c r="AA169" s="298"/>
    </row>
    <row r="170" spans="3:27" x14ac:dyDescent="0.25">
      <c r="D170" s="52"/>
      <c r="E170" s="52"/>
      <c r="F170" s="358" t="s">
        <v>51</v>
      </c>
      <c r="G170" t="s">
        <v>183</v>
      </c>
      <c r="H170" s="298"/>
      <c r="I170" s="298"/>
      <c r="J170" s="303">
        <f t="shared" ref="J170:Y170" si="36">hundred * $H36 * J61 / $H49 * J87 / hours_in_year</f>
        <v>0</v>
      </c>
      <c r="K170" s="303">
        <f t="shared" si="36"/>
        <v>0</v>
      </c>
      <c r="L170" s="303">
        <f t="shared" si="36"/>
        <v>0</v>
      </c>
      <c r="M170" s="303">
        <f t="shared" si="36"/>
        <v>0</v>
      </c>
      <c r="N170" s="303">
        <f t="shared" si="36"/>
        <v>0</v>
      </c>
      <c r="O170" s="303">
        <f t="shared" si="36"/>
        <v>0</v>
      </c>
      <c r="P170" s="303">
        <f t="shared" si="36"/>
        <v>0</v>
      </c>
      <c r="Q170" s="303">
        <f t="shared" si="36"/>
        <v>0</v>
      </c>
      <c r="R170" s="303">
        <f t="shared" si="36"/>
        <v>0</v>
      </c>
      <c r="S170" s="303">
        <f t="shared" si="36"/>
        <v>0</v>
      </c>
      <c r="T170" s="303">
        <f t="shared" si="36"/>
        <v>0</v>
      </c>
      <c r="U170" s="303">
        <f t="shared" si="36"/>
        <v>0</v>
      </c>
      <c r="V170" s="303">
        <f t="shared" si="36"/>
        <v>0</v>
      </c>
      <c r="W170" s="303">
        <f t="shared" si="36"/>
        <v>0</v>
      </c>
      <c r="X170" s="303">
        <f t="shared" si="36"/>
        <v>0</v>
      </c>
      <c r="Y170" s="303">
        <f t="shared" si="36"/>
        <v>0</v>
      </c>
      <c r="Z170" s="298"/>
      <c r="AA170" s="298"/>
    </row>
    <row r="171" spans="3:27" x14ac:dyDescent="0.25">
      <c r="D171" s="52"/>
      <c r="E171" s="52"/>
      <c r="F171" s="358" t="s">
        <v>48</v>
      </c>
      <c r="G171" t="s">
        <v>183</v>
      </c>
      <c r="H171" s="298"/>
      <c r="I171" s="298"/>
      <c r="J171" s="303">
        <f t="shared" ref="J171:Y171" si="37">hundred * $H37 * J62 / $H50 * J88 / hours_in_year</f>
        <v>1.3125787594978817</v>
      </c>
      <c r="K171" s="303">
        <f t="shared" si="37"/>
        <v>1.3125787594978817</v>
      </c>
      <c r="L171" s="303">
        <f t="shared" si="37"/>
        <v>1.5842555033450745</v>
      </c>
      <c r="M171" s="303">
        <f t="shared" si="37"/>
        <v>1.5842555033450745</v>
      </c>
      <c r="N171" s="303">
        <f t="shared" si="37"/>
        <v>1.3380235888004701</v>
      </c>
      <c r="O171" s="303">
        <f t="shared" si="37"/>
        <v>1.1079894056624682</v>
      </c>
      <c r="P171" s="303">
        <f t="shared" si="37"/>
        <v>1.0865509399447713</v>
      </c>
      <c r="Q171" s="303">
        <f t="shared" si="37"/>
        <v>3.358678198622937</v>
      </c>
      <c r="R171" s="303">
        <f t="shared" si="37"/>
        <v>-1.0324156249409557</v>
      </c>
      <c r="S171" s="303">
        <f t="shared" si="37"/>
        <v>-0.97542254519308391</v>
      </c>
      <c r="T171" s="303">
        <f t="shared" si="37"/>
        <v>-1.0324156249409557</v>
      </c>
      <c r="U171" s="303">
        <f t="shared" si="37"/>
        <v>-1.0324156249409557</v>
      </c>
      <c r="V171" s="303">
        <f t="shared" si="37"/>
        <v>-0.97542254519308391</v>
      </c>
      <c r="W171" s="303">
        <f t="shared" si="37"/>
        <v>-0.97542254519308391</v>
      </c>
      <c r="X171" s="303">
        <f t="shared" si="37"/>
        <v>0</v>
      </c>
      <c r="Y171" s="303">
        <f t="shared" si="37"/>
        <v>0</v>
      </c>
      <c r="Z171" s="298"/>
      <c r="AA171" s="298"/>
    </row>
    <row r="172" spans="3:27" x14ac:dyDescent="0.25">
      <c r="D172" s="52"/>
      <c r="E172" s="52"/>
      <c r="F172" s="358" t="s">
        <v>49</v>
      </c>
      <c r="G172" t="s">
        <v>183</v>
      </c>
      <c r="H172" s="298"/>
      <c r="I172" s="298"/>
      <c r="J172" s="303">
        <f t="shared" ref="J172:Y172" si="38">hundred * $H38 * J63 / $H51 * J89 / hours_in_year</f>
        <v>0.32988820848781847</v>
      </c>
      <c r="K172" s="303">
        <f t="shared" si="38"/>
        <v>0.32988820848781847</v>
      </c>
      <c r="L172" s="303">
        <f t="shared" si="38"/>
        <v>0.3981682668592027</v>
      </c>
      <c r="M172" s="303">
        <f t="shared" si="38"/>
        <v>0.3981682668592027</v>
      </c>
      <c r="N172" s="303">
        <f t="shared" si="38"/>
        <v>0.33628321457272597</v>
      </c>
      <c r="O172" s="303">
        <f t="shared" si="38"/>
        <v>0.27846911083438441</v>
      </c>
      <c r="P172" s="303">
        <f t="shared" si="38"/>
        <v>0</v>
      </c>
      <c r="Q172" s="303">
        <f t="shared" si="38"/>
        <v>0.84413093371605963</v>
      </c>
      <c r="R172" s="303">
        <f t="shared" si="38"/>
        <v>-0.25947527983531499</v>
      </c>
      <c r="S172" s="303">
        <f t="shared" si="38"/>
        <v>0</v>
      </c>
      <c r="T172" s="303">
        <f t="shared" si="38"/>
        <v>-0.25947527983531499</v>
      </c>
      <c r="U172" s="303">
        <f t="shared" si="38"/>
        <v>-0.25947527983531499</v>
      </c>
      <c r="V172" s="303">
        <f t="shared" si="38"/>
        <v>0</v>
      </c>
      <c r="W172" s="303">
        <f t="shared" si="38"/>
        <v>0</v>
      </c>
      <c r="X172" s="303">
        <f t="shared" si="38"/>
        <v>0</v>
      </c>
      <c r="Y172" s="303">
        <f t="shared" si="38"/>
        <v>0</v>
      </c>
      <c r="Z172" s="298"/>
      <c r="AA172" s="298"/>
    </row>
    <row r="173" spans="3:27" x14ac:dyDescent="0.25">
      <c r="D173" s="52"/>
      <c r="E173" s="52"/>
      <c r="F173" s="360" t="s">
        <v>50</v>
      </c>
      <c r="G173" s="17" t="s">
        <v>183</v>
      </c>
      <c r="H173" s="300"/>
      <c r="I173" s="300"/>
      <c r="J173" s="304">
        <f t="shared" ref="J173:Y173" si="39">hundred * $H39 * J64 / $H52 * J90 / hours_in_year</f>
        <v>0.55488239640435133</v>
      </c>
      <c r="K173" s="304">
        <f t="shared" si="39"/>
        <v>0.55488239640435133</v>
      </c>
      <c r="L173" s="304">
        <f t="shared" si="39"/>
        <v>0.66973161332366926</v>
      </c>
      <c r="M173" s="304">
        <f t="shared" si="39"/>
        <v>0.66973161332366926</v>
      </c>
      <c r="N173" s="304">
        <f t="shared" si="39"/>
        <v>0.56563899882333379</v>
      </c>
      <c r="O173" s="304">
        <f t="shared" si="39"/>
        <v>0</v>
      </c>
      <c r="P173" s="304">
        <f t="shared" si="39"/>
        <v>0</v>
      </c>
      <c r="Q173" s="304">
        <f t="shared" si="39"/>
        <v>1.4198549185085705</v>
      </c>
      <c r="R173" s="304">
        <f t="shared" si="39"/>
        <v>0</v>
      </c>
      <c r="S173" s="304">
        <f t="shared" si="39"/>
        <v>0</v>
      </c>
      <c r="T173" s="304">
        <f t="shared" si="39"/>
        <v>0</v>
      </c>
      <c r="U173" s="304">
        <f t="shared" si="39"/>
        <v>0</v>
      </c>
      <c r="V173" s="304">
        <f t="shared" si="39"/>
        <v>0</v>
      </c>
      <c r="W173" s="304">
        <f t="shared" si="39"/>
        <v>0</v>
      </c>
      <c r="X173" s="304">
        <f t="shared" si="39"/>
        <v>0</v>
      </c>
      <c r="Y173" s="304">
        <f t="shared" si="39"/>
        <v>0</v>
      </c>
      <c r="Z173" s="298"/>
      <c r="AA173" s="298"/>
    </row>
    <row r="174" spans="3:27" x14ac:dyDescent="0.25">
      <c r="C174" s="52"/>
      <c r="D174" s="52"/>
      <c r="E174" s="52"/>
      <c r="J174" s="198"/>
      <c r="K174" s="198"/>
      <c r="L174" s="198"/>
      <c r="M174" s="198"/>
      <c r="N174" s="198"/>
      <c r="O174" s="198"/>
      <c r="P174" s="198"/>
      <c r="Q174" s="198"/>
      <c r="R174" s="198"/>
      <c r="S174" s="198"/>
      <c r="T174" s="198"/>
      <c r="U174" s="198"/>
      <c r="V174" s="198"/>
      <c r="W174" s="198"/>
      <c r="X174" s="198"/>
      <c r="Y174" s="198"/>
    </row>
    <row r="175" spans="3:27" x14ac:dyDescent="0.25">
      <c r="C175" s="5" t="str">
        <f ca="1">INDEX('Version control'!$H$36:$H$62,MATCH($A$1,'Version control'!$F$36:$F$62,0),1)&amp;"-D: Unit rate 2"</f>
        <v>Section 512-D: Unit rate 2</v>
      </c>
      <c r="D175" s="5"/>
      <c r="E175" s="5"/>
      <c r="F175" s="5"/>
      <c r="G175" s="5"/>
      <c r="H175" s="5"/>
      <c r="I175" s="5"/>
      <c r="J175" s="204"/>
      <c r="K175" s="204"/>
      <c r="L175" s="204"/>
      <c r="M175" s="204"/>
      <c r="N175" s="204"/>
      <c r="O175" s="204"/>
      <c r="P175" s="204"/>
      <c r="Q175" s="204"/>
      <c r="R175" s="204"/>
      <c r="S175" s="204"/>
      <c r="T175" s="204"/>
      <c r="U175" s="204"/>
      <c r="V175" s="204"/>
      <c r="W175" s="204"/>
      <c r="X175" s="204"/>
      <c r="Y175" s="204"/>
      <c r="Z175" s="5"/>
      <c r="AA175" s="5"/>
    </row>
    <row r="176" spans="3:27" x14ac:dyDescent="0.25">
      <c r="C176" s="52"/>
      <c r="D176" s="52"/>
      <c r="E176" s="52"/>
      <c r="J176" s="198"/>
      <c r="K176" s="198"/>
      <c r="L176" s="198"/>
      <c r="M176" s="198"/>
      <c r="N176" s="198"/>
      <c r="O176" s="198"/>
      <c r="P176" s="198"/>
      <c r="Q176" s="198"/>
      <c r="R176" s="198"/>
      <c r="S176" s="198"/>
      <c r="T176" s="198"/>
      <c r="U176" s="198"/>
      <c r="V176" s="198"/>
      <c r="W176" s="198"/>
      <c r="X176" s="198"/>
      <c r="Y176" s="198"/>
    </row>
    <row r="177" spans="4:27" x14ac:dyDescent="0.25">
      <c r="D177" s="73" t="s">
        <v>726</v>
      </c>
      <c r="E177" s="52"/>
      <c r="F177" s="52"/>
      <c r="J177" s="198"/>
      <c r="K177" s="198"/>
      <c r="L177" s="198"/>
      <c r="M177" s="198"/>
      <c r="N177" s="198"/>
      <c r="O177" s="198"/>
      <c r="P177" s="198"/>
      <c r="Q177" s="198"/>
      <c r="R177" s="198"/>
      <c r="S177" s="198"/>
      <c r="T177" s="198"/>
      <c r="U177" s="198"/>
      <c r="V177" s="198"/>
      <c r="W177" s="198"/>
      <c r="X177" s="198"/>
      <c r="Y177" s="198"/>
    </row>
    <row r="178" spans="4:27" x14ac:dyDescent="0.25">
      <c r="D178" s="73" t="s">
        <v>376</v>
      </c>
      <c r="E178" s="52"/>
      <c r="F178" s="52"/>
      <c r="J178" s="198"/>
      <c r="K178" s="198"/>
      <c r="L178" s="198"/>
      <c r="M178" s="198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198"/>
      <c r="Y178" s="198"/>
    </row>
    <row r="179" spans="4:27" x14ac:dyDescent="0.25">
      <c r="D179" s="52"/>
      <c r="E179" s="52"/>
      <c r="F179" s="52"/>
      <c r="I179" s="19" t="s">
        <v>359</v>
      </c>
      <c r="J179" s="198"/>
      <c r="K179" s="198"/>
      <c r="L179" s="198"/>
      <c r="M179" s="198"/>
      <c r="N179" s="198"/>
      <c r="O179" s="198"/>
      <c r="P179" s="198"/>
      <c r="Q179" s="198"/>
      <c r="R179" s="198"/>
      <c r="S179" s="198"/>
      <c r="T179" s="198"/>
      <c r="U179" s="198"/>
      <c r="V179" s="198"/>
      <c r="W179" s="198"/>
      <c r="X179" s="198"/>
      <c r="Y179" s="198"/>
      <c r="AA179" t="s">
        <v>725</v>
      </c>
    </row>
    <row r="180" spans="4:27" x14ac:dyDescent="0.25">
      <c r="E180" s="52" t="s">
        <v>139</v>
      </c>
      <c r="J180" s="198"/>
      <c r="K180" s="198"/>
      <c r="L180" s="198"/>
      <c r="M180" s="198"/>
      <c r="N180" s="198"/>
      <c r="O180" s="198"/>
      <c r="P180" s="198"/>
      <c r="Q180" s="198"/>
      <c r="R180" s="198"/>
      <c r="S180" s="198"/>
      <c r="T180" s="198"/>
      <c r="U180" s="198"/>
      <c r="V180" s="198"/>
      <c r="W180" s="198"/>
      <c r="X180" s="198"/>
      <c r="Y180" s="198"/>
    </row>
    <row r="181" spans="4:27" x14ac:dyDescent="0.25">
      <c r="E181" s="52"/>
      <c r="F181" s="357" t="s">
        <v>267</v>
      </c>
      <c r="G181" s="80" t="s">
        <v>183</v>
      </c>
      <c r="H181" s="296"/>
      <c r="I181" s="296"/>
      <c r="J181" s="302">
        <f t="shared" ref="J181:Y181" si="40">hundred * $H18 * J55 / $H43 * J93 * (1 - J67) / hours_in_year</f>
        <v>0</v>
      </c>
      <c r="K181" s="302">
        <f t="shared" si="40"/>
        <v>0</v>
      </c>
      <c r="L181" s="302">
        <f t="shared" si="40"/>
        <v>0</v>
      </c>
      <c r="M181" s="302">
        <f t="shared" si="40"/>
        <v>0</v>
      </c>
      <c r="N181" s="302">
        <f t="shared" si="40"/>
        <v>0</v>
      </c>
      <c r="O181" s="302">
        <f t="shared" si="40"/>
        <v>0</v>
      </c>
      <c r="P181" s="302">
        <f t="shared" si="40"/>
        <v>0</v>
      </c>
      <c r="Q181" s="302">
        <f t="shared" si="40"/>
        <v>0</v>
      </c>
      <c r="R181" s="302">
        <f t="shared" si="40"/>
        <v>0</v>
      </c>
      <c r="S181" s="302">
        <f t="shared" si="40"/>
        <v>0</v>
      </c>
      <c r="T181" s="302">
        <f t="shared" si="40"/>
        <v>0</v>
      </c>
      <c r="U181" s="302">
        <f t="shared" si="40"/>
        <v>0</v>
      </c>
      <c r="V181" s="302">
        <f t="shared" si="40"/>
        <v>0</v>
      </c>
      <c r="W181" s="302">
        <f t="shared" si="40"/>
        <v>0</v>
      </c>
      <c r="X181" s="302">
        <f t="shared" si="40"/>
        <v>0</v>
      </c>
      <c r="Y181" s="302">
        <f t="shared" si="40"/>
        <v>0</v>
      </c>
      <c r="Z181" s="298"/>
      <c r="AA181" s="298"/>
    </row>
    <row r="182" spans="4:27" x14ac:dyDescent="0.25">
      <c r="E182" s="52"/>
      <c r="F182" s="358" t="s">
        <v>43</v>
      </c>
      <c r="G182" t="s">
        <v>183</v>
      </c>
      <c r="H182" s="298"/>
      <c r="I182" s="298"/>
      <c r="J182" s="303">
        <f t="shared" ref="J182:Y182" si="41">hundred * $H19 * J56 / $H44 * J94 * (1 - J68) / hours_in_year</f>
        <v>0</v>
      </c>
      <c r="K182" s="303">
        <f t="shared" si="41"/>
        <v>0</v>
      </c>
      <c r="L182" s="303">
        <f t="shared" si="41"/>
        <v>0</v>
      </c>
      <c r="M182" s="303">
        <f t="shared" si="41"/>
        <v>0</v>
      </c>
      <c r="N182" s="303">
        <f t="shared" si="41"/>
        <v>0</v>
      </c>
      <c r="O182" s="303">
        <f t="shared" si="41"/>
        <v>0</v>
      </c>
      <c r="P182" s="303">
        <f t="shared" si="41"/>
        <v>0</v>
      </c>
      <c r="Q182" s="303">
        <f t="shared" si="41"/>
        <v>0</v>
      </c>
      <c r="R182" s="303">
        <f t="shared" si="41"/>
        <v>0</v>
      </c>
      <c r="S182" s="303">
        <f t="shared" si="41"/>
        <v>0</v>
      </c>
      <c r="T182" s="303">
        <f t="shared" si="41"/>
        <v>0</v>
      </c>
      <c r="U182" s="303">
        <f t="shared" si="41"/>
        <v>0</v>
      </c>
      <c r="V182" s="303">
        <f t="shared" si="41"/>
        <v>0</v>
      </c>
      <c r="W182" s="303">
        <f t="shared" si="41"/>
        <v>0</v>
      </c>
      <c r="X182" s="303">
        <f t="shared" si="41"/>
        <v>0</v>
      </c>
      <c r="Y182" s="303">
        <f t="shared" si="41"/>
        <v>0</v>
      </c>
      <c r="Z182" s="298"/>
      <c r="AA182" s="298"/>
    </row>
    <row r="183" spans="4:27" x14ac:dyDescent="0.25">
      <c r="E183" s="52"/>
      <c r="F183" s="358" t="s">
        <v>44</v>
      </c>
      <c r="G183" t="s">
        <v>183</v>
      </c>
      <c r="H183" s="298"/>
      <c r="I183" s="298"/>
      <c r="J183" s="303">
        <f t="shared" ref="J183:Y183" si="42">hundred * $H20 * J57 / $H45 * J95 * (1 - J69) / hours_in_year</f>
        <v>0</v>
      </c>
      <c r="K183" s="303">
        <f t="shared" si="42"/>
        <v>0</v>
      </c>
      <c r="L183" s="303">
        <f t="shared" si="42"/>
        <v>0</v>
      </c>
      <c r="M183" s="303">
        <f t="shared" si="42"/>
        <v>0</v>
      </c>
      <c r="N183" s="303">
        <f t="shared" si="42"/>
        <v>0</v>
      </c>
      <c r="O183" s="303">
        <f t="shared" si="42"/>
        <v>0</v>
      </c>
      <c r="P183" s="303">
        <f t="shared" si="42"/>
        <v>0</v>
      </c>
      <c r="Q183" s="303">
        <f t="shared" si="42"/>
        <v>0</v>
      </c>
      <c r="R183" s="303">
        <f t="shared" si="42"/>
        <v>0</v>
      </c>
      <c r="S183" s="303">
        <f t="shared" si="42"/>
        <v>0</v>
      </c>
      <c r="T183" s="303">
        <f t="shared" si="42"/>
        <v>0</v>
      </c>
      <c r="U183" s="303">
        <f t="shared" si="42"/>
        <v>0</v>
      </c>
      <c r="V183" s="303">
        <f t="shared" si="42"/>
        <v>0</v>
      </c>
      <c r="W183" s="303">
        <f t="shared" si="42"/>
        <v>0</v>
      </c>
      <c r="X183" s="303">
        <f t="shared" si="42"/>
        <v>0</v>
      </c>
      <c r="Y183" s="303">
        <f t="shared" si="42"/>
        <v>0</v>
      </c>
      <c r="Z183" s="298"/>
      <c r="AA183" s="298"/>
    </row>
    <row r="184" spans="4:27" x14ac:dyDescent="0.25">
      <c r="E184" s="52"/>
      <c r="F184" s="358" t="s">
        <v>45</v>
      </c>
      <c r="G184" t="s">
        <v>183</v>
      </c>
      <c r="H184" s="298"/>
      <c r="I184" s="298"/>
      <c r="J184" s="303">
        <f t="shared" ref="J184:Y184" si="43">hundred * $H21 * J58 / $H46 * J96 * (1 - J70) / hours_in_year</f>
        <v>0</v>
      </c>
      <c r="K184" s="303">
        <f t="shared" si="43"/>
        <v>0</v>
      </c>
      <c r="L184" s="303">
        <f t="shared" si="43"/>
        <v>0</v>
      </c>
      <c r="M184" s="303">
        <f t="shared" si="43"/>
        <v>0</v>
      </c>
      <c r="N184" s="303">
        <f t="shared" si="43"/>
        <v>0</v>
      </c>
      <c r="O184" s="303">
        <f t="shared" si="43"/>
        <v>0</v>
      </c>
      <c r="P184" s="303">
        <f t="shared" si="43"/>
        <v>0</v>
      </c>
      <c r="Q184" s="303">
        <f t="shared" si="43"/>
        <v>0</v>
      </c>
      <c r="R184" s="303">
        <f t="shared" si="43"/>
        <v>0</v>
      </c>
      <c r="S184" s="303">
        <f t="shared" si="43"/>
        <v>0</v>
      </c>
      <c r="T184" s="303">
        <f t="shared" si="43"/>
        <v>0</v>
      </c>
      <c r="U184" s="303">
        <f t="shared" si="43"/>
        <v>0</v>
      </c>
      <c r="V184" s="303">
        <f t="shared" si="43"/>
        <v>0</v>
      </c>
      <c r="W184" s="303">
        <f t="shared" si="43"/>
        <v>0</v>
      </c>
      <c r="X184" s="303">
        <f t="shared" si="43"/>
        <v>0</v>
      </c>
      <c r="Y184" s="303">
        <f t="shared" si="43"/>
        <v>0</v>
      </c>
      <c r="Z184" s="298"/>
      <c r="AA184" s="298"/>
    </row>
    <row r="185" spans="4:27" x14ac:dyDescent="0.25">
      <c r="E185" s="52"/>
      <c r="F185" s="358" t="s">
        <v>46</v>
      </c>
      <c r="G185" t="s">
        <v>183</v>
      </c>
      <c r="H185" s="298"/>
      <c r="I185" s="298"/>
      <c r="J185" s="303">
        <f t="shared" ref="J185:Y185" si="44">hundred * $H22 * J59 / $H47 * J97 * (1 - J71) / hours_in_year</f>
        <v>0.15644534534391963</v>
      </c>
      <c r="K185" s="303">
        <f t="shared" si="44"/>
        <v>0.15644534534391963</v>
      </c>
      <c r="L185" s="303">
        <f t="shared" si="44"/>
        <v>0.18882630664283995</v>
      </c>
      <c r="M185" s="303">
        <f t="shared" si="44"/>
        <v>0.18882630664283995</v>
      </c>
      <c r="N185" s="303">
        <f t="shared" si="44"/>
        <v>0.15947809677209554</v>
      </c>
      <c r="O185" s="303">
        <f t="shared" si="44"/>
        <v>0.13206048319156033</v>
      </c>
      <c r="P185" s="303">
        <f t="shared" si="44"/>
        <v>0.12547757228050002</v>
      </c>
      <c r="Q185" s="303">
        <f t="shared" si="44"/>
        <v>0.15339210550845925</v>
      </c>
      <c r="R185" s="303">
        <f t="shared" si="44"/>
        <v>-0.12305289706511291</v>
      </c>
      <c r="S185" s="303">
        <f t="shared" si="44"/>
        <v>-0.11625993170676732</v>
      </c>
      <c r="T185" s="303">
        <f t="shared" si="44"/>
        <v>-0.12305289706511291</v>
      </c>
      <c r="U185" s="303">
        <f t="shared" si="44"/>
        <v>-0.12305289706511291</v>
      </c>
      <c r="V185" s="303">
        <f t="shared" si="44"/>
        <v>-0.11625993170676732</v>
      </c>
      <c r="W185" s="303">
        <f t="shared" si="44"/>
        <v>-0.11625993170676732</v>
      </c>
      <c r="X185" s="303">
        <f t="shared" si="44"/>
        <v>-0.11048625748737498</v>
      </c>
      <c r="Y185" s="303">
        <f t="shared" si="44"/>
        <v>-0.11048625748737498</v>
      </c>
      <c r="Z185" s="298"/>
      <c r="AA185" s="298"/>
    </row>
    <row r="186" spans="4:27" x14ac:dyDescent="0.25">
      <c r="E186" s="52"/>
      <c r="F186" s="358" t="s">
        <v>47</v>
      </c>
      <c r="G186" t="s">
        <v>183</v>
      </c>
      <c r="H186" s="298"/>
      <c r="I186" s="298"/>
      <c r="J186" s="303">
        <f t="shared" ref="J186:Y186" si="45">hundred * $H23 * J60 / $H48 * J98 * (1 - J72) / hours_in_year</f>
        <v>6.1652391015324749E-2</v>
      </c>
      <c r="K186" s="303">
        <f t="shared" si="45"/>
        <v>6.1652391015324749E-2</v>
      </c>
      <c r="L186" s="303">
        <f t="shared" si="45"/>
        <v>7.4413164965258821E-2</v>
      </c>
      <c r="M186" s="303">
        <f t="shared" si="45"/>
        <v>7.4413164965258821E-2</v>
      </c>
      <c r="N186" s="303">
        <f t="shared" si="45"/>
        <v>6.2847545633003821E-2</v>
      </c>
      <c r="O186" s="303">
        <f t="shared" si="45"/>
        <v>5.2042740737989222E-2</v>
      </c>
      <c r="P186" s="303">
        <f t="shared" si="45"/>
        <v>4.3782431204997987E-2</v>
      </c>
      <c r="Q186" s="303">
        <f t="shared" si="45"/>
        <v>5.1196612115567752E-2</v>
      </c>
      <c r="R186" s="303">
        <f t="shared" si="45"/>
        <v>-4.8493007629911586E-2</v>
      </c>
      <c r="S186" s="303">
        <f t="shared" si="45"/>
        <v>-4.5816018068441357E-2</v>
      </c>
      <c r="T186" s="303">
        <f t="shared" si="45"/>
        <v>-4.8493007629911586E-2</v>
      </c>
      <c r="U186" s="303">
        <f t="shared" si="45"/>
        <v>-4.8493007629911586E-2</v>
      </c>
      <c r="V186" s="303">
        <f t="shared" si="45"/>
        <v>-4.5816018068441357E-2</v>
      </c>
      <c r="W186" s="303">
        <f t="shared" si="45"/>
        <v>-4.5816018068441357E-2</v>
      </c>
      <c r="X186" s="303">
        <f t="shared" si="45"/>
        <v>-3.8551566464204247E-2</v>
      </c>
      <c r="Y186" s="303">
        <f t="shared" si="45"/>
        <v>-3.8551566464204247E-2</v>
      </c>
      <c r="Z186" s="298"/>
      <c r="AA186" s="298"/>
    </row>
    <row r="187" spans="4:27" x14ac:dyDescent="0.25">
      <c r="E187" s="52"/>
      <c r="F187" s="358" t="s">
        <v>51</v>
      </c>
      <c r="G187" t="s">
        <v>183</v>
      </c>
      <c r="H187" s="298"/>
      <c r="I187" s="298"/>
      <c r="J187" s="303">
        <f t="shared" ref="J187:Y187" si="46">hundred * $H24 * J61 / $H49 * J99 * (1 - J73) / hours_in_year</f>
        <v>0</v>
      </c>
      <c r="K187" s="303">
        <f t="shared" si="46"/>
        <v>0</v>
      </c>
      <c r="L187" s="303">
        <f t="shared" si="46"/>
        <v>0</v>
      </c>
      <c r="M187" s="303">
        <f t="shared" si="46"/>
        <v>0</v>
      </c>
      <c r="N187" s="303">
        <f t="shared" si="46"/>
        <v>0</v>
      </c>
      <c r="O187" s="303">
        <f t="shared" si="46"/>
        <v>0</v>
      </c>
      <c r="P187" s="303">
        <f t="shared" si="46"/>
        <v>0</v>
      </c>
      <c r="Q187" s="303">
        <f t="shared" si="46"/>
        <v>0</v>
      </c>
      <c r="R187" s="303">
        <f t="shared" si="46"/>
        <v>0</v>
      </c>
      <c r="S187" s="303">
        <f t="shared" si="46"/>
        <v>0</v>
      </c>
      <c r="T187" s="303">
        <f t="shared" si="46"/>
        <v>0</v>
      </c>
      <c r="U187" s="303">
        <f t="shared" si="46"/>
        <v>0</v>
      </c>
      <c r="V187" s="303">
        <f t="shared" si="46"/>
        <v>0</v>
      </c>
      <c r="W187" s="303">
        <f t="shared" si="46"/>
        <v>0</v>
      </c>
      <c r="X187" s="303">
        <f t="shared" si="46"/>
        <v>0</v>
      </c>
      <c r="Y187" s="303">
        <f t="shared" si="46"/>
        <v>0</v>
      </c>
      <c r="Z187" s="298"/>
      <c r="AA187" s="298"/>
    </row>
    <row r="188" spans="4:27" x14ac:dyDescent="0.25">
      <c r="E188" s="52"/>
      <c r="F188" s="358" t="s">
        <v>48</v>
      </c>
      <c r="G188" t="s">
        <v>183</v>
      </c>
      <c r="H188" s="298"/>
      <c r="I188" s="298"/>
      <c r="J188" s="303">
        <f t="shared" ref="J188:Y188" si="47">hundred * $H25 * J62 / $H50 * J100 * (1 - J74) / hours_in_year</f>
        <v>0.21201132621088903</v>
      </c>
      <c r="K188" s="303">
        <f t="shared" si="47"/>
        <v>0.21201132621088903</v>
      </c>
      <c r="L188" s="303">
        <f t="shared" si="47"/>
        <v>0.25589330003296523</v>
      </c>
      <c r="M188" s="303">
        <f t="shared" si="47"/>
        <v>0.25589330003296523</v>
      </c>
      <c r="N188" s="303">
        <f t="shared" si="47"/>
        <v>0.21612124492366414</v>
      </c>
      <c r="O188" s="303">
        <f t="shared" si="47"/>
        <v>0.17896549187797045</v>
      </c>
      <c r="P188" s="303">
        <f t="shared" si="47"/>
        <v>0.12043443416670244</v>
      </c>
      <c r="Q188" s="303">
        <f t="shared" si="47"/>
        <v>0.17605580989434744</v>
      </c>
      <c r="R188" s="303">
        <f t="shared" si="47"/>
        <v>-0.16675860725363892</v>
      </c>
      <c r="S188" s="303">
        <f t="shared" si="47"/>
        <v>-0.15755292848217109</v>
      </c>
      <c r="T188" s="303">
        <f t="shared" si="47"/>
        <v>-0.16675860725363892</v>
      </c>
      <c r="U188" s="303">
        <f t="shared" si="47"/>
        <v>-0.16675860725363892</v>
      </c>
      <c r="V188" s="303">
        <f t="shared" si="47"/>
        <v>-0.15755292848217109</v>
      </c>
      <c r="W188" s="303">
        <f t="shared" si="47"/>
        <v>-0.15755292848217109</v>
      </c>
      <c r="X188" s="303">
        <f t="shared" si="47"/>
        <v>0</v>
      </c>
      <c r="Y188" s="303">
        <f t="shared" si="47"/>
        <v>0</v>
      </c>
      <c r="Z188" s="298"/>
      <c r="AA188" s="298"/>
    </row>
    <row r="189" spans="4:27" x14ac:dyDescent="0.25">
      <c r="E189" s="52"/>
      <c r="F189" s="358" t="s">
        <v>49</v>
      </c>
      <c r="G189" t="s">
        <v>183</v>
      </c>
      <c r="H189" s="298"/>
      <c r="I189" s="298"/>
      <c r="J189" s="303">
        <f t="shared" ref="J189:Y189" si="48">hundred * $H26 * J63 / $H51 * J101 * (1 - J75) / hours_in_year</f>
        <v>4.8682713366996283E-2</v>
      </c>
      <c r="K189" s="303">
        <f t="shared" si="48"/>
        <v>4.8682713366996283E-2</v>
      </c>
      <c r="L189" s="303">
        <f t="shared" si="48"/>
        <v>5.8759031419142176E-2</v>
      </c>
      <c r="M189" s="303">
        <f t="shared" si="48"/>
        <v>5.8759031419142176E-2</v>
      </c>
      <c r="N189" s="303">
        <f t="shared" si="48"/>
        <v>4.9626445941248758E-2</v>
      </c>
      <c r="O189" s="303">
        <f t="shared" si="48"/>
        <v>4.1094624043869848E-2</v>
      </c>
      <c r="P189" s="303">
        <f t="shared" si="48"/>
        <v>0</v>
      </c>
      <c r="Q189" s="303">
        <f t="shared" si="48"/>
        <v>4.0426493635323052E-2</v>
      </c>
      <c r="R189" s="303">
        <f t="shared" si="48"/>
        <v>-3.8291640467986714E-2</v>
      </c>
      <c r="S189" s="303">
        <f t="shared" si="48"/>
        <v>0</v>
      </c>
      <c r="T189" s="303">
        <f t="shared" si="48"/>
        <v>-3.8291640467986714E-2</v>
      </c>
      <c r="U189" s="303">
        <f t="shared" si="48"/>
        <v>-3.8291640467986714E-2</v>
      </c>
      <c r="V189" s="303">
        <f t="shared" si="48"/>
        <v>0</v>
      </c>
      <c r="W189" s="303">
        <f t="shared" si="48"/>
        <v>0</v>
      </c>
      <c r="X189" s="303">
        <f t="shared" si="48"/>
        <v>0</v>
      </c>
      <c r="Y189" s="303">
        <f t="shared" si="48"/>
        <v>0</v>
      </c>
      <c r="Z189" s="298"/>
      <c r="AA189" s="298"/>
    </row>
    <row r="190" spans="4:27" x14ac:dyDescent="0.25">
      <c r="E190" s="52"/>
      <c r="F190" s="360" t="s">
        <v>50</v>
      </c>
      <c r="G190" s="17" t="s">
        <v>183</v>
      </c>
      <c r="H190" s="300"/>
      <c r="I190" s="300"/>
      <c r="J190" s="304">
        <f t="shared" ref="J190:Y190" si="49">hundred * $H27 * J64 / $H52 * J102 * (1 - J76) / hours_in_year</f>
        <v>8.5530751637529177E-3</v>
      </c>
      <c r="K190" s="304">
        <f t="shared" si="49"/>
        <v>8.5530751637529177E-3</v>
      </c>
      <c r="L190" s="304">
        <f t="shared" si="49"/>
        <v>1.0323385397370897E-2</v>
      </c>
      <c r="M190" s="304">
        <f t="shared" si="49"/>
        <v>1.0323385397370897E-2</v>
      </c>
      <c r="N190" s="304">
        <f t="shared" si="49"/>
        <v>8.7188797190827314E-3</v>
      </c>
      <c r="O190" s="304">
        <f t="shared" si="49"/>
        <v>0</v>
      </c>
      <c r="P190" s="304">
        <f t="shared" si="49"/>
        <v>0</v>
      </c>
      <c r="Q190" s="304">
        <f t="shared" si="49"/>
        <v>7.1025383499742903E-3</v>
      </c>
      <c r="R190" s="304">
        <f t="shared" si="49"/>
        <v>0</v>
      </c>
      <c r="S190" s="304">
        <f t="shared" si="49"/>
        <v>0</v>
      </c>
      <c r="T190" s="304">
        <f t="shared" si="49"/>
        <v>0</v>
      </c>
      <c r="U190" s="304">
        <f t="shared" si="49"/>
        <v>0</v>
      </c>
      <c r="V190" s="304">
        <f t="shared" si="49"/>
        <v>0</v>
      </c>
      <c r="W190" s="304">
        <f t="shared" si="49"/>
        <v>0</v>
      </c>
      <c r="X190" s="304">
        <f t="shared" si="49"/>
        <v>0</v>
      </c>
      <c r="Y190" s="304">
        <f t="shared" si="49"/>
        <v>0</v>
      </c>
      <c r="Z190" s="298"/>
      <c r="AA190" s="298"/>
    </row>
    <row r="191" spans="4:27" x14ac:dyDescent="0.25">
      <c r="E191" s="52"/>
      <c r="F191" s="358"/>
      <c r="J191" s="198"/>
      <c r="K191" s="198"/>
      <c r="L191" s="198"/>
      <c r="M191" s="198"/>
      <c r="N191" s="198"/>
      <c r="O191" s="198"/>
      <c r="P191" s="198"/>
      <c r="Q191" s="198"/>
      <c r="R191" s="198"/>
      <c r="S191" s="198"/>
      <c r="T191" s="198"/>
      <c r="U191" s="198"/>
      <c r="V191" s="198"/>
      <c r="W191" s="198"/>
      <c r="X191" s="198"/>
      <c r="Y191" s="198"/>
    </row>
    <row r="192" spans="4:27" x14ac:dyDescent="0.25">
      <c r="E192" s="52" t="s">
        <v>116</v>
      </c>
      <c r="J192" s="198"/>
      <c r="K192" s="198"/>
      <c r="L192" s="198"/>
      <c r="M192" s="198"/>
      <c r="N192" s="198"/>
      <c r="O192" s="198"/>
      <c r="P192" s="198"/>
      <c r="Q192" s="198"/>
      <c r="R192" s="198"/>
      <c r="S192" s="198"/>
      <c r="T192" s="198"/>
      <c r="U192" s="198"/>
      <c r="V192" s="198"/>
      <c r="W192" s="198"/>
      <c r="X192" s="198"/>
      <c r="Y192" s="198"/>
    </row>
    <row r="193" spans="3:27" x14ac:dyDescent="0.25">
      <c r="D193" s="52"/>
      <c r="E193" s="52"/>
      <c r="F193" s="357" t="s">
        <v>267</v>
      </c>
      <c r="G193" s="80" t="s">
        <v>183</v>
      </c>
      <c r="H193" s="296"/>
      <c r="I193" s="296"/>
      <c r="J193" s="302">
        <f t="shared" ref="J193:Y193" si="50">hundred * $H30 * J55 / $H43 * J93 / hours_in_year</f>
        <v>6.176922403299117E-2</v>
      </c>
      <c r="K193" s="302">
        <f t="shared" si="50"/>
        <v>6.176922403299117E-2</v>
      </c>
      <c r="L193" s="302">
        <f t="shared" si="50"/>
        <v>7.4554180009019907E-2</v>
      </c>
      <c r="M193" s="302">
        <f t="shared" si="50"/>
        <v>7.4554180009019907E-2</v>
      </c>
      <c r="N193" s="302">
        <f t="shared" si="50"/>
        <v>6.2966643502337188E-2</v>
      </c>
      <c r="O193" s="302">
        <f t="shared" si="50"/>
        <v>5.2141363197684906E-2</v>
      </c>
      <c r="P193" s="302">
        <f t="shared" si="50"/>
        <v>5.1132480963184471E-2</v>
      </c>
      <c r="Q193" s="302">
        <f t="shared" si="50"/>
        <v>6.056371513780219E-2</v>
      </c>
      <c r="R193" s="302">
        <f t="shared" si="50"/>
        <v>-4.8584903245374671E-2</v>
      </c>
      <c r="S193" s="302">
        <f t="shared" si="50"/>
        <v>-4.590284071327707E-2</v>
      </c>
      <c r="T193" s="302">
        <f t="shared" si="50"/>
        <v>-4.8584903245374671E-2</v>
      </c>
      <c r="U193" s="302">
        <f t="shared" si="50"/>
        <v>-4.8584903245374671E-2</v>
      </c>
      <c r="V193" s="302">
        <f t="shared" si="50"/>
        <v>-4.590284071327707E-2</v>
      </c>
      <c r="W193" s="302">
        <f t="shared" si="50"/>
        <v>-4.590284071327707E-2</v>
      </c>
      <c r="X193" s="302">
        <f t="shared" si="50"/>
        <v>-4.5023475948654905E-2</v>
      </c>
      <c r="Y193" s="302">
        <f t="shared" si="50"/>
        <v>-4.5023475948654905E-2</v>
      </c>
      <c r="Z193" s="298"/>
      <c r="AA193" s="298"/>
    </row>
    <row r="194" spans="3:27" x14ac:dyDescent="0.25">
      <c r="D194" s="52"/>
      <c r="E194" s="52"/>
      <c r="F194" s="358" t="s">
        <v>43</v>
      </c>
      <c r="G194" t="s">
        <v>183</v>
      </c>
      <c r="H194" s="298"/>
      <c r="I194" s="298"/>
      <c r="J194" s="303">
        <f t="shared" ref="J194:Y194" si="51">hundred * $H31 * J56 / $H44 * J94 / hours_in_year</f>
        <v>0</v>
      </c>
      <c r="K194" s="303">
        <f t="shared" si="51"/>
        <v>0</v>
      </c>
      <c r="L194" s="303">
        <f t="shared" si="51"/>
        <v>0</v>
      </c>
      <c r="M194" s="303">
        <f t="shared" si="51"/>
        <v>0</v>
      </c>
      <c r="N194" s="303">
        <f t="shared" si="51"/>
        <v>0</v>
      </c>
      <c r="O194" s="303">
        <f t="shared" si="51"/>
        <v>0</v>
      </c>
      <c r="P194" s="303">
        <f t="shared" si="51"/>
        <v>0</v>
      </c>
      <c r="Q194" s="303">
        <f t="shared" si="51"/>
        <v>0</v>
      </c>
      <c r="R194" s="303">
        <f t="shared" si="51"/>
        <v>0</v>
      </c>
      <c r="S194" s="303">
        <f t="shared" si="51"/>
        <v>0</v>
      </c>
      <c r="T194" s="303">
        <f t="shared" si="51"/>
        <v>0</v>
      </c>
      <c r="U194" s="303">
        <f t="shared" si="51"/>
        <v>0</v>
      </c>
      <c r="V194" s="303">
        <f t="shared" si="51"/>
        <v>0</v>
      </c>
      <c r="W194" s="303">
        <f t="shared" si="51"/>
        <v>0</v>
      </c>
      <c r="X194" s="303">
        <f t="shared" si="51"/>
        <v>0</v>
      </c>
      <c r="Y194" s="303">
        <f t="shared" si="51"/>
        <v>0</v>
      </c>
      <c r="Z194" s="298"/>
      <c r="AA194" s="298"/>
    </row>
    <row r="195" spans="3:27" x14ac:dyDescent="0.25">
      <c r="D195" s="52"/>
      <c r="E195" s="52"/>
      <c r="F195" s="358" t="s">
        <v>44</v>
      </c>
      <c r="G195" t="s">
        <v>183</v>
      </c>
      <c r="H195" s="298"/>
      <c r="I195" s="298"/>
      <c r="J195" s="303">
        <f t="shared" ref="J195:Y195" si="52">hundred * $H32 * J57 / $H45 * J95 / hours_in_year</f>
        <v>0</v>
      </c>
      <c r="K195" s="303">
        <f t="shared" si="52"/>
        <v>0</v>
      </c>
      <c r="L195" s="303">
        <f t="shared" si="52"/>
        <v>0</v>
      </c>
      <c r="M195" s="303">
        <f t="shared" si="52"/>
        <v>0</v>
      </c>
      <c r="N195" s="303">
        <f t="shared" si="52"/>
        <v>0</v>
      </c>
      <c r="O195" s="303">
        <f t="shared" si="52"/>
        <v>0</v>
      </c>
      <c r="P195" s="303">
        <f t="shared" si="52"/>
        <v>0</v>
      </c>
      <c r="Q195" s="303">
        <f t="shared" si="52"/>
        <v>0</v>
      </c>
      <c r="R195" s="303">
        <f t="shared" si="52"/>
        <v>0</v>
      </c>
      <c r="S195" s="303">
        <f t="shared" si="52"/>
        <v>0</v>
      </c>
      <c r="T195" s="303">
        <f t="shared" si="52"/>
        <v>0</v>
      </c>
      <c r="U195" s="303">
        <f t="shared" si="52"/>
        <v>0</v>
      </c>
      <c r="V195" s="303">
        <f t="shared" si="52"/>
        <v>0</v>
      </c>
      <c r="W195" s="303">
        <f t="shared" si="52"/>
        <v>0</v>
      </c>
      <c r="X195" s="303">
        <f t="shared" si="52"/>
        <v>0</v>
      </c>
      <c r="Y195" s="303">
        <f t="shared" si="52"/>
        <v>0</v>
      </c>
      <c r="Z195" s="298"/>
      <c r="AA195" s="298"/>
    </row>
    <row r="196" spans="3:27" x14ac:dyDescent="0.25">
      <c r="D196" s="52"/>
      <c r="E196" s="52"/>
      <c r="F196" s="358" t="s">
        <v>45</v>
      </c>
      <c r="G196" t="s">
        <v>183</v>
      </c>
      <c r="H196" s="298"/>
      <c r="I196" s="298"/>
      <c r="J196" s="303">
        <f t="shared" ref="J196:Y196" si="53">hundred * $H33 * J58 / $H46 * J96 / hours_in_year</f>
        <v>0</v>
      </c>
      <c r="K196" s="303">
        <f t="shared" si="53"/>
        <v>0</v>
      </c>
      <c r="L196" s="303">
        <f t="shared" si="53"/>
        <v>0</v>
      </c>
      <c r="M196" s="303">
        <f t="shared" si="53"/>
        <v>0</v>
      </c>
      <c r="N196" s="303">
        <f t="shared" si="53"/>
        <v>0</v>
      </c>
      <c r="O196" s="303">
        <f t="shared" si="53"/>
        <v>0</v>
      </c>
      <c r="P196" s="303">
        <f t="shared" si="53"/>
        <v>0</v>
      </c>
      <c r="Q196" s="303">
        <f t="shared" si="53"/>
        <v>0</v>
      </c>
      <c r="R196" s="303">
        <f t="shared" si="53"/>
        <v>0</v>
      </c>
      <c r="S196" s="303">
        <f t="shared" si="53"/>
        <v>0</v>
      </c>
      <c r="T196" s="303">
        <f t="shared" si="53"/>
        <v>0</v>
      </c>
      <c r="U196" s="303">
        <f t="shared" si="53"/>
        <v>0</v>
      </c>
      <c r="V196" s="303">
        <f t="shared" si="53"/>
        <v>0</v>
      </c>
      <c r="W196" s="303">
        <f t="shared" si="53"/>
        <v>0</v>
      </c>
      <c r="X196" s="303">
        <f t="shared" si="53"/>
        <v>0</v>
      </c>
      <c r="Y196" s="303">
        <f t="shared" si="53"/>
        <v>0</v>
      </c>
      <c r="Z196" s="298"/>
      <c r="AA196" s="298"/>
    </row>
    <row r="197" spans="3:27" x14ac:dyDescent="0.25">
      <c r="D197" s="52"/>
      <c r="E197" s="52"/>
      <c r="F197" s="358" t="s">
        <v>46</v>
      </c>
      <c r="G197" t="s">
        <v>183</v>
      </c>
      <c r="H197" s="298"/>
      <c r="I197" s="298"/>
      <c r="J197" s="303">
        <f t="shared" ref="J197:Y197" si="54">hundred * $H34 * J59 / $H47 * J97 / hours_in_year</f>
        <v>0.11735683409563366</v>
      </c>
      <c r="K197" s="303">
        <f t="shared" si="54"/>
        <v>0.11735683409563366</v>
      </c>
      <c r="L197" s="303">
        <f t="shared" si="54"/>
        <v>0.14164727939242766</v>
      </c>
      <c r="M197" s="303">
        <f t="shared" si="54"/>
        <v>0.14164727939242766</v>
      </c>
      <c r="N197" s="303">
        <f t="shared" si="54"/>
        <v>0.11963184013961224</v>
      </c>
      <c r="O197" s="303">
        <f t="shared" si="54"/>
        <v>9.9064629774896093E-2</v>
      </c>
      <c r="P197" s="303">
        <f t="shared" si="54"/>
        <v>9.7147830157127496E-2</v>
      </c>
      <c r="Q197" s="303">
        <f t="shared" si="54"/>
        <v>0.1150664587569708</v>
      </c>
      <c r="R197" s="303">
        <f t="shared" si="54"/>
        <v>-9.2307625989837772E-2</v>
      </c>
      <c r="S197" s="303">
        <f t="shared" si="54"/>
        <v>-8.7211910889946273E-2</v>
      </c>
      <c r="T197" s="303">
        <f t="shared" si="54"/>
        <v>-9.2307625989837772E-2</v>
      </c>
      <c r="U197" s="303">
        <f t="shared" si="54"/>
        <v>-9.2307625989837772E-2</v>
      </c>
      <c r="V197" s="303">
        <f t="shared" si="54"/>
        <v>-8.7211910889946273E-2</v>
      </c>
      <c r="W197" s="303">
        <f t="shared" si="54"/>
        <v>-8.7211910889946273E-2</v>
      </c>
      <c r="X197" s="303">
        <f t="shared" si="54"/>
        <v>-8.5541184627686756E-2</v>
      </c>
      <c r="Y197" s="303">
        <f t="shared" si="54"/>
        <v>-8.5541184627686756E-2</v>
      </c>
      <c r="Z197" s="298"/>
      <c r="AA197" s="298"/>
    </row>
    <row r="198" spans="3:27" x14ac:dyDescent="0.25">
      <c r="D198" s="52"/>
      <c r="E198" s="52"/>
      <c r="F198" s="358" t="s">
        <v>47</v>
      </c>
      <c r="G198" t="s">
        <v>183</v>
      </c>
      <c r="H198" s="298"/>
      <c r="I198" s="298"/>
      <c r="J198" s="303">
        <f t="shared" ref="J198:Y198" si="55">hundred * $H35 * J60 / $H48 * J98 / hours_in_year</f>
        <v>4.6248288231771344E-2</v>
      </c>
      <c r="K198" s="303">
        <f t="shared" si="55"/>
        <v>4.6248288231771344E-2</v>
      </c>
      <c r="L198" s="303">
        <f t="shared" si="55"/>
        <v>5.5820730467634277E-2</v>
      </c>
      <c r="M198" s="303">
        <f t="shared" si="55"/>
        <v>5.5820730467634277E-2</v>
      </c>
      <c r="N198" s="303">
        <f t="shared" si="55"/>
        <v>4.714482856588776E-2</v>
      </c>
      <c r="O198" s="303">
        <f t="shared" si="55"/>
        <v>3.9039648493496414E-2</v>
      </c>
      <c r="P198" s="303">
        <f t="shared" si="55"/>
        <v>3.8284271085028902E-2</v>
      </c>
      <c r="Q198" s="303">
        <f t="shared" si="55"/>
        <v>3.8404928578072969E-2</v>
      </c>
      <c r="R198" s="303">
        <f t="shared" si="55"/>
        <v>-3.6376830762916763E-2</v>
      </c>
      <c r="S198" s="303">
        <f t="shared" si="55"/>
        <v>-3.4368698023968421E-2</v>
      </c>
      <c r="T198" s="303">
        <f t="shared" si="55"/>
        <v>-3.6376830762916763E-2</v>
      </c>
      <c r="U198" s="303">
        <f t="shared" si="55"/>
        <v>-3.6376830762916763E-2</v>
      </c>
      <c r="V198" s="303">
        <f t="shared" si="55"/>
        <v>-3.4368698023968421E-2</v>
      </c>
      <c r="W198" s="303">
        <f t="shared" si="55"/>
        <v>-3.4368698023968421E-2</v>
      </c>
      <c r="X198" s="303">
        <f t="shared" si="55"/>
        <v>-3.3710293847264032E-2</v>
      </c>
      <c r="Y198" s="303">
        <f t="shared" si="55"/>
        <v>-3.3710293847264032E-2</v>
      </c>
      <c r="Z198" s="298"/>
      <c r="AA198" s="298"/>
    </row>
    <row r="199" spans="3:27" x14ac:dyDescent="0.25">
      <c r="D199" s="52"/>
      <c r="E199" s="52"/>
      <c r="F199" s="358" t="s">
        <v>51</v>
      </c>
      <c r="G199" t="s">
        <v>183</v>
      </c>
      <c r="H199" s="298"/>
      <c r="I199" s="298"/>
      <c r="J199" s="303">
        <f t="shared" ref="J199:Y199" si="56">hundred * $H36 * J61 / $H49 * J99 / hours_in_year</f>
        <v>0</v>
      </c>
      <c r="K199" s="303">
        <f t="shared" si="56"/>
        <v>0</v>
      </c>
      <c r="L199" s="303">
        <f t="shared" si="56"/>
        <v>0</v>
      </c>
      <c r="M199" s="303">
        <f t="shared" si="56"/>
        <v>0</v>
      </c>
      <c r="N199" s="303">
        <f t="shared" si="56"/>
        <v>0</v>
      </c>
      <c r="O199" s="303">
        <f t="shared" si="56"/>
        <v>0</v>
      </c>
      <c r="P199" s="303">
        <f t="shared" si="56"/>
        <v>0</v>
      </c>
      <c r="Q199" s="303">
        <f t="shared" si="56"/>
        <v>0</v>
      </c>
      <c r="R199" s="303">
        <f t="shared" si="56"/>
        <v>0</v>
      </c>
      <c r="S199" s="303">
        <f t="shared" si="56"/>
        <v>0</v>
      </c>
      <c r="T199" s="303">
        <f t="shared" si="56"/>
        <v>0</v>
      </c>
      <c r="U199" s="303">
        <f t="shared" si="56"/>
        <v>0</v>
      </c>
      <c r="V199" s="303">
        <f t="shared" si="56"/>
        <v>0</v>
      </c>
      <c r="W199" s="303">
        <f t="shared" si="56"/>
        <v>0</v>
      </c>
      <c r="X199" s="303">
        <f t="shared" si="56"/>
        <v>0</v>
      </c>
      <c r="Y199" s="303">
        <f t="shared" si="56"/>
        <v>0</v>
      </c>
      <c r="Z199" s="298"/>
      <c r="AA199" s="298"/>
    </row>
    <row r="200" spans="3:27" x14ac:dyDescent="0.25">
      <c r="D200" s="52"/>
      <c r="E200" s="52"/>
      <c r="F200" s="358" t="s">
        <v>48</v>
      </c>
      <c r="G200" t="s">
        <v>183</v>
      </c>
      <c r="H200" s="298"/>
      <c r="I200" s="298"/>
      <c r="J200" s="303">
        <f t="shared" ref="J200:Y200" si="57">hundred * $H37 * J62 / $H50 * J100 / hours_in_year</f>
        <v>0.19896143159922605</v>
      </c>
      <c r="K200" s="303">
        <f t="shared" si="57"/>
        <v>0.19896143159922605</v>
      </c>
      <c r="L200" s="303">
        <f t="shared" si="57"/>
        <v>0.24014234626581063</v>
      </c>
      <c r="M200" s="303">
        <f t="shared" si="57"/>
        <v>0.24014234626581063</v>
      </c>
      <c r="N200" s="303">
        <f t="shared" si="57"/>
        <v>0.20281837323279137</v>
      </c>
      <c r="O200" s="303">
        <f t="shared" si="57"/>
        <v>0.16794966149818763</v>
      </c>
      <c r="P200" s="303">
        <f t="shared" si="57"/>
        <v>0.16470000672538329</v>
      </c>
      <c r="Q200" s="303">
        <f t="shared" si="57"/>
        <v>0.16521907864062724</v>
      </c>
      <c r="R200" s="303">
        <f t="shared" si="57"/>
        <v>-0.15649414502352663</v>
      </c>
      <c r="S200" s="303">
        <f t="shared" si="57"/>
        <v>-0.14785510172358532</v>
      </c>
      <c r="T200" s="303">
        <f t="shared" si="57"/>
        <v>-0.15649414502352663</v>
      </c>
      <c r="U200" s="303">
        <f t="shared" si="57"/>
        <v>-0.15649414502352663</v>
      </c>
      <c r="V200" s="303">
        <f t="shared" si="57"/>
        <v>-0.14785510172358532</v>
      </c>
      <c r="W200" s="303">
        <f t="shared" si="57"/>
        <v>-0.14785510172358532</v>
      </c>
      <c r="X200" s="303">
        <f t="shared" si="57"/>
        <v>0</v>
      </c>
      <c r="Y200" s="303">
        <f t="shared" si="57"/>
        <v>0</v>
      </c>
      <c r="Z200" s="298"/>
      <c r="AA200" s="298"/>
    </row>
    <row r="201" spans="3:27" x14ac:dyDescent="0.25">
      <c r="D201" s="52"/>
      <c r="E201" s="52"/>
      <c r="F201" s="358" t="s">
        <v>49</v>
      </c>
      <c r="G201" t="s">
        <v>183</v>
      </c>
      <c r="H201" s="298"/>
      <c r="I201" s="298"/>
      <c r="J201" s="303">
        <f t="shared" ref="J201:Y201" si="58">hundred * $H38 * J63 / $H51 * J101 / hours_in_year</f>
        <v>5.0004641438467709E-2</v>
      </c>
      <c r="K201" s="303">
        <f t="shared" si="58"/>
        <v>5.0004641438467709E-2</v>
      </c>
      <c r="L201" s="303">
        <f t="shared" si="58"/>
        <v>6.035457134929928E-2</v>
      </c>
      <c r="M201" s="303">
        <f t="shared" si="58"/>
        <v>6.035457134929928E-2</v>
      </c>
      <c r="N201" s="303">
        <f t="shared" si="58"/>
        <v>5.0974000081925944E-2</v>
      </c>
      <c r="O201" s="303">
        <f t="shared" si="58"/>
        <v>4.2210505500612658E-2</v>
      </c>
      <c r="P201" s="303">
        <f t="shared" si="58"/>
        <v>0</v>
      </c>
      <c r="Q201" s="303">
        <f t="shared" si="58"/>
        <v>4.1524232710892409E-2</v>
      </c>
      <c r="R201" s="303">
        <f t="shared" si="58"/>
        <v>-3.9331409842707707E-2</v>
      </c>
      <c r="S201" s="303">
        <f t="shared" si="58"/>
        <v>0</v>
      </c>
      <c r="T201" s="303">
        <f t="shared" si="58"/>
        <v>-3.9331409842707707E-2</v>
      </c>
      <c r="U201" s="303">
        <f t="shared" si="58"/>
        <v>-3.9331409842707707E-2</v>
      </c>
      <c r="V201" s="303">
        <f t="shared" si="58"/>
        <v>0</v>
      </c>
      <c r="W201" s="303">
        <f t="shared" si="58"/>
        <v>0</v>
      </c>
      <c r="X201" s="303">
        <f t="shared" si="58"/>
        <v>0</v>
      </c>
      <c r="Y201" s="303">
        <f t="shared" si="58"/>
        <v>0</v>
      </c>
      <c r="Z201" s="298"/>
      <c r="AA201" s="298"/>
    </row>
    <row r="202" spans="3:27" x14ac:dyDescent="0.25">
      <c r="D202" s="52"/>
      <c r="E202" s="52"/>
      <c r="F202" s="360" t="s">
        <v>50</v>
      </c>
      <c r="G202" s="17" t="s">
        <v>183</v>
      </c>
      <c r="H202" s="300"/>
      <c r="I202" s="300"/>
      <c r="J202" s="304">
        <f t="shared" ref="J202:Y202" si="59">hundred * $H39 * J64 / $H52 * J102 / hours_in_year</f>
        <v>8.4109387843554498E-2</v>
      </c>
      <c r="K202" s="304">
        <f t="shared" si="59"/>
        <v>8.4109387843554498E-2</v>
      </c>
      <c r="L202" s="304">
        <f t="shared" si="59"/>
        <v>0.10151829717640008</v>
      </c>
      <c r="M202" s="304">
        <f t="shared" si="59"/>
        <v>0.10151829717640008</v>
      </c>
      <c r="N202" s="304">
        <f t="shared" si="59"/>
        <v>8.5739879729041929E-2</v>
      </c>
      <c r="O202" s="304">
        <f t="shared" si="59"/>
        <v>0</v>
      </c>
      <c r="P202" s="304">
        <f t="shared" si="59"/>
        <v>0</v>
      </c>
      <c r="Q202" s="304">
        <f t="shared" si="59"/>
        <v>6.9845072247627038E-2</v>
      </c>
      <c r="R202" s="304">
        <f t="shared" si="59"/>
        <v>0</v>
      </c>
      <c r="S202" s="304">
        <f t="shared" si="59"/>
        <v>0</v>
      </c>
      <c r="T202" s="304">
        <f t="shared" si="59"/>
        <v>0</v>
      </c>
      <c r="U202" s="304">
        <f t="shared" si="59"/>
        <v>0</v>
      </c>
      <c r="V202" s="304">
        <f t="shared" si="59"/>
        <v>0</v>
      </c>
      <c r="W202" s="304">
        <f t="shared" si="59"/>
        <v>0</v>
      </c>
      <c r="X202" s="304">
        <f t="shared" si="59"/>
        <v>0</v>
      </c>
      <c r="Y202" s="304">
        <f t="shared" si="59"/>
        <v>0</v>
      </c>
      <c r="Z202" s="298"/>
      <c r="AA202" s="298"/>
    </row>
    <row r="203" spans="3:27" x14ac:dyDescent="0.25">
      <c r="C203" s="52"/>
      <c r="D203" s="52"/>
      <c r="E203" s="52"/>
      <c r="J203" s="198"/>
      <c r="K203" s="198"/>
      <c r="L203" s="198"/>
      <c r="M203" s="198"/>
      <c r="N203" s="198"/>
      <c r="O203" s="198"/>
      <c r="P203" s="198"/>
      <c r="Q203" s="198"/>
      <c r="R203" s="198"/>
      <c r="S203" s="198"/>
      <c r="T203" s="198"/>
      <c r="U203" s="198"/>
      <c r="V203" s="198"/>
      <c r="W203" s="198"/>
      <c r="X203" s="198"/>
      <c r="Y203" s="198"/>
    </row>
    <row r="204" spans="3:27" x14ac:dyDescent="0.25">
      <c r="C204" s="5" t="str">
        <f ca="1">INDEX('Version control'!$H$36:$H$62,MATCH($A$1,'Version control'!$F$36:$F$62,0),1)&amp;"-E: Unit rate 3"</f>
        <v>Section 512-E: Unit rate 3</v>
      </c>
      <c r="D204" s="5"/>
      <c r="E204" s="5"/>
      <c r="F204" s="5"/>
      <c r="G204" s="5"/>
      <c r="H204" s="5"/>
      <c r="I204" s="5"/>
      <c r="J204" s="204"/>
      <c r="K204" s="204"/>
      <c r="L204" s="204"/>
      <c r="M204" s="204"/>
      <c r="N204" s="204"/>
      <c r="O204" s="204"/>
      <c r="P204" s="204"/>
      <c r="Q204" s="204"/>
      <c r="R204" s="204"/>
      <c r="S204" s="204"/>
      <c r="T204" s="204"/>
      <c r="U204" s="204"/>
      <c r="V204" s="204"/>
      <c r="W204" s="204"/>
      <c r="X204" s="204"/>
      <c r="Y204" s="204"/>
      <c r="Z204" s="5"/>
      <c r="AA204" s="5"/>
    </row>
    <row r="205" spans="3:27" x14ac:dyDescent="0.25">
      <c r="C205" s="52"/>
      <c r="D205" s="52"/>
      <c r="E205" s="52"/>
      <c r="J205" s="198"/>
      <c r="K205" s="198"/>
      <c r="L205" s="198"/>
      <c r="M205" s="198"/>
      <c r="N205" s="198"/>
      <c r="O205" s="198"/>
      <c r="P205" s="198"/>
      <c r="Q205" s="198"/>
      <c r="R205" s="198"/>
      <c r="S205" s="198"/>
      <c r="T205" s="198"/>
      <c r="U205" s="198"/>
      <c r="V205" s="198"/>
      <c r="W205" s="198"/>
      <c r="X205" s="198"/>
      <c r="Y205" s="198"/>
    </row>
    <row r="206" spans="3:27" x14ac:dyDescent="0.25">
      <c r="C206" s="73" t="s">
        <v>727</v>
      </c>
      <c r="D206" s="52"/>
      <c r="E206" s="52"/>
      <c r="I206" s="19" t="s">
        <v>359</v>
      </c>
      <c r="J206" s="198"/>
      <c r="K206" s="198"/>
      <c r="L206" s="198"/>
      <c r="M206" s="198"/>
      <c r="N206" s="198"/>
      <c r="O206" s="198"/>
      <c r="P206" s="198"/>
      <c r="Q206" s="198"/>
      <c r="R206" s="198"/>
      <c r="S206" s="198"/>
      <c r="T206" s="198"/>
      <c r="U206" s="198"/>
      <c r="V206" s="198"/>
      <c r="W206" s="198"/>
      <c r="X206" s="198"/>
      <c r="Y206" s="198"/>
      <c r="AA206" t="s">
        <v>725</v>
      </c>
    </row>
    <row r="207" spans="3:27" x14ac:dyDescent="0.25">
      <c r="C207" s="73" t="s">
        <v>800</v>
      </c>
      <c r="D207" s="52"/>
      <c r="E207" s="52"/>
      <c r="J207" s="198"/>
      <c r="K207" s="198"/>
      <c r="L207" s="198"/>
      <c r="M207" s="198"/>
      <c r="N207" s="198"/>
      <c r="O207" s="198"/>
      <c r="P207" s="198"/>
      <c r="Q207" s="198"/>
      <c r="R207" s="198"/>
      <c r="S207" s="198"/>
      <c r="T207" s="198"/>
      <c r="U207" s="198"/>
      <c r="V207" s="198"/>
      <c r="W207" s="198"/>
      <c r="X207" s="198"/>
      <c r="Y207" s="198"/>
    </row>
    <row r="208" spans="3:27" x14ac:dyDescent="0.25">
      <c r="C208" s="52"/>
      <c r="D208" s="52"/>
      <c r="E208" s="52"/>
    </row>
    <row r="209" spans="3:27" x14ac:dyDescent="0.25">
      <c r="E209" s="52" t="s">
        <v>139</v>
      </c>
      <c r="J209" s="198"/>
      <c r="K209" s="198"/>
      <c r="L209" s="198"/>
      <c r="M209" s="198"/>
      <c r="N209" s="198"/>
      <c r="O209" s="198"/>
      <c r="P209" s="198"/>
      <c r="Q209" s="198"/>
      <c r="R209" s="198"/>
      <c r="S209" s="198"/>
      <c r="T209" s="198"/>
      <c r="U209" s="198"/>
      <c r="V209" s="198"/>
      <c r="W209" s="198"/>
      <c r="X209" s="198"/>
      <c r="Y209" s="198"/>
    </row>
    <row r="210" spans="3:27" x14ac:dyDescent="0.25">
      <c r="E210" s="52"/>
      <c r="F210" s="357" t="s">
        <v>267</v>
      </c>
      <c r="G210" s="80" t="s">
        <v>183</v>
      </c>
      <c r="H210" s="296"/>
      <c r="I210" s="296"/>
      <c r="J210" s="302">
        <f t="shared" ref="J210:Y210" si="60">hundred * $H18 * J55 / $H43 * J105 * (1 - J67) / hours_in_year</f>
        <v>0</v>
      </c>
      <c r="K210" s="302">
        <f t="shared" si="60"/>
        <v>0</v>
      </c>
      <c r="L210" s="302">
        <f t="shared" si="60"/>
        <v>0</v>
      </c>
      <c r="M210" s="302">
        <f t="shared" si="60"/>
        <v>0</v>
      </c>
      <c r="N210" s="302">
        <f t="shared" si="60"/>
        <v>0</v>
      </c>
      <c r="O210" s="302">
        <f t="shared" si="60"/>
        <v>0</v>
      </c>
      <c r="P210" s="302">
        <f t="shared" si="60"/>
        <v>0</v>
      </c>
      <c r="Q210" s="302">
        <f t="shared" si="60"/>
        <v>0</v>
      </c>
      <c r="R210" s="302">
        <f t="shared" si="60"/>
        <v>0</v>
      </c>
      <c r="S210" s="302">
        <f t="shared" si="60"/>
        <v>0</v>
      </c>
      <c r="T210" s="302">
        <f t="shared" si="60"/>
        <v>0</v>
      </c>
      <c r="U210" s="302">
        <f t="shared" si="60"/>
        <v>0</v>
      </c>
      <c r="V210" s="302">
        <f t="shared" si="60"/>
        <v>0</v>
      </c>
      <c r="W210" s="302">
        <f t="shared" si="60"/>
        <v>0</v>
      </c>
      <c r="X210" s="302">
        <f t="shared" si="60"/>
        <v>0</v>
      </c>
      <c r="Y210" s="302">
        <f t="shared" si="60"/>
        <v>0</v>
      </c>
      <c r="Z210" s="298"/>
      <c r="AA210" s="298"/>
    </row>
    <row r="211" spans="3:27" x14ac:dyDescent="0.25">
      <c r="E211" s="52"/>
      <c r="F211" s="358" t="s">
        <v>43</v>
      </c>
      <c r="G211" t="s">
        <v>183</v>
      </c>
      <c r="H211" s="298"/>
      <c r="I211" s="298"/>
      <c r="J211" s="303">
        <f t="shared" ref="J211:Y211" si="61">hundred * $H19 * J56 / $H44 * J106 * (1 - J68) / hours_in_year</f>
        <v>0</v>
      </c>
      <c r="K211" s="303">
        <f t="shared" si="61"/>
        <v>0</v>
      </c>
      <c r="L211" s="303">
        <f t="shared" si="61"/>
        <v>0</v>
      </c>
      <c r="M211" s="303">
        <f t="shared" si="61"/>
        <v>0</v>
      </c>
      <c r="N211" s="303">
        <f t="shared" si="61"/>
        <v>0</v>
      </c>
      <c r="O211" s="303">
        <f t="shared" si="61"/>
        <v>0</v>
      </c>
      <c r="P211" s="303">
        <f t="shared" si="61"/>
        <v>0</v>
      </c>
      <c r="Q211" s="303">
        <f t="shared" si="61"/>
        <v>0</v>
      </c>
      <c r="R211" s="303">
        <f t="shared" si="61"/>
        <v>0</v>
      </c>
      <c r="S211" s="303">
        <f t="shared" si="61"/>
        <v>0</v>
      </c>
      <c r="T211" s="303">
        <f t="shared" si="61"/>
        <v>0</v>
      </c>
      <c r="U211" s="303">
        <f t="shared" si="61"/>
        <v>0</v>
      </c>
      <c r="V211" s="303">
        <f t="shared" si="61"/>
        <v>0</v>
      </c>
      <c r="W211" s="303">
        <f t="shared" si="61"/>
        <v>0</v>
      </c>
      <c r="X211" s="303">
        <f t="shared" si="61"/>
        <v>0</v>
      </c>
      <c r="Y211" s="303">
        <f t="shared" si="61"/>
        <v>0</v>
      </c>
      <c r="Z211" s="298"/>
      <c r="AA211" s="298"/>
    </row>
    <row r="212" spans="3:27" x14ac:dyDescent="0.25">
      <c r="E212" s="52"/>
      <c r="F212" s="358" t="s">
        <v>44</v>
      </c>
      <c r="G212" t="s">
        <v>183</v>
      </c>
      <c r="H212" s="298"/>
      <c r="I212" s="298"/>
      <c r="J212" s="303">
        <f t="shared" ref="J212:Y212" si="62">hundred * $H20 * J57 / $H45 * J107 * (1 - J69) / hours_in_year</f>
        <v>0</v>
      </c>
      <c r="K212" s="303">
        <f t="shared" si="62"/>
        <v>0</v>
      </c>
      <c r="L212" s="303">
        <f t="shared" si="62"/>
        <v>0</v>
      </c>
      <c r="M212" s="303">
        <f t="shared" si="62"/>
        <v>0</v>
      </c>
      <c r="N212" s="303">
        <f t="shared" si="62"/>
        <v>0</v>
      </c>
      <c r="O212" s="303">
        <f t="shared" si="62"/>
        <v>0</v>
      </c>
      <c r="P212" s="303">
        <f t="shared" si="62"/>
        <v>0</v>
      </c>
      <c r="Q212" s="303">
        <f t="shared" si="62"/>
        <v>0</v>
      </c>
      <c r="R212" s="303">
        <f t="shared" si="62"/>
        <v>0</v>
      </c>
      <c r="S212" s="303">
        <f t="shared" si="62"/>
        <v>0</v>
      </c>
      <c r="T212" s="303">
        <f t="shared" si="62"/>
        <v>0</v>
      </c>
      <c r="U212" s="303">
        <f t="shared" si="62"/>
        <v>0</v>
      </c>
      <c r="V212" s="303">
        <f t="shared" si="62"/>
        <v>0</v>
      </c>
      <c r="W212" s="303">
        <f t="shared" si="62"/>
        <v>0</v>
      </c>
      <c r="X212" s="303">
        <f t="shared" si="62"/>
        <v>0</v>
      </c>
      <c r="Y212" s="303">
        <f t="shared" si="62"/>
        <v>0</v>
      </c>
      <c r="Z212" s="298"/>
      <c r="AA212" s="298"/>
    </row>
    <row r="213" spans="3:27" x14ac:dyDescent="0.25">
      <c r="E213" s="52"/>
      <c r="F213" s="358" t="s">
        <v>45</v>
      </c>
      <c r="G213" t="s">
        <v>183</v>
      </c>
      <c r="H213" s="298"/>
      <c r="I213" s="298"/>
      <c r="J213" s="303">
        <f t="shared" ref="J213:Y213" si="63">hundred * $H21 * J58 / $H46 * J108 * (1 - J70) / hours_in_year</f>
        <v>0</v>
      </c>
      <c r="K213" s="303">
        <f t="shared" si="63"/>
        <v>0</v>
      </c>
      <c r="L213" s="303">
        <f t="shared" si="63"/>
        <v>0</v>
      </c>
      <c r="M213" s="303">
        <f t="shared" si="63"/>
        <v>0</v>
      </c>
      <c r="N213" s="303">
        <f t="shared" si="63"/>
        <v>0</v>
      </c>
      <c r="O213" s="303">
        <f t="shared" si="63"/>
        <v>0</v>
      </c>
      <c r="P213" s="303">
        <f t="shared" si="63"/>
        <v>0</v>
      </c>
      <c r="Q213" s="303">
        <f t="shared" si="63"/>
        <v>0</v>
      </c>
      <c r="R213" s="303">
        <f t="shared" si="63"/>
        <v>0</v>
      </c>
      <c r="S213" s="303">
        <f t="shared" si="63"/>
        <v>0</v>
      </c>
      <c r="T213" s="303">
        <f t="shared" si="63"/>
        <v>0</v>
      </c>
      <c r="U213" s="303">
        <f t="shared" si="63"/>
        <v>0</v>
      </c>
      <c r="V213" s="303">
        <f t="shared" si="63"/>
        <v>0</v>
      </c>
      <c r="W213" s="303">
        <f t="shared" si="63"/>
        <v>0</v>
      </c>
      <c r="X213" s="303">
        <f t="shared" si="63"/>
        <v>0</v>
      </c>
      <c r="Y213" s="303">
        <f t="shared" si="63"/>
        <v>0</v>
      </c>
      <c r="Z213" s="298"/>
      <c r="AA213" s="298"/>
    </row>
    <row r="214" spans="3:27" x14ac:dyDescent="0.25">
      <c r="E214" s="52"/>
      <c r="F214" s="358" t="s">
        <v>46</v>
      </c>
      <c r="G214" t="s">
        <v>183</v>
      </c>
      <c r="H214" s="298"/>
      <c r="I214" s="298"/>
      <c r="J214" s="303">
        <f t="shared" ref="J214:Y214" si="64">hundred * $H22 * J59 / $H47 * J109 * (1 - J71) / hours_in_year</f>
        <v>2.1669689513771889E-3</v>
      </c>
      <c r="K214" s="303">
        <f t="shared" si="64"/>
        <v>2.1669689513771889E-3</v>
      </c>
      <c r="L214" s="303">
        <f t="shared" si="64"/>
        <v>2.6154868513265455E-3</v>
      </c>
      <c r="M214" s="303">
        <f t="shared" si="64"/>
        <v>2.6154868513265455E-3</v>
      </c>
      <c r="N214" s="303">
        <f t="shared" si="64"/>
        <v>2.2089764535349219E-3</v>
      </c>
      <c r="O214" s="303">
        <f t="shared" si="64"/>
        <v>1.8292072937732985E-3</v>
      </c>
      <c r="P214" s="303">
        <f t="shared" si="64"/>
        <v>1.7380255234074843E-3</v>
      </c>
      <c r="Q214" s="303">
        <f t="shared" si="64"/>
        <v>1.9261435620907136E-3</v>
      </c>
      <c r="R214" s="303">
        <f t="shared" si="64"/>
        <v>-1.7044406577320808E-3</v>
      </c>
      <c r="S214" s="303">
        <f t="shared" si="64"/>
        <v>-1.6103493635043369E-3</v>
      </c>
      <c r="T214" s="303">
        <f t="shared" si="64"/>
        <v>-1.7044406577320808E-3</v>
      </c>
      <c r="U214" s="303">
        <f t="shared" si="64"/>
        <v>-1.7044406577320808E-3</v>
      </c>
      <c r="V214" s="303">
        <f t="shared" si="64"/>
        <v>-1.6103493635043369E-3</v>
      </c>
      <c r="W214" s="303">
        <f t="shared" si="64"/>
        <v>-1.6103493635043369E-3</v>
      </c>
      <c r="X214" s="303">
        <f t="shared" si="64"/>
        <v>-1.5303765605980829E-3</v>
      </c>
      <c r="Y214" s="303">
        <f t="shared" si="64"/>
        <v>-1.5303765605980829E-3</v>
      </c>
      <c r="Z214" s="298"/>
      <c r="AA214" s="298"/>
    </row>
    <row r="215" spans="3:27" x14ac:dyDescent="0.25">
      <c r="E215" s="52"/>
      <c r="F215" s="358" t="s">
        <v>47</v>
      </c>
      <c r="G215" t="s">
        <v>183</v>
      </c>
      <c r="H215" s="298"/>
      <c r="I215" s="298"/>
      <c r="J215" s="303">
        <f t="shared" ref="J215:Y215" si="65">hundred * $H23 * J60 / $H48 * J110 * (1 - J72) / hours_in_year</f>
        <v>1.2334398103686305E-3</v>
      </c>
      <c r="K215" s="303">
        <f t="shared" si="65"/>
        <v>1.2334398103686305E-3</v>
      </c>
      <c r="L215" s="303">
        <f t="shared" si="65"/>
        <v>1.4887364232291328E-3</v>
      </c>
      <c r="M215" s="303">
        <f t="shared" si="65"/>
        <v>1.4887364232291328E-3</v>
      </c>
      <c r="N215" s="303">
        <f t="shared" si="65"/>
        <v>1.2573505015959156E-3</v>
      </c>
      <c r="O215" s="303">
        <f t="shared" si="65"/>
        <v>1.0411857060170357E-3</v>
      </c>
      <c r="P215" s="303">
        <f t="shared" si="65"/>
        <v>8.7592699575182698E-4</v>
      </c>
      <c r="Q215" s="303">
        <f t="shared" si="65"/>
        <v>1.0963618784007175E-3</v>
      </c>
      <c r="R215" s="303">
        <f t="shared" si="65"/>
        <v>-9.7016847441285957E-4</v>
      </c>
      <c r="S215" s="303">
        <f t="shared" si="65"/>
        <v>-9.1661166270319051E-4</v>
      </c>
      <c r="T215" s="303">
        <f t="shared" si="65"/>
        <v>-9.7016847441285957E-4</v>
      </c>
      <c r="U215" s="303">
        <f t="shared" si="65"/>
        <v>-9.7016847441285957E-4</v>
      </c>
      <c r="V215" s="303">
        <f t="shared" si="65"/>
        <v>-9.1661166270319051E-4</v>
      </c>
      <c r="W215" s="303">
        <f t="shared" si="65"/>
        <v>-9.1661166270319051E-4</v>
      </c>
      <c r="X215" s="303">
        <f t="shared" si="65"/>
        <v>-7.7127644274497208E-4</v>
      </c>
      <c r="Y215" s="303">
        <f t="shared" si="65"/>
        <v>-7.7127644274497208E-4</v>
      </c>
      <c r="Z215" s="298"/>
      <c r="AA215" s="298"/>
    </row>
    <row r="216" spans="3:27" x14ac:dyDescent="0.25">
      <c r="E216" s="52"/>
      <c r="F216" s="358" t="s">
        <v>51</v>
      </c>
      <c r="G216" t="s">
        <v>183</v>
      </c>
      <c r="H216" s="298"/>
      <c r="I216" s="298"/>
      <c r="J216" s="303">
        <f t="shared" ref="J216:Y216" si="66">hundred * $H24 * J61 / $H49 * J111 * (1 - J73) / hours_in_year</f>
        <v>0</v>
      </c>
      <c r="K216" s="303">
        <f t="shared" si="66"/>
        <v>0</v>
      </c>
      <c r="L216" s="303">
        <f t="shared" si="66"/>
        <v>0</v>
      </c>
      <c r="M216" s="303">
        <f t="shared" si="66"/>
        <v>0</v>
      </c>
      <c r="N216" s="303">
        <f t="shared" si="66"/>
        <v>0</v>
      </c>
      <c r="O216" s="303">
        <f t="shared" si="66"/>
        <v>0</v>
      </c>
      <c r="P216" s="303">
        <f t="shared" si="66"/>
        <v>0</v>
      </c>
      <c r="Q216" s="303">
        <f t="shared" si="66"/>
        <v>0</v>
      </c>
      <c r="R216" s="303">
        <f t="shared" si="66"/>
        <v>0</v>
      </c>
      <c r="S216" s="303">
        <f t="shared" si="66"/>
        <v>0</v>
      </c>
      <c r="T216" s="303">
        <f t="shared" si="66"/>
        <v>0</v>
      </c>
      <c r="U216" s="303">
        <f t="shared" si="66"/>
        <v>0</v>
      </c>
      <c r="V216" s="303">
        <f t="shared" si="66"/>
        <v>0</v>
      </c>
      <c r="W216" s="303">
        <f t="shared" si="66"/>
        <v>0</v>
      </c>
      <c r="X216" s="303">
        <f t="shared" si="66"/>
        <v>0</v>
      </c>
      <c r="Y216" s="303">
        <f t="shared" si="66"/>
        <v>0</v>
      </c>
      <c r="Z216" s="298"/>
      <c r="AA216" s="298"/>
    </row>
    <row r="217" spans="3:27" x14ac:dyDescent="0.25">
      <c r="E217" s="52"/>
      <c r="F217" s="358" t="s">
        <v>48</v>
      </c>
      <c r="G217" t="s">
        <v>183</v>
      </c>
      <c r="H217" s="298"/>
      <c r="I217" s="298"/>
      <c r="J217" s="303">
        <f t="shared" ref="J217:Y217" si="67">hundred * $H25 * J62 / $H50 * J112 * (1 - J74) / hours_in_year</f>
        <v>4.2415745065355172E-3</v>
      </c>
      <c r="K217" s="303">
        <f t="shared" si="67"/>
        <v>4.2415745065355172E-3</v>
      </c>
      <c r="L217" s="303">
        <f t="shared" si="67"/>
        <v>5.1194929875275873E-3</v>
      </c>
      <c r="M217" s="303">
        <f t="shared" si="67"/>
        <v>5.1194929875275873E-3</v>
      </c>
      <c r="N217" s="303">
        <f t="shared" si="67"/>
        <v>4.3237990119315162E-3</v>
      </c>
      <c r="O217" s="303">
        <f t="shared" si="67"/>
        <v>3.5804477122326544E-3</v>
      </c>
      <c r="P217" s="303">
        <f t="shared" si="67"/>
        <v>2.4094544135929213E-3</v>
      </c>
      <c r="Q217" s="303">
        <f t="shared" si="67"/>
        <v>3.7701885039465939E-3</v>
      </c>
      <c r="R217" s="303">
        <f t="shared" si="67"/>
        <v>-3.3362324075499107E-3</v>
      </c>
      <c r="S217" s="303">
        <f t="shared" si="67"/>
        <v>-3.1520603017937622E-3</v>
      </c>
      <c r="T217" s="303">
        <f t="shared" si="67"/>
        <v>-3.3362324075499107E-3</v>
      </c>
      <c r="U217" s="303">
        <f t="shared" si="67"/>
        <v>-3.3362324075499107E-3</v>
      </c>
      <c r="V217" s="303">
        <f t="shared" si="67"/>
        <v>-3.1520603017937622E-3</v>
      </c>
      <c r="W217" s="303">
        <f t="shared" si="67"/>
        <v>-3.1520603017937622E-3</v>
      </c>
      <c r="X217" s="303">
        <f t="shared" si="67"/>
        <v>0</v>
      </c>
      <c r="Y217" s="303">
        <f t="shared" si="67"/>
        <v>0</v>
      </c>
      <c r="Z217" s="298"/>
      <c r="AA217" s="298"/>
    </row>
    <row r="218" spans="3:27" x14ac:dyDescent="0.25">
      <c r="E218" s="52"/>
      <c r="F218" s="358" t="s">
        <v>49</v>
      </c>
      <c r="G218" t="s">
        <v>183</v>
      </c>
      <c r="H218" s="298"/>
      <c r="I218" s="298"/>
      <c r="J218" s="303">
        <f t="shared" ref="J218:Y218" si="68">hundred * $H26 * J63 / $H51 * J113 * (1 - J75) / hours_in_year</f>
        <v>9.7396379531643044E-4</v>
      </c>
      <c r="K218" s="303">
        <f t="shared" si="68"/>
        <v>9.7396379531643044E-4</v>
      </c>
      <c r="L218" s="303">
        <f t="shared" si="68"/>
        <v>1.1755542222694341E-3</v>
      </c>
      <c r="M218" s="303">
        <f t="shared" si="68"/>
        <v>1.1755542222694341E-3</v>
      </c>
      <c r="N218" s="303">
        <f t="shared" si="68"/>
        <v>9.9284444711686664E-4</v>
      </c>
      <c r="O218" s="303">
        <f t="shared" si="68"/>
        <v>8.2215376326997115E-4</v>
      </c>
      <c r="P218" s="303">
        <f t="shared" si="68"/>
        <v>0</v>
      </c>
      <c r="Q218" s="303">
        <f t="shared" si="68"/>
        <v>8.6572264584867096E-4</v>
      </c>
      <c r="R218" s="303">
        <f t="shared" si="68"/>
        <v>-7.660762701935987E-4</v>
      </c>
      <c r="S218" s="303">
        <f t="shared" si="68"/>
        <v>0</v>
      </c>
      <c r="T218" s="303">
        <f t="shared" si="68"/>
        <v>-7.660762701935987E-4</v>
      </c>
      <c r="U218" s="303">
        <f t="shared" si="68"/>
        <v>-7.660762701935987E-4</v>
      </c>
      <c r="V218" s="303">
        <f t="shared" si="68"/>
        <v>0</v>
      </c>
      <c r="W218" s="303">
        <f t="shared" si="68"/>
        <v>0</v>
      </c>
      <c r="X218" s="303">
        <f t="shared" si="68"/>
        <v>0</v>
      </c>
      <c r="Y218" s="303">
        <f t="shared" si="68"/>
        <v>0</v>
      </c>
      <c r="Z218" s="298"/>
      <c r="AA218" s="298"/>
    </row>
    <row r="219" spans="3:27" x14ac:dyDescent="0.25">
      <c r="E219" s="52"/>
      <c r="F219" s="360" t="s">
        <v>50</v>
      </c>
      <c r="G219" s="17" t="s">
        <v>183</v>
      </c>
      <c r="H219" s="300"/>
      <c r="I219" s="300"/>
      <c r="J219" s="304">
        <f t="shared" ref="J219:Y219" si="69">hundred * $H27 * J64 / $H52 * J114 * (1 - J76) / hours_in_year</f>
        <v>1.7111588430407729E-4</v>
      </c>
      <c r="K219" s="304">
        <f t="shared" si="69"/>
        <v>1.7111588430407729E-4</v>
      </c>
      <c r="L219" s="304">
        <f t="shared" si="69"/>
        <v>2.0653334472835573E-4</v>
      </c>
      <c r="M219" s="304">
        <f t="shared" si="69"/>
        <v>2.0653334472835573E-4</v>
      </c>
      <c r="N219" s="304">
        <f t="shared" si="69"/>
        <v>1.7443302960722416E-4</v>
      </c>
      <c r="O219" s="304">
        <f t="shared" si="69"/>
        <v>0</v>
      </c>
      <c r="P219" s="304">
        <f t="shared" si="69"/>
        <v>0</v>
      </c>
      <c r="Q219" s="304">
        <f t="shared" si="69"/>
        <v>1.5209897618251008E-4</v>
      </c>
      <c r="R219" s="304">
        <f t="shared" si="69"/>
        <v>0</v>
      </c>
      <c r="S219" s="304">
        <f t="shared" si="69"/>
        <v>0</v>
      </c>
      <c r="T219" s="304">
        <f t="shared" si="69"/>
        <v>0</v>
      </c>
      <c r="U219" s="304">
        <f t="shared" si="69"/>
        <v>0</v>
      </c>
      <c r="V219" s="304">
        <f t="shared" si="69"/>
        <v>0</v>
      </c>
      <c r="W219" s="304">
        <f t="shared" si="69"/>
        <v>0</v>
      </c>
      <c r="X219" s="304">
        <f t="shared" si="69"/>
        <v>0</v>
      </c>
      <c r="Y219" s="304">
        <f t="shared" si="69"/>
        <v>0</v>
      </c>
      <c r="Z219" s="298"/>
      <c r="AA219" s="298"/>
    </row>
    <row r="220" spans="3:27" x14ac:dyDescent="0.25">
      <c r="E220" s="52"/>
      <c r="F220" s="358"/>
      <c r="J220" s="198"/>
      <c r="K220" s="198"/>
      <c r="L220" s="198"/>
      <c r="M220" s="198"/>
      <c r="N220" s="198"/>
      <c r="O220" s="198"/>
      <c r="P220" s="198"/>
      <c r="Q220" s="198"/>
      <c r="R220" s="198"/>
      <c r="S220" s="198"/>
      <c r="T220" s="198"/>
      <c r="U220" s="198"/>
      <c r="V220" s="198"/>
      <c r="W220" s="198"/>
      <c r="X220" s="198"/>
      <c r="Y220" s="198"/>
    </row>
    <row r="221" spans="3:27" x14ac:dyDescent="0.25">
      <c r="E221" s="52" t="s">
        <v>116</v>
      </c>
      <c r="J221" s="198"/>
      <c r="K221" s="198"/>
      <c r="L221" s="198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</row>
    <row r="222" spans="3:27" x14ac:dyDescent="0.25">
      <c r="C222" s="52"/>
      <c r="E222" s="52"/>
      <c r="F222" s="357" t="s">
        <v>267</v>
      </c>
      <c r="G222" s="80" t="s">
        <v>183</v>
      </c>
      <c r="H222" s="296"/>
      <c r="I222" s="296"/>
      <c r="J222" s="302">
        <f t="shared" ref="J222:Y222" si="70">hundred * $H30 * J55 / $H43 * J105 / hours_in_year</f>
        <v>8.5558308133681894E-4</v>
      </c>
      <c r="K222" s="302">
        <f t="shared" si="70"/>
        <v>8.5558308133681894E-4</v>
      </c>
      <c r="L222" s="302">
        <f t="shared" si="70"/>
        <v>1.0326711409647641E-3</v>
      </c>
      <c r="M222" s="302">
        <f t="shared" si="70"/>
        <v>1.0326711409647641E-3</v>
      </c>
      <c r="N222" s="302">
        <f t="shared" si="70"/>
        <v>8.7216887879946136E-4</v>
      </c>
      <c r="O222" s="302">
        <f t="shared" si="70"/>
        <v>7.2222484397651524E-4</v>
      </c>
      <c r="P222" s="302">
        <f t="shared" si="70"/>
        <v>7.0825052934956082E-4</v>
      </c>
      <c r="Q222" s="302">
        <f t="shared" si="70"/>
        <v>7.6049813399647458E-4</v>
      </c>
      <c r="R222" s="302">
        <f t="shared" si="70"/>
        <v>-6.7296330617537027E-4</v>
      </c>
      <c r="S222" s="302">
        <f t="shared" si="70"/>
        <v>-6.3581329560822317E-4</v>
      </c>
      <c r="T222" s="302">
        <f t="shared" si="70"/>
        <v>-6.7296330617537027E-4</v>
      </c>
      <c r="U222" s="302">
        <f t="shared" si="70"/>
        <v>-6.7296330617537027E-4</v>
      </c>
      <c r="V222" s="302">
        <f t="shared" si="70"/>
        <v>-6.3581329560822317E-4</v>
      </c>
      <c r="W222" s="302">
        <f t="shared" si="70"/>
        <v>-6.3581329560822317E-4</v>
      </c>
      <c r="X222" s="302">
        <f t="shared" si="70"/>
        <v>-6.2363296427473238E-4</v>
      </c>
      <c r="Y222" s="302">
        <f t="shared" si="70"/>
        <v>-6.2363296427473238E-4</v>
      </c>
      <c r="Z222" s="298"/>
      <c r="AA222" s="298"/>
    </row>
    <row r="223" spans="3:27" x14ac:dyDescent="0.25">
      <c r="C223" s="52"/>
      <c r="E223" s="52"/>
      <c r="F223" s="358" t="s">
        <v>43</v>
      </c>
      <c r="G223" t="s">
        <v>183</v>
      </c>
      <c r="H223" s="298"/>
      <c r="I223" s="298"/>
      <c r="J223" s="303">
        <f t="shared" ref="J223:Y223" si="71">hundred * $H31 * J56 / $H44 * J106 / hours_in_year</f>
        <v>0</v>
      </c>
      <c r="K223" s="303">
        <f t="shared" si="71"/>
        <v>0</v>
      </c>
      <c r="L223" s="303">
        <f t="shared" si="71"/>
        <v>0</v>
      </c>
      <c r="M223" s="303">
        <f t="shared" si="71"/>
        <v>0</v>
      </c>
      <c r="N223" s="303">
        <f t="shared" si="71"/>
        <v>0</v>
      </c>
      <c r="O223" s="303">
        <f t="shared" si="71"/>
        <v>0</v>
      </c>
      <c r="P223" s="303">
        <f t="shared" si="71"/>
        <v>0</v>
      </c>
      <c r="Q223" s="303">
        <f t="shared" si="71"/>
        <v>0</v>
      </c>
      <c r="R223" s="303">
        <f t="shared" si="71"/>
        <v>0</v>
      </c>
      <c r="S223" s="303">
        <f t="shared" si="71"/>
        <v>0</v>
      </c>
      <c r="T223" s="303">
        <f t="shared" si="71"/>
        <v>0</v>
      </c>
      <c r="U223" s="303">
        <f t="shared" si="71"/>
        <v>0</v>
      </c>
      <c r="V223" s="303">
        <f t="shared" si="71"/>
        <v>0</v>
      </c>
      <c r="W223" s="303">
        <f t="shared" si="71"/>
        <v>0</v>
      </c>
      <c r="X223" s="303">
        <f t="shared" si="71"/>
        <v>0</v>
      </c>
      <c r="Y223" s="303">
        <f t="shared" si="71"/>
        <v>0</v>
      </c>
      <c r="Z223" s="298"/>
      <c r="AA223" s="298"/>
    </row>
    <row r="224" spans="3:27" x14ac:dyDescent="0.25">
      <c r="C224" s="52"/>
      <c r="E224" s="52"/>
      <c r="F224" s="358" t="s">
        <v>44</v>
      </c>
      <c r="G224" t="s">
        <v>183</v>
      </c>
      <c r="H224" s="298"/>
      <c r="I224" s="298"/>
      <c r="J224" s="303">
        <f t="shared" ref="J224:Y224" si="72">hundred * $H32 * J57 / $H45 * J107 / hours_in_year</f>
        <v>0</v>
      </c>
      <c r="K224" s="303">
        <f t="shared" si="72"/>
        <v>0</v>
      </c>
      <c r="L224" s="303">
        <f t="shared" si="72"/>
        <v>0</v>
      </c>
      <c r="M224" s="303">
        <f t="shared" si="72"/>
        <v>0</v>
      </c>
      <c r="N224" s="303">
        <f t="shared" si="72"/>
        <v>0</v>
      </c>
      <c r="O224" s="303">
        <f t="shared" si="72"/>
        <v>0</v>
      </c>
      <c r="P224" s="303">
        <f t="shared" si="72"/>
        <v>0</v>
      </c>
      <c r="Q224" s="303">
        <f t="shared" si="72"/>
        <v>0</v>
      </c>
      <c r="R224" s="303">
        <f t="shared" si="72"/>
        <v>0</v>
      </c>
      <c r="S224" s="303">
        <f t="shared" si="72"/>
        <v>0</v>
      </c>
      <c r="T224" s="303">
        <f t="shared" si="72"/>
        <v>0</v>
      </c>
      <c r="U224" s="303">
        <f t="shared" si="72"/>
        <v>0</v>
      </c>
      <c r="V224" s="303">
        <f t="shared" si="72"/>
        <v>0</v>
      </c>
      <c r="W224" s="303">
        <f t="shared" si="72"/>
        <v>0</v>
      </c>
      <c r="X224" s="303">
        <f t="shared" si="72"/>
        <v>0</v>
      </c>
      <c r="Y224" s="303">
        <f t="shared" si="72"/>
        <v>0</v>
      </c>
      <c r="Z224" s="298"/>
      <c r="AA224" s="298"/>
    </row>
    <row r="225" spans="2:27" x14ac:dyDescent="0.25">
      <c r="C225" s="52"/>
      <c r="E225" s="52"/>
      <c r="F225" s="358" t="s">
        <v>45</v>
      </c>
      <c r="G225" t="s">
        <v>183</v>
      </c>
      <c r="H225" s="298"/>
      <c r="I225" s="298"/>
      <c r="J225" s="303">
        <f t="shared" ref="J225:Y225" si="73">hundred * $H33 * J58 / $H46 * J108 / hours_in_year</f>
        <v>0</v>
      </c>
      <c r="K225" s="303">
        <f t="shared" si="73"/>
        <v>0</v>
      </c>
      <c r="L225" s="303">
        <f t="shared" si="73"/>
        <v>0</v>
      </c>
      <c r="M225" s="303">
        <f t="shared" si="73"/>
        <v>0</v>
      </c>
      <c r="N225" s="303">
        <f t="shared" si="73"/>
        <v>0</v>
      </c>
      <c r="O225" s="303">
        <f t="shared" si="73"/>
        <v>0</v>
      </c>
      <c r="P225" s="303">
        <f t="shared" si="73"/>
        <v>0</v>
      </c>
      <c r="Q225" s="303">
        <f t="shared" si="73"/>
        <v>0</v>
      </c>
      <c r="R225" s="303">
        <f t="shared" si="73"/>
        <v>0</v>
      </c>
      <c r="S225" s="303">
        <f t="shared" si="73"/>
        <v>0</v>
      </c>
      <c r="T225" s="303">
        <f t="shared" si="73"/>
        <v>0</v>
      </c>
      <c r="U225" s="303">
        <f t="shared" si="73"/>
        <v>0</v>
      </c>
      <c r="V225" s="303">
        <f t="shared" si="73"/>
        <v>0</v>
      </c>
      <c r="W225" s="303">
        <f t="shared" si="73"/>
        <v>0</v>
      </c>
      <c r="X225" s="303">
        <f t="shared" si="73"/>
        <v>0</v>
      </c>
      <c r="Y225" s="303">
        <f t="shared" si="73"/>
        <v>0</v>
      </c>
      <c r="Z225" s="298"/>
      <c r="AA225" s="298"/>
    </row>
    <row r="226" spans="2:27" x14ac:dyDescent="0.25">
      <c r="C226" s="52"/>
      <c r="E226" s="52"/>
      <c r="F226" s="358" t="s">
        <v>46</v>
      </c>
      <c r="G226" t="s">
        <v>183</v>
      </c>
      <c r="H226" s="298"/>
      <c r="I226" s="298"/>
      <c r="J226" s="303">
        <f t="shared" ref="J226:Y226" si="74">hundred * $H34 * J59 / $H47 * J109 / hours_in_year</f>
        <v>1.6255428703110717E-3</v>
      </c>
      <c r="K226" s="303">
        <f t="shared" si="74"/>
        <v>1.6255428703110717E-3</v>
      </c>
      <c r="L226" s="303">
        <f t="shared" si="74"/>
        <v>1.9619967332084659E-3</v>
      </c>
      <c r="M226" s="303">
        <f t="shared" si="74"/>
        <v>1.9619967332084659E-3</v>
      </c>
      <c r="N226" s="303">
        <f t="shared" si="74"/>
        <v>1.6570546257465534E-3</v>
      </c>
      <c r="O226" s="303">
        <f t="shared" si="74"/>
        <v>1.3721723483045083E-3</v>
      </c>
      <c r="P226" s="303">
        <f t="shared" si="74"/>
        <v>1.3456222119064898E-3</v>
      </c>
      <c r="Q226" s="303">
        <f t="shared" si="74"/>
        <v>1.4448886923655486E-3</v>
      </c>
      <c r="R226" s="303">
        <f t="shared" si="74"/>
        <v>-1.2785791680512322E-3</v>
      </c>
      <c r="S226" s="303">
        <f t="shared" si="74"/>
        <v>-1.2079969696339244E-3</v>
      </c>
      <c r="T226" s="303">
        <f t="shared" si="74"/>
        <v>-1.2785791680512322E-3</v>
      </c>
      <c r="U226" s="303">
        <f t="shared" si="74"/>
        <v>-1.2785791680512322E-3</v>
      </c>
      <c r="V226" s="303">
        <f t="shared" si="74"/>
        <v>-1.2079969696339244E-3</v>
      </c>
      <c r="W226" s="303">
        <f t="shared" si="74"/>
        <v>-1.2079969696339244E-3</v>
      </c>
      <c r="X226" s="303">
        <f t="shared" si="74"/>
        <v>-1.1848552652348071E-3</v>
      </c>
      <c r="Y226" s="303">
        <f t="shared" si="74"/>
        <v>-1.1848552652348071E-3</v>
      </c>
      <c r="Z226" s="298"/>
      <c r="AA226" s="298"/>
    </row>
    <row r="227" spans="2:27" x14ac:dyDescent="0.25">
      <c r="C227" s="52"/>
      <c r="E227" s="52"/>
      <c r="F227" s="358" t="s">
        <v>47</v>
      </c>
      <c r="G227" t="s">
        <v>183</v>
      </c>
      <c r="H227" s="298"/>
      <c r="I227" s="298"/>
      <c r="J227" s="303">
        <f t="shared" ref="J227:Y227" si="75">hundred * $H35 * J60 / $H48 * J110 / hours_in_year</f>
        <v>9.2525981437265666E-4</v>
      </c>
      <c r="K227" s="303">
        <f t="shared" si="75"/>
        <v>9.2525981437265666E-4</v>
      </c>
      <c r="L227" s="303">
        <f t="shared" si="75"/>
        <v>1.1167695213235617E-3</v>
      </c>
      <c r="M227" s="303">
        <f t="shared" si="75"/>
        <v>1.1167695213235617E-3</v>
      </c>
      <c r="N227" s="303">
        <f t="shared" si="75"/>
        <v>9.4319632131892425E-4</v>
      </c>
      <c r="O227" s="303">
        <f t="shared" si="75"/>
        <v>7.8104118658929144E-4</v>
      </c>
      <c r="P227" s="303">
        <f t="shared" si="75"/>
        <v>7.6592883567940841E-4</v>
      </c>
      <c r="Q227" s="303">
        <f t="shared" si="75"/>
        <v>8.224313659789624E-4</v>
      </c>
      <c r="R227" s="303">
        <f t="shared" si="75"/>
        <v>-7.2776790160289102E-4</v>
      </c>
      <c r="S227" s="303">
        <f t="shared" si="75"/>
        <v>-6.87592478980469E-4</v>
      </c>
      <c r="T227" s="303">
        <f t="shared" si="75"/>
        <v>-7.2776790160289102E-4</v>
      </c>
      <c r="U227" s="303">
        <f t="shared" si="75"/>
        <v>-7.2776790160289102E-4</v>
      </c>
      <c r="V227" s="303">
        <f t="shared" si="75"/>
        <v>-6.87592478980469E-4</v>
      </c>
      <c r="W227" s="303">
        <f t="shared" si="75"/>
        <v>-6.87592478980469E-4</v>
      </c>
      <c r="X227" s="303">
        <f t="shared" si="75"/>
        <v>-6.7442020926819935E-4</v>
      </c>
      <c r="Y227" s="303">
        <f t="shared" si="75"/>
        <v>-6.7442020926819935E-4</v>
      </c>
      <c r="Z227" s="298"/>
      <c r="AA227" s="298"/>
    </row>
    <row r="228" spans="2:27" x14ac:dyDescent="0.25">
      <c r="C228" s="52"/>
      <c r="E228" s="52"/>
      <c r="F228" s="358" t="s">
        <v>51</v>
      </c>
      <c r="G228" t="s">
        <v>183</v>
      </c>
      <c r="H228" s="298"/>
      <c r="I228" s="298"/>
      <c r="J228" s="303">
        <f t="shared" ref="J228:Y228" si="76">hundred * $H36 * J61 / $H49 * J111 / hours_in_year</f>
        <v>0</v>
      </c>
      <c r="K228" s="303">
        <f t="shared" si="76"/>
        <v>0</v>
      </c>
      <c r="L228" s="303">
        <f t="shared" si="76"/>
        <v>0</v>
      </c>
      <c r="M228" s="303">
        <f t="shared" si="76"/>
        <v>0</v>
      </c>
      <c r="N228" s="303">
        <f t="shared" si="76"/>
        <v>0</v>
      </c>
      <c r="O228" s="303">
        <f t="shared" si="76"/>
        <v>0</v>
      </c>
      <c r="P228" s="303">
        <f t="shared" si="76"/>
        <v>0</v>
      </c>
      <c r="Q228" s="303">
        <f t="shared" si="76"/>
        <v>0</v>
      </c>
      <c r="R228" s="303">
        <f t="shared" si="76"/>
        <v>0</v>
      </c>
      <c r="S228" s="303">
        <f t="shared" si="76"/>
        <v>0</v>
      </c>
      <c r="T228" s="303">
        <f t="shared" si="76"/>
        <v>0</v>
      </c>
      <c r="U228" s="303">
        <f t="shared" si="76"/>
        <v>0</v>
      </c>
      <c r="V228" s="303">
        <f t="shared" si="76"/>
        <v>0</v>
      </c>
      <c r="W228" s="303">
        <f t="shared" si="76"/>
        <v>0</v>
      </c>
      <c r="X228" s="303">
        <f t="shared" si="76"/>
        <v>0</v>
      </c>
      <c r="Y228" s="303">
        <f t="shared" si="76"/>
        <v>0</v>
      </c>
      <c r="Z228" s="298"/>
      <c r="AA228" s="298"/>
    </row>
    <row r="229" spans="2:27" x14ac:dyDescent="0.25">
      <c r="C229" s="52"/>
      <c r="E229" s="52"/>
      <c r="F229" s="358" t="s">
        <v>48</v>
      </c>
      <c r="G229" t="s">
        <v>183</v>
      </c>
      <c r="H229" s="298"/>
      <c r="I229" s="298"/>
      <c r="J229" s="303">
        <f t="shared" ref="J229:Y229" si="77">hundred * $H37 * J62 / $H50 * J112 / hours_in_year</f>
        <v>3.9804936421917606E-3</v>
      </c>
      <c r="K229" s="303">
        <f t="shared" si="77"/>
        <v>3.9804936421917606E-3</v>
      </c>
      <c r="L229" s="303">
        <f t="shared" si="77"/>
        <v>4.8043737665576297E-3</v>
      </c>
      <c r="M229" s="303">
        <f t="shared" si="77"/>
        <v>4.8043737665576297E-3</v>
      </c>
      <c r="N229" s="303">
        <f t="shared" si="77"/>
        <v>4.0576569975582259E-3</v>
      </c>
      <c r="O229" s="303">
        <f t="shared" si="77"/>
        <v>3.3600610652441392E-3</v>
      </c>
      <c r="P229" s="303">
        <f t="shared" si="77"/>
        <v>3.2950473082637328E-3</v>
      </c>
      <c r="Q229" s="303">
        <f t="shared" si="77"/>
        <v>3.5381227765067945E-3</v>
      </c>
      <c r="R229" s="303">
        <f t="shared" si="77"/>
        <v>-3.1308779008042001E-3</v>
      </c>
      <c r="S229" s="303">
        <f t="shared" si="77"/>
        <v>-2.9580421071851446E-3</v>
      </c>
      <c r="T229" s="303">
        <f t="shared" si="77"/>
        <v>-3.1308779008042001E-3</v>
      </c>
      <c r="U229" s="303">
        <f t="shared" si="77"/>
        <v>-3.1308779008042001E-3</v>
      </c>
      <c r="V229" s="303">
        <f t="shared" si="77"/>
        <v>-2.9580421071851446E-3</v>
      </c>
      <c r="W229" s="303">
        <f t="shared" si="77"/>
        <v>-2.9580421071851446E-3</v>
      </c>
      <c r="X229" s="303">
        <f t="shared" si="77"/>
        <v>0</v>
      </c>
      <c r="Y229" s="303">
        <f t="shared" si="77"/>
        <v>0</v>
      </c>
      <c r="Z229" s="298"/>
      <c r="AA229" s="298"/>
    </row>
    <row r="230" spans="2:27" x14ac:dyDescent="0.25">
      <c r="C230" s="52"/>
      <c r="E230" s="52"/>
      <c r="F230" s="358" t="s">
        <v>49</v>
      </c>
      <c r="G230" t="s">
        <v>183</v>
      </c>
      <c r="H230" s="298"/>
      <c r="I230" s="298"/>
      <c r="J230" s="303">
        <f t="shared" ref="J230:Y230" si="78">hundred * $H38 * J63 / $H51 * J113 / hours_in_year</f>
        <v>1.0004107616537359E-3</v>
      </c>
      <c r="K230" s="303">
        <f t="shared" si="78"/>
        <v>1.0004107616537359E-3</v>
      </c>
      <c r="L230" s="303">
        <f t="shared" si="78"/>
        <v>1.2074751654231131E-3</v>
      </c>
      <c r="M230" s="303">
        <f t="shared" si="78"/>
        <v>1.2074751654231131E-3</v>
      </c>
      <c r="N230" s="303">
        <f t="shared" si="78"/>
        <v>1.0198040977705642E-3</v>
      </c>
      <c r="O230" s="303">
        <f t="shared" si="78"/>
        <v>8.4447848725442449E-4</v>
      </c>
      <c r="P230" s="303">
        <f t="shared" si="78"/>
        <v>0</v>
      </c>
      <c r="Q230" s="303">
        <f t="shared" si="78"/>
        <v>8.8923043718783907E-4</v>
      </c>
      <c r="R230" s="303">
        <f t="shared" si="78"/>
        <v>-7.8687826861186254E-4</v>
      </c>
      <c r="S230" s="303">
        <f t="shared" si="78"/>
        <v>0</v>
      </c>
      <c r="T230" s="303">
        <f t="shared" si="78"/>
        <v>-7.8687826861186254E-4</v>
      </c>
      <c r="U230" s="303">
        <f t="shared" si="78"/>
        <v>-7.8687826861186254E-4</v>
      </c>
      <c r="V230" s="303">
        <f t="shared" si="78"/>
        <v>0</v>
      </c>
      <c r="W230" s="303">
        <f t="shared" si="78"/>
        <v>0</v>
      </c>
      <c r="X230" s="303">
        <f t="shared" si="78"/>
        <v>0</v>
      </c>
      <c r="Y230" s="303">
        <f t="shared" si="78"/>
        <v>0</v>
      </c>
      <c r="Z230" s="298"/>
      <c r="AA230" s="298"/>
    </row>
    <row r="231" spans="2:27" x14ac:dyDescent="0.25">
      <c r="C231" s="52"/>
      <c r="E231" s="52"/>
      <c r="F231" s="360" t="s">
        <v>50</v>
      </c>
      <c r="G231" s="17" t="s">
        <v>183</v>
      </c>
      <c r="H231" s="300"/>
      <c r="I231" s="300"/>
      <c r="J231" s="304">
        <f t="shared" ref="J231:Y231" si="79">hundred * $H39 * J64 / $H52 * J114 / hours_in_year</f>
        <v>1.682722530034369E-3</v>
      </c>
      <c r="K231" s="304">
        <f t="shared" si="79"/>
        <v>1.682722530034369E-3</v>
      </c>
      <c r="L231" s="304">
        <f t="shared" si="79"/>
        <v>2.031011403711504E-3</v>
      </c>
      <c r="M231" s="304">
        <f t="shared" si="79"/>
        <v>2.031011403711504E-3</v>
      </c>
      <c r="N231" s="304">
        <f t="shared" si="79"/>
        <v>1.7153427345215448E-3</v>
      </c>
      <c r="O231" s="304">
        <f t="shared" si="79"/>
        <v>0</v>
      </c>
      <c r="P231" s="304">
        <f t="shared" si="79"/>
        <v>0</v>
      </c>
      <c r="Q231" s="304">
        <f t="shared" si="79"/>
        <v>1.4957137092115773E-3</v>
      </c>
      <c r="R231" s="304">
        <f t="shared" si="79"/>
        <v>0</v>
      </c>
      <c r="S231" s="304">
        <f t="shared" si="79"/>
        <v>0</v>
      </c>
      <c r="T231" s="304">
        <f t="shared" si="79"/>
        <v>0</v>
      </c>
      <c r="U231" s="304">
        <f t="shared" si="79"/>
        <v>0</v>
      </c>
      <c r="V231" s="304">
        <f t="shared" si="79"/>
        <v>0</v>
      </c>
      <c r="W231" s="304">
        <f t="shared" si="79"/>
        <v>0</v>
      </c>
      <c r="X231" s="304">
        <f t="shared" si="79"/>
        <v>0</v>
      </c>
      <c r="Y231" s="304">
        <f t="shared" si="79"/>
        <v>0</v>
      </c>
      <c r="Z231" s="298"/>
      <c r="AA231" s="298"/>
    </row>
    <row r="232" spans="2:27" x14ac:dyDescent="0.25"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</row>
    <row r="233" spans="2:27" x14ac:dyDescent="0.25">
      <c r="B233" s="82" t="s">
        <v>109</v>
      </c>
      <c r="C233" s="82"/>
      <c r="D233" s="82"/>
      <c r="E233" s="82"/>
      <c r="F233" s="82"/>
      <c r="G233" s="82"/>
      <c r="H233" s="82"/>
      <c r="I233" s="82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136"/>
      <c r="Y233" s="136"/>
      <c r="Z233" s="82"/>
      <c r="AA233" s="82"/>
    </row>
    <row r="234" spans="2:27" x14ac:dyDescent="0.25">
      <c r="C234" s="52"/>
      <c r="D234" s="52"/>
      <c r="E234" s="52"/>
      <c r="J234" s="145"/>
      <c r="K234" s="59"/>
      <c r="L234" s="145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</row>
    <row r="235" spans="2:27" x14ac:dyDescent="0.25">
      <c r="D235" s="52" t="s">
        <v>799</v>
      </c>
      <c r="E235" s="52"/>
      <c r="J235" s="145"/>
      <c r="K235" s="59"/>
      <c r="L235" s="145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</row>
    <row r="236" spans="2:27" x14ac:dyDescent="0.25">
      <c r="C236" s="52"/>
      <c r="D236" s="52"/>
      <c r="E236" s="52"/>
      <c r="J236" s="145"/>
      <c r="K236" s="59"/>
      <c r="L236" s="145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</row>
    <row r="237" spans="2:27" x14ac:dyDescent="0.25">
      <c r="C237" s="52"/>
      <c r="D237" s="52"/>
      <c r="E237" t="s">
        <v>415</v>
      </c>
      <c r="G237" s="46" t="s">
        <v>588</v>
      </c>
      <c r="H237" s="362">
        <f t="array" ref="H237">SUM(IF(ISERROR(H18:Y232), 1))</f>
        <v>0</v>
      </c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</row>
    <row r="238" spans="2:27" x14ac:dyDescent="0.25">
      <c r="C238" s="52"/>
      <c r="D238" s="52"/>
      <c r="E238" s="52"/>
      <c r="J238" s="79"/>
      <c r="L238" s="79"/>
    </row>
    <row r="239" spans="2:27" x14ac:dyDescent="0.25">
      <c r="C239" s="52"/>
      <c r="D239" s="52"/>
      <c r="E239" t="s">
        <v>373</v>
      </c>
      <c r="G239" s="46" t="s">
        <v>588</v>
      </c>
      <c r="H239" s="362">
        <f>SUM(J239:Y239)</f>
        <v>0</v>
      </c>
      <c r="I239" s="111"/>
      <c r="J239" s="362">
        <f t="shared" ref="J239:K239" si="80">IF(ABS(IFERROR(SUM(J152:J231), 1)) &gt; 0, 0, 1)</f>
        <v>0</v>
      </c>
      <c r="K239" s="362">
        <f t="shared" si="80"/>
        <v>0</v>
      </c>
      <c r="L239" s="362">
        <f t="shared" ref="L239:Y239" si="81">IF(ABS(IFERROR(SUM(L152:L231), 1)) &gt; 0, 0, 1)</f>
        <v>0</v>
      </c>
      <c r="M239" s="362">
        <f t="shared" si="81"/>
        <v>0</v>
      </c>
      <c r="N239" s="362">
        <f t="shared" si="81"/>
        <v>0</v>
      </c>
      <c r="O239" s="362">
        <f t="shared" si="81"/>
        <v>0</v>
      </c>
      <c r="P239" s="362">
        <f t="shared" si="81"/>
        <v>0</v>
      </c>
      <c r="Q239" s="362">
        <f t="shared" si="81"/>
        <v>0</v>
      </c>
      <c r="R239" s="362">
        <f t="shared" si="81"/>
        <v>0</v>
      </c>
      <c r="S239" s="362">
        <f t="shared" si="81"/>
        <v>0</v>
      </c>
      <c r="T239" s="362">
        <f t="shared" si="81"/>
        <v>0</v>
      </c>
      <c r="U239" s="362">
        <f t="shared" si="81"/>
        <v>0</v>
      </c>
      <c r="V239" s="362">
        <f t="shared" si="81"/>
        <v>0</v>
      </c>
      <c r="W239" s="362">
        <f t="shared" si="81"/>
        <v>0</v>
      </c>
      <c r="X239" s="362">
        <f t="shared" si="81"/>
        <v>0</v>
      </c>
      <c r="Y239" s="362">
        <f t="shared" si="81"/>
        <v>0</v>
      </c>
    </row>
    <row r="240" spans="2:27" x14ac:dyDescent="0.25">
      <c r="C240" s="52"/>
      <c r="D240" s="52"/>
      <c r="E240" s="52"/>
      <c r="J240" s="145"/>
      <c r="K240" s="59"/>
      <c r="L240" s="145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</row>
    <row r="241" spans="2:27" x14ac:dyDescent="0.25">
      <c r="C241" s="52"/>
      <c r="D241" s="52"/>
      <c r="E241" t="s">
        <v>375</v>
      </c>
      <c r="G241" s="46" t="s">
        <v>588</v>
      </c>
      <c r="H241" s="263">
        <f>SUM(H239, H237)</f>
        <v>0</v>
      </c>
      <c r="J241" s="145"/>
      <c r="K241" s="59"/>
      <c r="L241" s="145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</row>
    <row r="242" spans="2:27" x14ac:dyDescent="0.25">
      <c r="C242" s="52"/>
      <c r="D242" s="52"/>
      <c r="E242" s="52"/>
      <c r="J242" s="79"/>
      <c r="L242" s="79"/>
    </row>
    <row r="243" spans="2:27" x14ac:dyDescent="0.25">
      <c r="B243" s="82" t="s">
        <v>110</v>
      </c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  <c r="AA243" s="82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Service model charges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H48 &amp; IF(H48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378</v>
      </c>
      <c r="D9"/>
      <c r="F9" s="73"/>
    </row>
    <row r="10" spans="1:27" x14ac:dyDescent="0.25">
      <c r="C10" s="73" t="s">
        <v>379</v>
      </c>
      <c r="D10"/>
      <c r="E10"/>
      <c r="F10" s="73"/>
    </row>
    <row r="11" spans="1:27" x14ac:dyDescent="0.25">
      <c r="C11" s="73" t="s">
        <v>407</v>
      </c>
    </row>
    <row r="13" spans="1:27" x14ac:dyDescent="0.25">
      <c r="B13" s="82" t="s">
        <v>662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</row>
    <row r="14" spans="1:27" x14ac:dyDescent="0.25">
      <c r="C14" s="76"/>
    </row>
    <row r="15" spans="1:27" x14ac:dyDescent="0.25">
      <c r="B15" s="84"/>
      <c r="C15" s="73" t="s">
        <v>380</v>
      </c>
    </row>
    <row r="16" spans="1:27" x14ac:dyDescent="0.25">
      <c r="C16" s="76"/>
    </row>
    <row r="17" spans="2:27" x14ac:dyDescent="0.25">
      <c r="C17" s="5" t="str">
        <f ca="1">INDEX('Version control'!$H$36:$H$62,MATCH($A$1,'Version control'!$F$36:$F$62,0),1)&amp;"-A: Inputs to service model charge calculation"</f>
        <v>Section 513-A: Inputs to service model charge calculation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2:27" x14ac:dyDescent="0.25">
      <c r="C18" s="76"/>
    </row>
    <row r="19" spans="2:27" x14ac:dyDescent="0.25">
      <c r="D19"/>
      <c r="E19" s="12" t="s">
        <v>97</v>
      </c>
      <c r="F19" s="12"/>
      <c r="G19" s="12" t="s">
        <v>94</v>
      </c>
      <c r="H19" s="351">
        <f>'Unit costs'!$H$121</f>
        <v>4.8585551125484371E-2</v>
      </c>
      <c r="I19" s="19"/>
      <c r="J19" s="19"/>
      <c r="K19" s="19"/>
      <c r="L19" s="19"/>
      <c r="M19" s="19"/>
      <c r="N19" s="19"/>
      <c r="P19" s="19"/>
    </row>
    <row r="20" spans="2:27" x14ac:dyDescent="0.25">
      <c r="C20" s="76"/>
      <c r="E20" t="s">
        <v>131</v>
      </c>
      <c r="G20" t="s">
        <v>505</v>
      </c>
      <c r="H20" s="229">
        <f>'Unit costs'!$H$122</f>
        <v>128288142.03789309</v>
      </c>
    </row>
    <row r="21" spans="2:27" x14ac:dyDescent="0.25">
      <c r="C21" s="76"/>
      <c r="E21" t="s">
        <v>121</v>
      </c>
      <c r="G21" t="s">
        <v>505</v>
      </c>
      <c r="H21" s="229">
        <f>'Unit costs'!$H$123</f>
        <v>3519926889.5283885</v>
      </c>
    </row>
    <row r="22" spans="2:27" x14ac:dyDescent="0.25">
      <c r="D22" s="76"/>
      <c r="E22"/>
    </row>
    <row r="23" spans="2:27" x14ac:dyDescent="0.25">
      <c r="D23"/>
      <c r="E23" s="52" t="s">
        <v>382</v>
      </c>
      <c r="H23" s="79"/>
      <c r="J23" s="79"/>
      <c r="K23" s="79"/>
      <c r="L23" s="79"/>
      <c r="M23" s="79"/>
      <c r="N23" s="79"/>
    </row>
    <row r="24" spans="2:27" x14ac:dyDescent="0.25">
      <c r="D24"/>
      <c r="E24" s="73" t="s">
        <v>383</v>
      </c>
      <c r="H24" s="79"/>
    </row>
    <row r="25" spans="2:27" x14ac:dyDescent="0.25">
      <c r="E25" s="76"/>
      <c r="F25" s="80" t="s">
        <v>124</v>
      </c>
      <c r="G25" s="80" t="s">
        <v>509</v>
      </c>
      <c r="H25" s="118"/>
      <c r="I25" s="80"/>
      <c r="J25" s="228">
        <f>'Inputs by customer type'!J190</f>
        <v>377.70000000000005</v>
      </c>
      <c r="K25" s="228">
        <f>'Inputs by customer type'!K190</f>
        <v>0</v>
      </c>
      <c r="L25" s="228">
        <f>'Inputs by customer type'!L190</f>
        <v>508.75</v>
      </c>
      <c r="M25" s="228">
        <f>'Inputs by customer type'!M190</f>
        <v>0</v>
      </c>
      <c r="N25" s="228">
        <f>'Inputs by customer type'!N190</f>
        <v>2380</v>
      </c>
      <c r="O25" s="228">
        <f>'Inputs by customer type'!O190</f>
        <v>840</v>
      </c>
      <c r="P25" s="228">
        <f>'Inputs by customer type'!P190</f>
        <v>0</v>
      </c>
      <c r="Q25" s="201"/>
      <c r="R25" s="228">
        <f>'Inputs by customer type'!R190</f>
        <v>0</v>
      </c>
      <c r="S25" s="228">
        <f>'Inputs by customer type'!S190</f>
        <v>0</v>
      </c>
      <c r="T25" s="228">
        <f>'Inputs by customer type'!T190</f>
        <v>0</v>
      </c>
      <c r="U25" s="228">
        <f>'Inputs by customer type'!U190</f>
        <v>0</v>
      </c>
      <c r="V25" s="228">
        <f>'Inputs by customer type'!V190</f>
        <v>0</v>
      </c>
      <c r="W25" s="228">
        <f>'Inputs by customer type'!W190</f>
        <v>0</v>
      </c>
      <c r="X25" s="228">
        <f>'Inputs by customer type'!X190</f>
        <v>0</v>
      </c>
      <c r="Y25" s="228">
        <f>'Inputs by customer type'!Y190</f>
        <v>0</v>
      </c>
    </row>
    <row r="26" spans="2:27" x14ac:dyDescent="0.25">
      <c r="E26" s="76"/>
      <c r="F26" t="s">
        <v>123</v>
      </c>
      <c r="G26" t="s">
        <v>509</v>
      </c>
      <c r="H26" s="327"/>
      <c r="J26" s="229">
        <f>'Inputs by customer type'!J191</f>
        <v>0</v>
      </c>
      <c r="K26" s="229">
        <f>'Inputs by customer type'!K191</f>
        <v>0</v>
      </c>
      <c r="L26" s="229">
        <f>'Inputs by customer type'!L191</f>
        <v>0</v>
      </c>
      <c r="M26" s="229">
        <f>'Inputs by customer type'!M191</f>
        <v>0</v>
      </c>
      <c r="N26" s="229">
        <f>'Inputs by customer type'!N191</f>
        <v>0</v>
      </c>
      <c r="O26" s="229">
        <f>'Inputs by customer type'!O191</f>
        <v>0</v>
      </c>
      <c r="P26" s="229">
        <f>'Inputs by customer type'!P191</f>
        <v>12718.10554</v>
      </c>
      <c r="Q26" s="234"/>
      <c r="R26" s="229">
        <f>'Inputs by customer type'!R191</f>
        <v>0</v>
      </c>
      <c r="S26" s="229">
        <f>'Inputs by customer type'!S191</f>
        <v>0</v>
      </c>
      <c r="T26" s="229">
        <f>'Inputs by customer type'!T191</f>
        <v>0</v>
      </c>
      <c r="U26" s="229">
        <f>'Inputs by customer type'!U191</f>
        <v>0</v>
      </c>
      <c r="V26" s="229">
        <f>'Inputs by customer type'!V191</f>
        <v>0</v>
      </c>
      <c r="W26" s="229">
        <f>'Inputs by customer type'!W191</f>
        <v>0</v>
      </c>
      <c r="X26" s="229">
        <f>'Inputs by customer type'!X191</f>
        <v>9287</v>
      </c>
      <c r="Y26" s="229">
        <f>'Inputs by customer type'!Y191</f>
        <v>9287</v>
      </c>
    </row>
    <row r="27" spans="2:27" x14ac:dyDescent="0.25">
      <c r="E27" s="76"/>
      <c r="F27" s="17" t="s">
        <v>381</v>
      </c>
      <c r="G27" s="17" t="s">
        <v>271</v>
      </c>
      <c r="H27" s="17"/>
      <c r="I27" s="17"/>
      <c r="J27" s="203"/>
      <c r="K27" s="203"/>
      <c r="L27" s="203"/>
      <c r="M27" s="203"/>
      <c r="N27" s="203"/>
      <c r="O27" s="203"/>
      <c r="P27" s="203"/>
      <c r="Q27" s="230">
        <f>'Inputs by customer type'!Q193</f>
        <v>120.51</v>
      </c>
      <c r="R27" s="203"/>
      <c r="S27" s="203"/>
      <c r="T27" s="203"/>
      <c r="U27" s="203"/>
      <c r="V27" s="203"/>
      <c r="W27" s="203"/>
      <c r="X27" s="203"/>
      <c r="Y27" s="203"/>
    </row>
    <row r="28" spans="2:27" x14ac:dyDescent="0.25">
      <c r="D28" s="76"/>
      <c r="E28"/>
    </row>
    <row r="29" spans="2:27" x14ac:dyDescent="0.25">
      <c r="B29" s="82" t="s">
        <v>417</v>
      </c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</row>
    <row r="30" spans="2:27" x14ac:dyDescent="0.25">
      <c r="C30" s="76"/>
    </row>
    <row r="31" spans="2:27" x14ac:dyDescent="0.25">
      <c r="C31" s="73" t="s">
        <v>384</v>
      </c>
    </row>
    <row r="32" spans="2:27" x14ac:dyDescent="0.25">
      <c r="C32" s="76"/>
    </row>
    <row r="33" spans="2:27" x14ac:dyDescent="0.25">
      <c r="C33" s="5" t="str">
        <f ca="1">INDEX('Version control'!$H$36:$H$62,MATCH($A$1,'Version control'!$F$36:$F$62,0),1)&amp;"-B: Calculation of other operating expenditure per £ of notional asset value"</f>
        <v>Section 513-B: Calculation of other operating expenditure per £ of notional asset value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</row>
    <row r="34" spans="2:27" x14ac:dyDescent="0.25">
      <c r="C34" s="76"/>
    </row>
    <row r="35" spans="2:27" x14ac:dyDescent="0.25">
      <c r="D35"/>
      <c r="E35" t="s">
        <v>385</v>
      </c>
      <c r="G35" t="s">
        <v>107</v>
      </c>
      <c r="H35" s="231">
        <f>IF(H21 &lt;&gt; 0, H20  /H21, 0)</f>
        <v>3.6446251886521869E-2</v>
      </c>
      <c r="I35" t="s">
        <v>359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AA35" t="s">
        <v>801</v>
      </c>
    </row>
    <row r="36" spans="2:27" x14ac:dyDescent="0.25">
      <c r="D36" s="76"/>
      <c r="E36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</row>
    <row r="37" spans="2:27" x14ac:dyDescent="0.25">
      <c r="C37" s="5" t="str">
        <f ca="1">INDEX('Version control'!$H$36:$H$62,MATCH($A$1,'Version control'!$F$36:$F$62,0),1)&amp;"-C: Calculation of service model charges"</f>
        <v>Section 513-C: Calculation of service model charges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</row>
    <row r="38" spans="2:27" x14ac:dyDescent="0.25">
      <c r="C38" s="76"/>
    </row>
    <row r="39" spans="2:27" x14ac:dyDescent="0.25">
      <c r="D39"/>
      <c r="E39" s="73" t="s">
        <v>803</v>
      </c>
      <c r="H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</row>
    <row r="40" spans="2:27" x14ac:dyDescent="0.25">
      <c r="D40"/>
      <c r="E40" s="73"/>
      <c r="H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</row>
    <row r="41" spans="2:27" x14ac:dyDescent="0.25">
      <c r="D41"/>
      <c r="E41" s="52" t="s">
        <v>661</v>
      </c>
      <c r="H41" s="79"/>
      <c r="I41" t="s">
        <v>359</v>
      </c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AA41" t="s">
        <v>802</v>
      </c>
    </row>
    <row r="42" spans="2:27" x14ac:dyDescent="0.25">
      <c r="D42"/>
      <c r="E42" s="76"/>
      <c r="F42" s="80" t="s">
        <v>124</v>
      </c>
      <c r="G42" s="80" t="s">
        <v>252</v>
      </c>
      <c r="H42" s="118"/>
      <c r="I42" s="80"/>
      <c r="J42" s="213">
        <f t="shared" ref="J42:K42" si="0">J25 * $H$35 / days_in_year * hundred</f>
        <v>3.7714381746683046</v>
      </c>
      <c r="K42" s="213">
        <f t="shared" si="0"/>
        <v>0</v>
      </c>
      <c r="L42" s="213">
        <f t="shared" ref="L42:M42" si="1">L25 * $H$35 / days_in_year * hundred</f>
        <v>5.080008396511781</v>
      </c>
      <c r="M42" s="213">
        <f t="shared" si="1"/>
        <v>0</v>
      </c>
      <c r="N42" s="213">
        <f t="shared" ref="N42:P42" si="2">N25 * $H$35 / days_in_year * hundred</f>
        <v>23.764953284910149</v>
      </c>
      <c r="O42" s="213">
        <f t="shared" si="2"/>
        <v>8.3876305711447596</v>
      </c>
      <c r="P42" s="213">
        <f t="shared" si="2"/>
        <v>0</v>
      </c>
      <c r="Q42" s="213">
        <f t="shared" ref="Q42:S42" si="3">Q25 * $H$35 / days_in_year * hundred</f>
        <v>0</v>
      </c>
      <c r="R42" s="213">
        <f t="shared" si="3"/>
        <v>0</v>
      </c>
      <c r="S42" s="213">
        <f t="shared" si="3"/>
        <v>0</v>
      </c>
      <c r="T42" s="213">
        <f t="shared" ref="T42:U42" si="4">T25 * $H$35 / days_in_year * hundred</f>
        <v>0</v>
      </c>
      <c r="U42" s="213">
        <f t="shared" si="4"/>
        <v>0</v>
      </c>
      <c r="V42" s="213">
        <f t="shared" ref="V42:W42" si="5">V25 * $H$35 / days_in_year * hundred</f>
        <v>0</v>
      </c>
      <c r="W42" s="213">
        <f t="shared" si="5"/>
        <v>0</v>
      </c>
      <c r="X42" s="213">
        <f t="shared" ref="X42:Y42" si="6">X25 * $H$35 / days_in_year * hundred</f>
        <v>0</v>
      </c>
      <c r="Y42" s="213">
        <f t="shared" si="6"/>
        <v>0</v>
      </c>
    </row>
    <row r="43" spans="2:27" x14ac:dyDescent="0.25">
      <c r="D43"/>
      <c r="E43" s="76"/>
      <c r="F43" t="s">
        <v>123</v>
      </c>
      <c r="G43" t="s">
        <v>252</v>
      </c>
      <c r="H43" s="327"/>
      <c r="J43" s="215">
        <f t="shared" ref="J43:K43" si="7">J26 * $H$35 / days_in_year * hundred</f>
        <v>0</v>
      </c>
      <c r="K43" s="215">
        <f t="shared" si="7"/>
        <v>0</v>
      </c>
      <c r="L43" s="215">
        <f t="shared" ref="L43:M43" si="8">L26 * $H$35 / days_in_year * hundred</f>
        <v>0</v>
      </c>
      <c r="M43" s="215">
        <f t="shared" si="8"/>
        <v>0</v>
      </c>
      <c r="N43" s="215">
        <f t="shared" ref="N43:P43" si="9">N26 * $H$35 / days_in_year * hundred</f>
        <v>0</v>
      </c>
      <c r="O43" s="215">
        <f t="shared" si="9"/>
        <v>0</v>
      </c>
      <c r="P43" s="215">
        <f t="shared" si="9"/>
        <v>126.99377480279705</v>
      </c>
      <c r="Q43" s="215">
        <f t="shared" ref="Q43:S43" si="10">Q26 * $H$35 / days_in_year * hundred</f>
        <v>0</v>
      </c>
      <c r="R43" s="215">
        <f t="shared" si="10"/>
        <v>0</v>
      </c>
      <c r="S43" s="215">
        <f t="shared" si="10"/>
        <v>0</v>
      </c>
      <c r="T43" s="215">
        <f t="shared" ref="T43:U43" si="11">T26 * $H$35 / days_in_year * hundred</f>
        <v>0</v>
      </c>
      <c r="U43" s="215">
        <f t="shared" si="11"/>
        <v>0</v>
      </c>
      <c r="V43" s="215">
        <f t="shared" ref="V43:W43" si="12">V26 * $H$35 / days_in_year * hundred</f>
        <v>0</v>
      </c>
      <c r="W43" s="215">
        <f t="shared" si="12"/>
        <v>0</v>
      </c>
      <c r="X43" s="215">
        <f t="shared" ref="X43:Y43" si="13">X26 * $H$35 / days_in_year * hundred</f>
        <v>92.733244183596881</v>
      </c>
      <c r="Y43" s="215">
        <f t="shared" si="13"/>
        <v>92.733244183596881</v>
      </c>
    </row>
    <row r="44" spans="2:27" x14ac:dyDescent="0.25">
      <c r="D44"/>
      <c r="E44" s="76"/>
      <c r="F44" s="17" t="s">
        <v>381</v>
      </c>
      <c r="G44" s="17" t="s">
        <v>183</v>
      </c>
      <c r="H44" s="300"/>
      <c r="I44" s="300"/>
      <c r="J44" s="305"/>
      <c r="K44" s="305"/>
      <c r="L44" s="305"/>
      <c r="M44" s="305"/>
      <c r="N44" s="305"/>
      <c r="O44" s="305"/>
      <c r="P44" s="305"/>
      <c r="Q44" s="306">
        <f t="shared" ref="Q44" si="14">Q27*$H$35/ten</f>
        <v>0.4392137814844751</v>
      </c>
      <c r="R44" s="305"/>
      <c r="S44" s="305"/>
      <c r="T44" s="305"/>
      <c r="U44" s="305"/>
      <c r="V44" s="305"/>
      <c r="W44" s="305"/>
      <c r="X44" s="305"/>
      <c r="Y44" s="305"/>
      <c r="Z44" s="298"/>
      <c r="AA44" s="298"/>
    </row>
    <row r="45" spans="2:27" x14ac:dyDescent="0.25">
      <c r="D45" s="76"/>
      <c r="E45"/>
    </row>
    <row r="46" spans="2:27" x14ac:dyDescent="0.25">
      <c r="B46" s="82" t="s">
        <v>109</v>
      </c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</row>
    <row r="48" spans="2:27" x14ac:dyDescent="0.25">
      <c r="E48" t="s">
        <v>415</v>
      </c>
      <c r="G48" s="46" t="s">
        <v>588</v>
      </c>
      <c r="H48" s="263">
        <f t="array" ref="H48">SUM(IF(ISERROR(H19:Y45), 1))</f>
        <v>0</v>
      </c>
    </row>
    <row r="50" spans="2:27" x14ac:dyDescent="0.25">
      <c r="B50" s="82" t="s">
        <v>110</v>
      </c>
      <c r="C50" s="64"/>
      <c r="D50" s="70"/>
      <c r="E50" s="70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5"/>
      <c r="AA50" s="65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Unit rate charges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H223 &amp; IF(H223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I5" s="59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386</v>
      </c>
      <c r="D9"/>
    </row>
    <row r="10" spans="1:27" x14ac:dyDescent="0.25">
      <c r="C10" s="73" t="s">
        <v>387</v>
      </c>
      <c r="D10"/>
      <c r="E10"/>
    </row>
    <row r="11" spans="1:27" x14ac:dyDescent="0.25">
      <c r="C11" s="73" t="s">
        <v>389</v>
      </c>
      <c r="D11"/>
      <c r="E11"/>
    </row>
    <row r="12" spans="1:27" x14ac:dyDescent="0.25">
      <c r="C12" s="73" t="s">
        <v>388</v>
      </c>
    </row>
    <row r="13" spans="1:27" x14ac:dyDescent="0.25">
      <c r="C13" s="73" t="s">
        <v>390</v>
      </c>
      <c r="D13"/>
    </row>
    <row r="15" spans="1:27" x14ac:dyDescent="0.25">
      <c r="B15" s="82" t="s">
        <v>660</v>
      </c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</row>
    <row r="17" spans="3:27" x14ac:dyDescent="0.25">
      <c r="C17" s="73" t="s">
        <v>419</v>
      </c>
    </row>
    <row r="19" spans="3:27" x14ac:dyDescent="0.25">
      <c r="C19" s="5" t="str">
        <f ca="1">INDEX('Version control'!$H$36:$H$62,MATCH($A$1,'Version control'!$F$36:$F$62,0),1)&amp;"-A: Initial unit rate 1"</f>
        <v>Section 514-A: Initial unit rate 1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0" spans="3:27" x14ac:dyDescent="0.25">
      <c r="C20" s="52"/>
      <c r="D20"/>
      <c r="E20" s="52"/>
    </row>
    <row r="21" spans="3:27" x14ac:dyDescent="0.25">
      <c r="D21"/>
      <c r="E21" s="52" t="s">
        <v>139</v>
      </c>
    </row>
    <row r="22" spans="3:27" x14ac:dyDescent="0.25">
      <c r="D22"/>
      <c r="F22" s="80" t="s">
        <v>267</v>
      </c>
      <c r="G22" s="80" t="s">
        <v>183</v>
      </c>
      <c r="H22" s="296"/>
      <c r="I22" s="296"/>
      <c r="J22" s="307">
        <f>'Initial unit rates'!J152</f>
        <v>0</v>
      </c>
      <c r="K22" s="307">
        <f>'Initial unit rates'!K152</f>
        <v>0</v>
      </c>
      <c r="L22" s="307">
        <f>'Initial unit rates'!L152</f>
        <v>0</v>
      </c>
      <c r="M22" s="307">
        <f>'Initial unit rates'!M152</f>
        <v>0</v>
      </c>
      <c r="N22" s="307">
        <f>'Initial unit rates'!N152</f>
        <v>0</v>
      </c>
      <c r="O22" s="307">
        <f>'Initial unit rates'!O152</f>
        <v>0</v>
      </c>
      <c r="P22" s="307">
        <f>'Initial unit rates'!P152</f>
        <v>0</v>
      </c>
      <c r="Q22" s="307">
        <f>'Initial unit rates'!Q152</f>
        <v>0</v>
      </c>
      <c r="R22" s="307">
        <f>'Initial unit rates'!R152</f>
        <v>0</v>
      </c>
      <c r="S22" s="307">
        <f>'Initial unit rates'!S152</f>
        <v>0</v>
      </c>
      <c r="T22" s="307">
        <f>'Initial unit rates'!T152</f>
        <v>0</v>
      </c>
      <c r="U22" s="307">
        <f>'Initial unit rates'!U152</f>
        <v>0</v>
      </c>
      <c r="V22" s="307">
        <f>'Initial unit rates'!V152</f>
        <v>0</v>
      </c>
      <c r="W22" s="307">
        <f>'Initial unit rates'!W152</f>
        <v>0</v>
      </c>
      <c r="X22" s="307">
        <f>'Initial unit rates'!X152</f>
        <v>0</v>
      </c>
      <c r="Y22" s="307">
        <f>'Initial unit rates'!Y152</f>
        <v>0</v>
      </c>
      <c r="Z22" s="298"/>
      <c r="AA22" s="298"/>
    </row>
    <row r="23" spans="3:27" x14ac:dyDescent="0.25">
      <c r="D23"/>
      <c r="F23" t="s">
        <v>43</v>
      </c>
      <c r="G23" t="s">
        <v>183</v>
      </c>
      <c r="H23" s="298"/>
      <c r="I23" s="298"/>
      <c r="J23" s="363">
        <f>'Initial unit rates'!J153</f>
        <v>0</v>
      </c>
      <c r="K23" s="363">
        <f>'Initial unit rates'!K153</f>
        <v>0</v>
      </c>
      <c r="L23" s="363">
        <f>'Initial unit rates'!L153</f>
        <v>0</v>
      </c>
      <c r="M23" s="363">
        <f>'Initial unit rates'!M153</f>
        <v>0</v>
      </c>
      <c r="N23" s="363">
        <f>'Initial unit rates'!N153</f>
        <v>0</v>
      </c>
      <c r="O23" s="363">
        <f>'Initial unit rates'!O153</f>
        <v>0</v>
      </c>
      <c r="P23" s="363">
        <f>'Initial unit rates'!P153</f>
        <v>0</v>
      </c>
      <c r="Q23" s="363">
        <f>'Initial unit rates'!Q153</f>
        <v>0</v>
      </c>
      <c r="R23" s="363">
        <f>'Initial unit rates'!R153</f>
        <v>0</v>
      </c>
      <c r="S23" s="363">
        <f>'Initial unit rates'!S153</f>
        <v>0</v>
      </c>
      <c r="T23" s="363">
        <f>'Initial unit rates'!T153</f>
        <v>0</v>
      </c>
      <c r="U23" s="363">
        <f>'Initial unit rates'!U153</f>
        <v>0</v>
      </c>
      <c r="V23" s="363">
        <f>'Initial unit rates'!V153</f>
        <v>0</v>
      </c>
      <c r="W23" s="363">
        <f>'Initial unit rates'!W153</f>
        <v>0</v>
      </c>
      <c r="X23" s="363">
        <f>'Initial unit rates'!X153</f>
        <v>0</v>
      </c>
      <c r="Y23" s="363">
        <f>'Initial unit rates'!Y153</f>
        <v>0</v>
      </c>
      <c r="Z23" s="298"/>
      <c r="AA23" s="298"/>
    </row>
    <row r="24" spans="3:27" x14ac:dyDescent="0.25">
      <c r="D24"/>
      <c r="F24" t="s">
        <v>44</v>
      </c>
      <c r="G24" t="s">
        <v>183</v>
      </c>
      <c r="H24" s="298"/>
      <c r="I24" s="298"/>
      <c r="J24" s="363">
        <f>'Initial unit rates'!J154</f>
        <v>0</v>
      </c>
      <c r="K24" s="363">
        <f>'Initial unit rates'!K154</f>
        <v>0</v>
      </c>
      <c r="L24" s="363">
        <f>'Initial unit rates'!L154</f>
        <v>0</v>
      </c>
      <c r="M24" s="363">
        <f>'Initial unit rates'!M154</f>
        <v>0</v>
      </c>
      <c r="N24" s="363">
        <f>'Initial unit rates'!N154</f>
        <v>0</v>
      </c>
      <c r="O24" s="363">
        <f>'Initial unit rates'!O154</f>
        <v>0</v>
      </c>
      <c r="P24" s="363">
        <f>'Initial unit rates'!P154</f>
        <v>0</v>
      </c>
      <c r="Q24" s="363">
        <f>'Initial unit rates'!Q154</f>
        <v>0</v>
      </c>
      <c r="R24" s="363">
        <f>'Initial unit rates'!R154</f>
        <v>0</v>
      </c>
      <c r="S24" s="363">
        <f>'Initial unit rates'!S154</f>
        <v>0</v>
      </c>
      <c r="T24" s="363">
        <f>'Initial unit rates'!T154</f>
        <v>0</v>
      </c>
      <c r="U24" s="363">
        <f>'Initial unit rates'!U154</f>
        <v>0</v>
      </c>
      <c r="V24" s="363">
        <f>'Initial unit rates'!V154</f>
        <v>0</v>
      </c>
      <c r="W24" s="363">
        <f>'Initial unit rates'!W154</f>
        <v>0</v>
      </c>
      <c r="X24" s="363">
        <f>'Initial unit rates'!X154</f>
        <v>0</v>
      </c>
      <c r="Y24" s="363">
        <f>'Initial unit rates'!Y154</f>
        <v>0</v>
      </c>
      <c r="Z24" s="298"/>
      <c r="AA24" s="298"/>
    </row>
    <row r="25" spans="3:27" x14ac:dyDescent="0.25">
      <c r="D25"/>
      <c r="F25" t="s">
        <v>45</v>
      </c>
      <c r="G25" t="s">
        <v>183</v>
      </c>
      <c r="H25" s="298"/>
      <c r="I25" s="298"/>
      <c r="J25" s="363">
        <f>'Initial unit rates'!J155</f>
        <v>0</v>
      </c>
      <c r="K25" s="363">
        <f>'Initial unit rates'!K155</f>
        <v>0</v>
      </c>
      <c r="L25" s="363">
        <f>'Initial unit rates'!L155</f>
        <v>0</v>
      </c>
      <c r="M25" s="363">
        <f>'Initial unit rates'!M155</f>
        <v>0</v>
      </c>
      <c r="N25" s="363">
        <f>'Initial unit rates'!N155</f>
        <v>0</v>
      </c>
      <c r="O25" s="363">
        <f>'Initial unit rates'!O155</f>
        <v>0</v>
      </c>
      <c r="P25" s="363">
        <f>'Initial unit rates'!P155</f>
        <v>0</v>
      </c>
      <c r="Q25" s="363">
        <f>'Initial unit rates'!Q155</f>
        <v>0</v>
      </c>
      <c r="R25" s="363">
        <f>'Initial unit rates'!R155</f>
        <v>0</v>
      </c>
      <c r="S25" s="363">
        <f>'Initial unit rates'!S155</f>
        <v>0</v>
      </c>
      <c r="T25" s="363">
        <f>'Initial unit rates'!T155</f>
        <v>0</v>
      </c>
      <c r="U25" s="363">
        <f>'Initial unit rates'!U155</f>
        <v>0</v>
      </c>
      <c r="V25" s="363">
        <f>'Initial unit rates'!V155</f>
        <v>0</v>
      </c>
      <c r="W25" s="363">
        <f>'Initial unit rates'!W155</f>
        <v>0</v>
      </c>
      <c r="X25" s="363">
        <f>'Initial unit rates'!X155</f>
        <v>0</v>
      </c>
      <c r="Y25" s="363">
        <f>'Initial unit rates'!Y155</f>
        <v>0</v>
      </c>
      <c r="Z25" s="298"/>
      <c r="AA25" s="298"/>
    </row>
    <row r="26" spans="3:27" x14ac:dyDescent="0.25">
      <c r="D26"/>
      <c r="F26" t="s">
        <v>46</v>
      </c>
      <c r="G26" t="s">
        <v>183</v>
      </c>
      <c r="H26" s="298"/>
      <c r="I26" s="298"/>
      <c r="J26" s="363">
        <f>'Initial unit rates'!J156</f>
        <v>1.9699842150414437</v>
      </c>
      <c r="K26" s="363">
        <f>'Initial unit rates'!K156</f>
        <v>1.9699842150414437</v>
      </c>
      <c r="L26" s="363">
        <f>'Initial unit rates'!L156</f>
        <v>2.3777303354933434</v>
      </c>
      <c r="M26" s="363">
        <f>'Initial unit rates'!M156</f>
        <v>2.3777303354933434</v>
      </c>
      <c r="N26" s="363">
        <f>'Initial unit rates'!N156</f>
        <v>2.008173094541291</v>
      </c>
      <c r="O26" s="363">
        <f>'Initial unit rates'!O156</f>
        <v>1.6629262235076845</v>
      </c>
      <c r="P26" s="363">
        <f>'Initial unit rates'!P156</f>
        <v>1.5800331814980009</v>
      </c>
      <c r="Q26" s="363">
        <f>'Initial unit rates'!Q156</f>
        <v>4.8122398694805391</v>
      </c>
      <c r="R26" s="363">
        <f>'Initial unit rates'!R156</f>
        <v>-1.5495012926110912</v>
      </c>
      <c r="S26" s="363">
        <f>'Initial unit rates'!S156</f>
        <v>-1.4639632122045061</v>
      </c>
      <c r="T26" s="363">
        <f>'Initial unit rates'!T156</f>
        <v>-1.5495012926110912</v>
      </c>
      <c r="U26" s="363">
        <f>'Initial unit rates'!U156</f>
        <v>-1.5495012926110912</v>
      </c>
      <c r="V26" s="363">
        <f>'Initial unit rates'!V156</f>
        <v>-1.4639632122045061</v>
      </c>
      <c r="W26" s="363">
        <f>'Initial unit rates'!W156</f>
        <v>-1.4639632122045061</v>
      </c>
      <c r="X26" s="363">
        <f>'Initial unit rates'!X156</f>
        <v>-1.39126020496584</v>
      </c>
      <c r="Y26" s="363">
        <f>'Initial unit rates'!Y156</f>
        <v>-1.39126020496584</v>
      </c>
      <c r="Z26" s="298"/>
      <c r="AA26" s="298"/>
    </row>
    <row r="27" spans="3:27" x14ac:dyDescent="0.25">
      <c r="D27"/>
      <c r="F27" t="s">
        <v>47</v>
      </c>
      <c r="G27" t="s">
        <v>183</v>
      </c>
      <c r="H27" s="298"/>
      <c r="I27" s="298"/>
      <c r="J27" s="363">
        <f>'Initial unit rates'!J157</f>
        <v>0.40673018015863577</v>
      </c>
      <c r="K27" s="363">
        <f>'Initial unit rates'!K157</f>
        <v>0.40673018015863577</v>
      </c>
      <c r="L27" s="363">
        <f>'Initial unit rates'!L157</f>
        <v>0.49091494253598139</v>
      </c>
      <c r="M27" s="363">
        <f>'Initial unit rates'!M157</f>
        <v>0.49091494253598139</v>
      </c>
      <c r="N27" s="363">
        <f>'Initial unit rates'!N157</f>
        <v>0.41461479655324096</v>
      </c>
      <c r="O27" s="363">
        <f>'Initial unit rates'!O157</f>
        <v>0.34333385887742823</v>
      </c>
      <c r="P27" s="363">
        <f>'Initial unit rates'!P157</f>
        <v>0.28883934326838223</v>
      </c>
      <c r="Q27" s="363">
        <f>'Initial unit rates'!Q157</f>
        <v>1.0407571956622039</v>
      </c>
      <c r="R27" s="363">
        <f>'Initial unit rates'!R157</f>
        <v>-0.31991573084076191</v>
      </c>
      <c r="S27" s="363">
        <f>'Initial unit rates'!S157</f>
        <v>-0.30225522443235792</v>
      </c>
      <c r="T27" s="363">
        <f>'Initial unit rates'!T157</f>
        <v>-0.31991573084076191</v>
      </c>
      <c r="U27" s="363">
        <f>'Initial unit rates'!U157</f>
        <v>-0.31991573084076191</v>
      </c>
      <c r="V27" s="363">
        <f>'Initial unit rates'!V157</f>
        <v>-0.30225522443235792</v>
      </c>
      <c r="W27" s="363">
        <f>'Initial unit rates'!W157</f>
        <v>-0.30225522443235792</v>
      </c>
      <c r="X27" s="363">
        <f>'Initial unit rates'!X157</f>
        <v>-0.25433053471496125</v>
      </c>
      <c r="Y27" s="363">
        <f>'Initial unit rates'!Y157</f>
        <v>-0.25433053471496125</v>
      </c>
      <c r="Z27" s="298"/>
      <c r="AA27" s="298"/>
    </row>
    <row r="28" spans="3:27" x14ac:dyDescent="0.25">
      <c r="D28"/>
      <c r="F28" t="s">
        <v>51</v>
      </c>
      <c r="G28" t="s">
        <v>183</v>
      </c>
      <c r="H28" s="298"/>
      <c r="I28" s="298"/>
      <c r="J28" s="363">
        <f>'Initial unit rates'!J158</f>
        <v>0</v>
      </c>
      <c r="K28" s="363">
        <f>'Initial unit rates'!K158</f>
        <v>0</v>
      </c>
      <c r="L28" s="363">
        <f>'Initial unit rates'!L158</f>
        <v>0</v>
      </c>
      <c r="M28" s="363">
        <f>'Initial unit rates'!M158</f>
        <v>0</v>
      </c>
      <c r="N28" s="363">
        <f>'Initial unit rates'!N158</f>
        <v>0</v>
      </c>
      <c r="O28" s="363">
        <f>'Initial unit rates'!O158</f>
        <v>0</v>
      </c>
      <c r="P28" s="363">
        <f>'Initial unit rates'!P158</f>
        <v>0</v>
      </c>
      <c r="Q28" s="363">
        <f>'Initial unit rates'!Q158</f>
        <v>0</v>
      </c>
      <c r="R28" s="363">
        <f>'Initial unit rates'!R158</f>
        <v>0</v>
      </c>
      <c r="S28" s="363">
        <f>'Initial unit rates'!S158</f>
        <v>0</v>
      </c>
      <c r="T28" s="363">
        <f>'Initial unit rates'!T158</f>
        <v>0</v>
      </c>
      <c r="U28" s="363">
        <f>'Initial unit rates'!U158</f>
        <v>0</v>
      </c>
      <c r="V28" s="363">
        <f>'Initial unit rates'!V158</f>
        <v>0</v>
      </c>
      <c r="W28" s="363">
        <f>'Initial unit rates'!W158</f>
        <v>0</v>
      </c>
      <c r="X28" s="363">
        <f>'Initial unit rates'!X158</f>
        <v>0</v>
      </c>
      <c r="Y28" s="363">
        <f>'Initial unit rates'!Y158</f>
        <v>0</v>
      </c>
      <c r="Z28" s="298"/>
      <c r="AA28" s="298"/>
    </row>
    <row r="29" spans="3:27" x14ac:dyDescent="0.25">
      <c r="D29"/>
      <c r="F29" t="s">
        <v>48</v>
      </c>
      <c r="G29" t="s">
        <v>183</v>
      </c>
      <c r="H29" s="298"/>
      <c r="I29" s="298"/>
      <c r="J29" s="363">
        <f>'Initial unit rates'!J159</f>
        <v>1.3986708947588413</v>
      </c>
      <c r="K29" s="363">
        <f>'Initial unit rates'!K159</f>
        <v>1.3986708947588413</v>
      </c>
      <c r="L29" s="363">
        <f>'Initial unit rates'!L159</f>
        <v>1.6881669357791018</v>
      </c>
      <c r="M29" s="363">
        <f>'Initial unit rates'!M159</f>
        <v>1.6881669357791018</v>
      </c>
      <c r="N29" s="363">
        <f>'Initial unit rates'!N159</f>
        <v>1.4257846522458599</v>
      </c>
      <c r="O29" s="363">
        <f>'Initial unit rates'!O159</f>
        <v>1.1806625104874269</v>
      </c>
      <c r="P29" s="363">
        <f>'Initial unit rates'!P159</f>
        <v>0.79452423984254494</v>
      </c>
      <c r="Q29" s="363">
        <f>'Initial unit rates'!Q159</f>
        <v>3.5789741432902855</v>
      </c>
      <c r="R29" s="363">
        <f>'Initial unit rates'!R159</f>
        <v>-1.1001318400516942</v>
      </c>
      <c r="S29" s="363">
        <f>'Initial unit rates'!S159</f>
        <v>-1.0394005801031394</v>
      </c>
      <c r="T29" s="363">
        <f>'Initial unit rates'!T159</f>
        <v>-1.1001318400516942</v>
      </c>
      <c r="U29" s="363">
        <f>'Initial unit rates'!U159</f>
        <v>-1.1001318400516942</v>
      </c>
      <c r="V29" s="363">
        <f>'Initial unit rates'!V159</f>
        <v>-1.0394005801031394</v>
      </c>
      <c r="W29" s="363">
        <f>'Initial unit rates'!W159</f>
        <v>-1.0394005801031394</v>
      </c>
      <c r="X29" s="363">
        <f>'Initial unit rates'!X159</f>
        <v>0</v>
      </c>
      <c r="Y29" s="363">
        <f>'Initial unit rates'!Y159</f>
        <v>0</v>
      </c>
      <c r="Z29" s="298"/>
      <c r="AA29" s="298"/>
    </row>
    <row r="30" spans="3:27" x14ac:dyDescent="0.25">
      <c r="D30"/>
      <c r="F30" t="s">
        <v>49</v>
      </c>
      <c r="G30" t="s">
        <v>183</v>
      </c>
      <c r="H30" s="298"/>
      <c r="I30" s="298"/>
      <c r="J30" s="363">
        <f>'Initial unit rates'!J160</f>
        <v>0.32116724837886368</v>
      </c>
      <c r="K30" s="363">
        <f>'Initial unit rates'!K160</f>
        <v>0.32116724837886368</v>
      </c>
      <c r="L30" s="363">
        <f>'Initial unit rates'!L160</f>
        <v>0.38764224779399253</v>
      </c>
      <c r="M30" s="363">
        <f>'Initial unit rates'!M160</f>
        <v>0.38764224779399253</v>
      </c>
      <c r="N30" s="363">
        <f>'Initial unit rates'!N160</f>
        <v>0.3273931953960989</v>
      </c>
      <c r="O30" s="363">
        <f>'Initial unit rates'!O160</f>
        <v>0.27110747151330983</v>
      </c>
      <c r="P30" s="363">
        <f>'Initial unit rates'!P160</f>
        <v>0</v>
      </c>
      <c r="Q30" s="363">
        <f>'Initial unit rates'!Q160</f>
        <v>0.82181539769427292</v>
      </c>
      <c r="R30" s="363">
        <f>'Initial unit rates'!R160</f>
        <v>-0.2526157634704333</v>
      </c>
      <c r="S30" s="363">
        <f>'Initial unit rates'!S160</f>
        <v>0</v>
      </c>
      <c r="T30" s="363">
        <f>'Initial unit rates'!T160</f>
        <v>-0.2526157634704333</v>
      </c>
      <c r="U30" s="363">
        <f>'Initial unit rates'!U160</f>
        <v>-0.2526157634704333</v>
      </c>
      <c r="V30" s="363">
        <f>'Initial unit rates'!V160</f>
        <v>0</v>
      </c>
      <c r="W30" s="363">
        <f>'Initial unit rates'!W160</f>
        <v>0</v>
      </c>
      <c r="X30" s="363">
        <f>'Initial unit rates'!X160</f>
        <v>0</v>
      </c>
      <c r="Y30" s="363">
        <f>'Initial unit rates'!Y160</f>
        <v>0</v>
      </c>
      <c r="Z30" s="298"/>
      <c r="AA30" s="298"/>
    </row>
    <row r="31" spans="3:27" x14ac:dyDescent="0.25">
      <c r="D31"/>
      <c r="F31" t="s">
        <v>50</v>
      </c>
      <c r="G31" t="s">
        <v>183</v>
      </c>
      <c r="H31" s="298"/>
      <c r="I31" s="298"/>
      <c r="J31" s="363">
        <f>'Initial unit rates'!J161</f>
        <v>5.6425934906545065E-2</v>
      </c>
      <c r="K31" s="363">
        <f>'Initial unit rates'!K161</f>
        <v>5.6425934906545065E-2</v>
      </c>
      <c r="L31" s="363">
        <f>'Initial unit rates'!L161</f>
        <v>6.8104940187575264E-2</v>
      </c>
      <c r="M31" s="363">
        <f>'Initial unit rates'!M161</f>
        <v>6.8104940187575264E-2</v>
      </c>
      <c r="N31" s="363">
        <f>'Initial unit rates'!N161</f>
        <v>5.7519772721264274E-2</v>
      </c>
      <c r="O31" s="363">
        <f>'Initial unit rates'!O161</f>
        <v>0</v>
      </c>
      <c r="P31" s="363">
        <f>'Initial unit rates'!P161</f>
        <v>0</v>
      </c>
      <c r="Q31" s="363">
        <f>'Initial unit rates'!Q161</f>
        <v>0.14438490340955101</v>
      </c>
      <c r="R31" s="363">
        <f>'Initial unit rates'!R161</f>
        <v>0</v>
      </c>
      <c r="S31" s="363">
        <f>'Initial unit rates'!S161</f>
        <v>0</v>
      </c>
      <c r="T31" s="363">
        <f>'Initial unit rates'!T161</f>
        <v>0</v>
      </c>
      <c r="U31" s="363">
        <f>'Initial unit rates'!U161</f>
        <v>0</v>
      </c>
      <c r="V31" s="363">
        <f>'Initial unit rates'!V161</f>
        <v>0</v>
      </c>
      <c r="W31" s="363">
        <f>'Initial unit rates'!W161</f>
        <v>0</v>
      </c>
      <c r="X31" s="363">
        <f>'Initial unit rates'!X161</f>
        <v>0</v>
      </c>
      <c r="Y31" s="363">
        <f>'Initial unit rates'!Y161</f>
        <v>0</v>
      </c>
      <c r="Z31" s="298"/>
      <c r="AA31" s="298"/>
    </row>
    <row r="32" spans="3:27" x14ac:dyDescent="0.25">
      <c r="D32"/>
      <c r="F32" s="80" t="s">
        <v>124</v>
      </c>
      <c r="G32" s="80" t="s">
        <v>183</v>
      </c>
      <c r="H32" s="296"/>
      <c r="I32" s="296"/>
      <c r="J32" s="308"/>
      <c r="K32" s="308"/>
      <c r="L32" s="308"/>
      <c r="M32" s="308"/>
      <c r="N32" s="308"/>
      <c r="O32" s="308"/>
      <c r="P32" s="308"/>
      <c r="Q32" s="308"/>
      <c r="R32" s="308"/>
      <c r="S32" s="308"/>
      <c r="T32" s="308"/>
      <c r="U32" s="308"/>
      <c r="V32" s="308"/>
      <c r="W32" s="308"/>
      <c r="X32" s="308"/>
      <c r="Y32" s="308"/>
      <c r="Z32" s="298"/>
      <c r="AA32" s="298"/>
    </row>
    <row r="33" spans="4:27" x14ac:dyDescent="0.25">
      <c r="D33"/>
      <c r="F33" s="17" t="s">
        <v>123</v>
      </c>
      <c r="G33" s="17" t="s">
        <v>183</v>
      </c>
      <c r="H33" s="300"/>
      <c r="I33" s="300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T33" s="305"/>
      <c r="U33" s="305"/>
      <c r="V33" s="305"/>
      <c r="W33" s="305"/>
      <c r="X33" s="305"/>
      <c r="Y33" s="305"/>
      <c r="Z33" s="298"/>
      <c r="AA33" s="298"/>
    </row>
    <row r="34" spans="4:27" x14ac:dyDescent="0.25">
      <c r="D34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</row>
    <row r="35" spans="4:27" x14ac:dyDescent="0.25">
      <c r="D35"/>
      <c r="E35" s="52" t="s">
        <v>116</v>
      </c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</row>
    <row r="36" spans="4:27" x14ac:dyDescent="0.25">
      <c r="D36"/>
      <c r="F36" s="80" t="s">
        <v>267</v>
      </c>
      <c r="G36" s="80" t="s">
        <v>183</v>
      </c>
      <c r="H36" s="296"/>
      <c r="I36" s="296"/>
      <c r="J36" s="307">
        <f>'Initial unit rates'!J164</f>
        <v>0.77780771331258114</v>
      </c>
      <c r="K36" s="307">
        <f>'Initial unit rates'!K164</f>
        <v>0.77780771331258114</v>
      </c>
      <c r="L36" s="307">
        <f>'Initial unit rates'!L164</f>
        <v>0.93879787513176938</v>
      </c>
      <c r="M36" s="307">
        <f>'Initial unit rates'!M164</f>
        <v>0.93879787513176938</v>
      </c>
      <c r="N36" s="307">
        <f>'Initial unit rates'!N164</f>
        <v>0.79288580622873228</v>
      </c>
      <c r="O36" s="307">
        <f>'Initial unit rates'!O164</f>
        <v>0.65657218643593429</v>
      </c>
      <c r="P36" s="307">
        <f>'Initial unit rates'!P164</f>
        <v>0.64386818381807154</v>
      </c>
      <c r="Q36" s="307">
        <f>'Initial unit rates'!Q164</f>
        <v>1.9000138479350954</v>
      </c>
      <c r="R36" s="307">
        <f>'Initial unit rates'!R164</f>
        <v>-0.61178868743136949</v>
      </c>
      <c r="S36" s="307">
        <f>'Initial unit rates'!S164</f>
        <v>-0.57801573726547506</v>
      </c>
      <c r="T36" s="307">
        <f>'Initial unit rates'!T164</f>
        <v>-0.61178868743136949</v>
      </c>
      <c r="U36" s="307">
        <f>'Initial unit rates'!U164</f>
        <v>-0.61178868743136949</v>
      </c>
      <c r="V36" s="307">
        <f>'Initial unit rates'!V164</f>
        <v>-0.57801573726547506</v>
      </c>
      <c r="W36" s="307">
        <f>'Initial unit rates'!W164</f>
        <v>-0.57801573726547506</v>
      </c>
      <c r="X36" s="307">
        <f>'Initial unit rates'!X164</f>
        <v>-0.5669426388504275</v>
      </c>
      <c r="Y36" s="307">
        <f>'Initial unit rates'!Y164</f>
        <v>-0.5669426388504275</v>
      </c>
      <c r="Z36" s="298"/>
      <c r="AA36" s="298"/>
    </row>
    <row r="37" spans="4:27" x14ac:dyDescent="0.25">
      <c r="D37"/>
      <c r="F37" t="s">
        <v>43</v>
      </c>
      <c r="G37" t="s">
        <v>183</v>
      </c>
      <c r="H37" s="298"/>
      <c r="I37" s="298"/>
      <c r="J37" s="363">
        <f>'Initial unit rates'!J165</f>
        <v>0</v>
      </c>
      <c r="K37" s="363">
        <f>'Initial unit rates'!K165</f>
        <v>0</v>
      </c>
      <c r="L37" s="363">
        <f>'Initial unit rates'!L165</f>
        <v>0</v>
      </c>
      <c r="M37" s="363">
        <f>'Initial unit rates'!M165</f>
        <v>0</v>
      </c>
      <c r="N37" s="363">
        <f>'Initial unit rates'!N165</f>
        <v>0</v>
      </c>
      <c r="O37" s="363">
        <f>'Initial unit rates'!O165</f>
        <v>0</v>
      </c>
      <c r="P37" s="363">
        <f>'Initial unit rates'!P165</f>
        <v>0</v>
      </c>
      <c r="Q37" s="363">
        <f>'Initial unit rates'!Q165</f>
        <v>0</v>
      </c>
      <c r="R37" s="363">
        <f>'Initial unit rates'!R165</f>
        <v>0</v>
      </c>
      <c r="S37" s="363">
        <f>'Initial unit rates'!S165</f>
        <v>0</v>
      </c>
      <c r="T37" s="363">
        <f>'Initial unit rates'!T165</f>
        <v>0</v>
      </c>
      <c r="U37" s="363">
        <f>'Initial unit rates'!U165</f>
        <v>0</v>
      </c>
      <c r="V37" s="363">
        <f>'Initial unit rates'!V165</f>
        <v>0</v>
      </c>
      <c r="W37" s="363">
        <f>'Initial unit rates'!W165</f>
        <v>0</v>
      </c>
      <c r="X37" s="363">
        <f>'Initial unit rates'!X165</f>
        <v>0</v>
      </c>
      <c r="Y37" s="363">
        <f>'Initial unit rates'!Y165</f>
        <v>0</v>
      </c>
      <c r="Z37" s="298"/>
      <c r="AA37" s="298"/>
    </row>
    <row r="38" spans="4:27" x14ac:dyDescent="0.25">
      <c r="D38"/>
      <c r="F38" t="s">
        <v>44</v>
      </c>
      <c r="G38" t="s">
        <v>183</v>
      </c>
      <c r="H38" s="298"/>
      <c r="I38" s="298"/>
      <c r="J38" s="363">
        <f>'Initial unit rates'!J166</f>
        <v>0</v>
      </c>
      <c r="K38" s="363">
        <f>'Initial unit rates'!K166</f>
        <v>0</v>
      </c>
      <c r="L38" s="363">
        <f>'Initial unit rates'!L166</f>
        <v>0</v>
      </c>
      <c r="M38" s="363">
        <f>'Initial unit rates'!M166</f>
        <v>0</v>
      </c>
      <c r="N38" s="363">
        <f>'Initial unit rates'!N166</f>
        <v>0</v>
      </c>
      <c r="O38" s="363">
        <f>'Initial unit rates'!O166</f>
        <v>0</v>
      </c>
      <c r="P38" s="363">
        <f>'Initial unit rates'!P166</f>
        <v>0</v>
      </c>
      <c r="Q38" s="363">
        <f>'Initial unit rates'!Q166</f>
        <v>0</v>
      </c>
      <c r="R38" s="363">
        <f>'Initial unit rates'!R166</f>
        <v>0</v>
      </c>
      <c r="S38" s="363">
        <f>'Initial unit rates'!S166</f>
        <v>0</v>
      </c>
      <c r="T38" s="363">
        <f>'Initial unit rates'!T166</f>
        <v>0</v>
      </c>
      <c r="U38" s="363">
        <f>'Initial unit rates'!U166</f>
        <v>0</v>
      </c>
      <c r="V38" s="363">
        <f>'Initial unit rates'!V166</f>
        <v>0</v>
      </c>
      <c r="W38" s="363">
        <f>'Initial unit rates'!W166</f>
        <v>0</v>
      </c>
      <c r="X38" s="363">
        <f>'Initial unit rates'!X166</f>
        <v>0</v>
      </c>
      <c r="Y38" s="363">
        <f>'Initial unit rates'!Y166</f>
        <v>0</v>
      </c>
      <c r="Z38" s="298"/>
      <c r="AA38" s="298"/>
    </row>
    <row r="39" spans="4:27" x14ac:dyDescent="0.25">
      <c r="D39"/>
      <c r="F39" t="s">
        <v>45</v>
      </c>
      <c r="G39" t="s">
        <v>183</v>
      </c>
      <c r="H39" s="298"/>
      <c r="I39" s="298"/>
      <c r="J39" s="363">
        <f>'Initial unit rates'!J167</f>
        <v>0</v>
      </c>
      <c r="K39" s="363">
        <f>'Initial unit rates'!K167</f>
        <v>0</v>
      </c>
      <c r="L39" s="363">
        <f>'Initial unit rates'!L167</f>
        <v>0</v>
      </c>
      <c r="M39" s="363">
        <f>'Initial unit rates'!M167</f>
        <v>0</v>
      </c>
      <c r="N39" s="363">
        <f>'Initial unit rates'!N167</f>
        <v>0</v>
      </c>
      <c r="O39" s="363">
        <f>'Initial unit rates'!O167</f>
        <v>0</v>
      </c>
      <c r="P39" s="363">
        <f>'Initial unit rates'!P167</f>
        <v>0</v>
      </c>
      <c r="Q39" s="363">
        <f>'Initial unit rates'!Q167</f>
        <v>0</v>
      </c>
      <c r="R39" s="363">
        <f>'Initial unit rates'!R167</f>
        <v>0</v>
      </c>
      <c r="S39" s="363">
        <f>'Initial unit rates'!S167</f>
        <v>0</v>
      </c>
      <c r="T39" s="363">
        <f>'Initial unit rates'!T167</f>
        <v>0</v>
      </c>
      <c r="U39" s="363">
        <f>'Initial unit rates'!U167</f>
        <v>0</v>
      </c>
      <c r="V39" s="363">
        <f>'Initial unit rates'!V167</f>
        <v>0</v>
      </c>
      <c r="W39" s="363">
        <f>'Initial unit rates'!W167</f>
        <v>0</v>
      </c>
      <c r="X39" s="363">
        <f>'Initial unit rates'!X167</f>
        <v>0</v>
      </c>
      <c r="Y39" s="363">
        <f>'Initial unit rates'!Y167</f>
        <v>0</v>
      </c>
      <c r="Z39" s="298"/>
      <c r="AA39" s="298"/>
    </row>
    <row r="40" spans="4:27" x14ac:dyDescent="0.25">
      <c r="D40"/>
      <c r="F40" t="s">
        <v>46</v>
      </c>
      <c r="G40" t="s">
        <v>183</v>
      </c>
      <c r="H40" s="298"/>
      <c r="I40" s="298"/>
      <c r="J40" s="363">
        <f>'Initial unit rates'!J168</f>
        <v>1.4777755783491016</v>
      </c>
      <c r="K40" s="363">
        <f>'Initial unit rates'!K168</f>
        <v>1.4777755783491016</v>
      </c>
      <c r="L40" s="363">
        <f>'Initial unit rates'!L168</f>
        <v>1.7836446580958814</v>
      </c>
      <c r="M40" s="363">
        <f>'Initial unit rates'!M168</f>
        <v>1.7836446580958814</v>
      </c>
      <c r="N40" s="363">
        <f>'Initial unit rates'!N168</f>
        <v>1.5064228096611576</v>
      </c>
      <c r="O40" s="363">
        <f>'Initial unit rates'!O168</f>
        <v>1.2474372855034563</v>
      </c>
      <c r="P40" s="363">
        <f>'Initial unit rates'!P168</f>
        <v>1.2233006454385154</v>
      </c>
      <c r="Q40" s="363">
        <f>'Initial unit rates'!Q168</f>
        <v>3.6098819990426181</v>
      </c>
      <c r="R40" s="363">
        <f>'Initial unit rates'!R168</f>
        <v>-1.1623520388425366</v>
      </c>
      <c r="S40" s="363">
        <f>'Initial unit rates'!S168</f>
        <v>-1.0981859986892382</v>
      </c>
      <c r="T40" s="363">
        <f>'Initial unit rates'!T168</f>
        <v>-1.1623520388425366</v>
      </c>
      <c r="U40" s="363">
        <f>'Initial unit rates'!U168</f>
        <v>-1.1623520388425366</v>
      </c>
      <c r="V40" s="363">
        <f>'Initial unit rates'!V168</f>
        <v>-1.0981859986892382</v>
      </c>
      <c r="W40" s="363">
        <f>'Initial unit rates'!W168</f>
        <v>-1.0981859986892382</v>
      </c>
      <c r="X40" s="363">
        <f>'Initial unit rates'!X168</f>
        <v>-1.0771479527373369</v>
      </c>
      <c r="Y40" s="363">
        <f>'Initial unit rates'!Y168</f>
        <v>-1.0771479527373369</v>
      </c>
      <c r="Z40" s="298"/>
      <c r="AA40" s="298"/>
    </row>
    <row r="41" spans="4:27" x14ac:dyDescent="0.25">
      <c r="D41"/>
      <c r="F41" t="s">
        <v>47</v>
      </c>
      <c r="G41" t="s">
        <v>183</v>
      </c>
      <c r="H41" s="298"/>
      <c r="I41" s="298"/>
      <c r="J41" s="363">
        <f>'Initial unit rates'!J169</f>
        <v>0.30510697630301459</v>
      </c>
      <c r="K41" s="363">
        <f>'Initial unit rates'!K169</f>
        <v>0.30510697630301459</v>
      </c>
      <c r="L41" s="363">
        <f>'Initial unit rates'!L169</f>
        <v>0.36825783048777594</v>
      </c>
      <c r="M41" s="363">
        <f>'Initial unit rates'!M169</f>
        <v>0.36825783048777594</v>
      </c>
      <c r="N41" s="363">
        <f>'Initial unit rates'!N169</f>
        <v>0.311021588949976</v>
      </c>
      <c r="O41" s="363">
        <f>'Initial unit rates'!O169</f>
        <v>0.25755048593561786</v>
      </c>
      <c r="P41" s="363">
        <f>'Initial unit rates'!P169</f>
        <v>0.25256714653265155</v>
      </c>
      <c r="Q41" s="363">
        <f>'Initial unit rates'!Q169</f>
        <v>0.78071974130429611</v>
      </c>
      <c r="R41" s="363">
        <f>'Initial unit rates'!R169</f>
        <v>-0.23998347324637667</v>
      </c>
      <c r="S41" s="363">
        <f>'Initial unit rates'!S169</f>
        <v>-0.22673551680472151</v>
      </c>
      <c r="T41" s="363">
        <f>'Initial unit rates'!T169</f>
        <v>-0.23998347324637667</v>
      </c>
      <c r="U41" s="363">
        <f>'Initial unit rates'!U169</f>
        <v>-0.23998347324637667</v>
      </c>
      <c r="V41" s="363">
        <f>'Initial unit rates'!V169</f>
        <v>-0.22673551680472151</v>
      </c>
      <c r="W41" s="363">
        <f>'Initial unit rates'!W169</f>
        <v>-0.22673551680472151</v>
      </c>
      <c r="X41" s="363">
        <f>'Initial unit rates'!X169</f>
        <v>-0.22239192452876896</v>
      </c>
      <c r="Y41" s="363">
        <f>'Initial unit rates'!Y169</f>
        <v>-0.22239192452876896</v>
      </c>
      <c r="Z41" s="298"/>
      <c r="AA41" s="298"/>
    </row>
    <row r="42" spans="4:27" x14ac:dyDescent="0.25">
      <c r="D42"/>
      <c r="F42" t="s">
        <v>51</v>
      </c>
      <c r="G42" t="s">
        <v>183</v>
      </c>
      <c r="H42" s="298"/>
      <c r="I42" s="298"/>
      <c r="J42" s="363">
        <f>'Initial unit rates'!J170</f>
        <v>0</v>
      </c>
      <c r="K42" s="363">
        <f>'Initial unit rates'!K170</f>
        <v>0</v>
      </c>
      <c r="L42" s="363">
        <f>'Initial unit rates'!L170</f>
        <v>0</v>
      </c>
      <c r="M42" s="363">
        <f>'Initial unit rates'!M170</f>
        <v>0</v>
      </c>
      <c r="N42" s="363">
        <f>'Initial unit rates'!N170</f>
        <v>0</v>
      </c>
      <c r="O42" s="363">
        <f>'Initial unit rates'!O170</f>
        <v>0</v>
      </c>
      <c r="P42" s="363">
        <f>'Initial unit rates'!P170</f>
        <v>0</v>
      </c>
      <c r="Q42" s="363">
        <f>'Initial unit rates'!Q170</f>
        <v>0</v>
      </c>
      <c r="R42" s="363">
        <f>'Initial unit rates'!R170</f>
        <v>0</v>
      </c>
      <c r="S42" s="363">
        <f>'Initial unit rates'!S170</f>
        <v>0</v>
      </c>
      <c r="T42" s="363">
        <f>'Initial unit rates'!T170</f>
        <v>0</v>
      </c>
      <c r="U42" s="363">
        <f>'Initial unit rates'!U170</f>
        <v>0</v>
      </c>
      <c r="V42" s="363">
        <f>'Initial unit rates'!V170</f>
        <v>0</v>
      </c>
      <c r="W42" s="363">
        <f>'Initial unit rates'!W170</f>
        <v>0</v>
      </c>
      <c r="X42" s="363">
        <f>'Initial unit rates'!X170</f>
        <v>0</v>
      </c>
      <c r="Y42" s="363">
        <f>'Initial unit rates'!Y170</f>
        <v>0</v>
      </c>
      <c r="Z42" s="298"/>
      <c r="AA42" s="298"/>
    </row>
    <row r="43" spans="4:27" x14ac:dyDescent="0.25">
      <c r="D43"/>
      <c r="F43" t="s">
        <v>48</v>
      </c>
      <c r="G43" t="s">
        <v>183</v>
      </c>
      <c r="H43" s="298"/>
      <c r="I43" s="298"/>
      <c r="J43" s="363">
        <f>'Initial unit rates'!J171</f>
        <v>1.3125787594978817</v>
      </c>
      <c r="K43" s="363">
        <f>'Initial unit rates'!K171</f>
        <v>1.3125787594978817</v>
      </c>
      <c r="L43" s="363">
        <f>'Initial unit rates'!L171</f>
        <v>1.5842555033450745</v>
      </c>
      <c r="M43" s="363">
        <f>'Initial unit rates'!M171</f>
        <v>1.5842555033450745</v>
      </c>
      <c r="N43" s="363">
        <f>'Initial unit rates'!N171</f>
        <v>1.3380235888004701</v>
      </c>
      <c r="O43" s="363">
        <f>'Initial unit rates'!O171</f>
        <v>1.1079894056624682</v>
      </c>
      <c r="P43" s="363">
        <f>'Initial unit rates'!P171</f>
        <v>1.0865509399447713</v>
      </c>
      <c r="Q43" s="363">
        <f>'Initial unit rates'!Q171</f>
        <v>3.358678198622937</v>
      </c>
      <c r="R43" s="363">
        <f>'Initial unit rates'!R171</f>
        <v>-1.0324156249409557</v>
      </c>
      <c r="S43" s="363">
        <f>'Initial unit rates'!S171</f>
        <v>-0.97542254519308391</v>
      </c>
      <c r="T43" s="363">
        <f>'Initial unit rates'!T171</f>
        <v>-1.0324156249409557</v>
      </c>
      <c r="U43" s="363">
        <f>'Initial unit rates'!U171</f>
        <v>-1.0324156249409557</v>
      </c>
      <c r="V43" s="363">
        <f>'Initial unit rates'!V171</f>
        <v>-0.97542254519308391</v>
      </c>
      <c r="W43" s="363">
        <f>'Initial unit rates'!W171</f>
        <v>-0.97542254519308391</v>
      </c>
      <c r="X43" s="363">
        <f>'Initial unit rates'!X171</f>
        <v>0</v>
      </c>
      <c r="Y43" s="363">
        <f>'Initial unit rates'!Y171</f>
        <v>0</v>
      </c>
      <c r="Z43" s="298"/>
      <c r="AA43" s="298"/>
    </row>
    <row r="44" spans="4:27" x14ac:dyDescent="0.25">
      <c r="D44"/>
      <c r="F44" t="s">
        <v>49</v>
      </c>
      <c r="G44" t="s">
        <v>183</v>
      </c>
      <c r="H44" s="298"/>
      <c r="I44" s="298"/>
      <c r="J44" s="363">
        <f>'Initial unit rates'!J172</f>
        <v>0.32988820848781847</v>
      </c>
      <c r="K44" s="363">
        <f>'Initial unit rates'!K172</f>
        <v>0.32988820848781847</v>
      </c>
      <c r="L44" s="363">
        <f>'Initial unit rates'!L172</f>
        <v>0.3981682668592027</v>
      </c>
      <c r="M44" s="363">
        <f>'Initial unit rates'!M172</f>
        <v>0.3981682668592027</v>
      </c>
      <c r="N44" s="363">
        <f>'Initial unit rates'!N172</f>
        <v>0.33628321457272597</v>
      </c>
      <c r="O44" s="363">
        <f>'Initial unit rates'!O172</f>
        <v>0.27846911083438441</v>
      </c>
      <c r="P44" s="363">
        <f>'Initial unit rates'!P172</f>
        <v>0</v>
      </c>
      <c r="Q44" s="363">
        <f>'Initial unit rates'!Q172</f>
        <v>0.84413093371605963</v>
      </c>
      <c r="R44" s="363">
        <f>'Initial unit rates'!R172</f>
        <v>-0.25947527983531499</v>
      </c>
      <c r="S44" s="363">
        <f>'Initial unit rates'!S172</f>
        <v>0</v>
      </c>
      <c r="T44" s="363">
        <f>'Initial unit rates'!T172</f>
        <v>-0.25947527983531499</v>
      </c>
      <c r="U44" s="363">
        <f>'Initial unit rates'!U172</f>
        <v>-0.25947527983531499</v>
      </c>
      <c r="V44" s="363">
        <f>'Initial unit rates'!V172</f>
        <v>0</v>
      </c>
      <c r="W44" s="363">
        <f>'Initial unit rates'!W172</f>
        <v>0</v>
      </c>
      <c r="X44" s="363">
        <f>'Initial unit rates'!X172</f>
        <v>0</v>
      </c>
      <c r="Y44" s="363">
        <f>'Initial unit rates'!Y172</f>
        <v>0</v>
      </c>
      <c r="Z44" s="298"/>
      <c r="AA44" s="298"/>
    </row>
    <row r="45" spans="4:27" x14ac:dyDescent="0.25">
      <c r="D45"/>
      <c r="F45" t="s">
        <v>50</v>
      </c>
      <c r="G45" t="s">
        <v>183</v>
      </c>
      <c r="H45" s="298"/>
      <c r="I45" s="298"/>
      <c r="J45" s="363">
        <f>'Initial unit rates'!J173</f>
        <v>0.55488239640435133</v>
      </c>
      <c r="K45" s="363">
        <f>'Initial unit rates'!K173</f>
        <v>0.55488239640435133</v>
      </c>
      <c r="L45" s="363">
        <f>'Initial unit rates'!L173</f>
        <v>0.66973161332366926</v>
      </c>
      <c r="M45" s="363">
        <f>'Initial unit rates'!M173</f>
        <v>0.66973161332366926</v>
      </c>
      <c r="N45" s="363">
        <f>'Initial unit rates'!N173</f>
        <v>0.56563899882333379</v>
      </c>
      <c r="O45" s="363">
        <f>'Initial unit rates'!O173</f>
        <v>0</v>
      </c>
      <c r="P45" s="363">
        <f>'Initial unit rates'!P173</f>
        <v>0</v>
      </c>
      <c r="Q45" s="363">
        <f>'Initial unit rates'!Q173</f>
        <v>1.4198549185085705</v>
      </c>
      <c r="R45" s="363">
        <f>'Initial unit rates'!R173</f>
        <v>0</v>
      </c>
      <c r="S45" s="363">
        <f>'Initial unit rates'!S173</f>
        <v>0</v>
      </c>
      <c r="T45" s="363">
        <f>'Initial unit rates'!T173</f>
        <v>0</v>
      </c>
      <c r="U45" s="363">
        <f>'Initial unit rates'!U173</f>
        <v>0</v>
      </c>
      <c r="V45" s="363">
        <f>'Initial unit rates'!V173</f>
        <v>0</v>
      </c>
      <c r="W45" s="363">
        <f>'Initial unit rates'!W173</f>
        <v>0</v>
      </c>
      <c r="X45" s="363">
        <f>'Initial unit rates'!X173</f>
        <v>0</v>
      </c>
      <c r="Y45" s="363">
        <f>'Initial unit rates'!Y173</f>
        <v>0</v>
      </c>
      <c r="Z45" s="298"/>
      <c r="AA45" s="298"/>
    </row>
    <row r="46" spans="4:27" x14ac:dyDescent="0.25">
      <c r="D46"/>
      <c r="F46" s="80" t="s">
        <v>124</v>
      </c>
      <c r="G46" s="80" t="s">
        <v>183</v>
      </c>
      <c r="H46" s="296"/>
      <c r="I46" s="296" t="s">
        <v>359</v>
      </c>
      <c r="J46" s="308"/>
      <c r="K46" s="308"/>
      <c r="L46" s="308"/>
      <c r="M46" s="308"/>
      <c r="N46" s="308"/>
      <c r="O46" s="308"/>
      <c r="P46" s="308"/>
      <c r="Q46" s="307">
        <f>'Service model charges'!$Q$44</f>
        <v>0.4392137814844751</v>
      </c>
      <c r="R46" s="308"/>
      <c r="S46" s="308"/>
      <c r="T46" s="308"/>
      <c r="U46" s="308"/>
      <c r="V46" s="308"/>
      <c r="W46" s="308"/>
      <c r="X46" s="308"/>
      <c r="Y46" s="308"/>
      <c r="Z46" s="298"/>
      <c r="AA46" s="298" t="s">
        <v>728</v>
      </c>
    </row>
    <row r="47" spans="4:27" x14ac:dyDescent="0.25">
      <c r="D47"/>
      <c r="F47" s="17" t="s">
        <v>123</v>
      </c>
      <c r="G47" s="17" t="s">
        <v>183</v>
      </c>
      <c r="H47" s="300"/>
      <c r="I47" s="300"/>
      <c r="J47" s="305"/>
      <c r="K47" s="305"/>
      <c r="L47" s="305"/>
      <c r="M47" s="305"/>
      <c r="N47" s="305"/>
      <c r="O47" s="305"/>
      <c r="P47" s="305"/>
      <c r="Q47" s="305"/>
      <c r="R47" s="305"/>
      <c r="S47" s="305"/>
      <c r="T47" s="305"/>
      <c r="U47" s="305"/>
      <c r="V47" s="305"/>
      <c r="W47" s="305"/>
      <c r="X47" s="305"/>
      <c r="Y47" s="305"/>
      <c r="Z47" s="298"/>
      <c r="AA47" s="298"/>
    </row>
    <row r="48" spans="4:27" x14ac:dyDescent="0.25"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</row>
    <row r="49" spans="3:27" x14ac:dyDescent="0.25">
      <c r="C49" s="5" t="str">
        <f ca="1">INDEX('Version control'!$H$36:$H$62,MATCH($A$1,'Version control'!$F$36:$F$62,0),1)&amp;"-B: Initial unit rate 2"</f>
        <v>Section 514-B: Initial unit rate 2</v>
      </c>
      <c r="D49" s="5"/>
      <c r="E49" s="5"/>
      <c r="F49" s="5"/>
      <c r="G49" s="5"/>
      <c r="H49" s="5"/>
      <c r="I49" s="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5"/>
      <c r="AA49" s="5"/>
    </row>
    <row r="50" spans="3:27" x14ac:dyDescent="0.25">
      <c r="C50" s="52"/>
      <c r="D50"/>
      <c r="E50" s="52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</row>
    <row r="51" spans="3:27" x14ac:dyDescent="0.25">
      <c r="D51"/>
      <c r="E51" s="52" t="s">
        <v>139</v>
      </c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</row>
    <row r="52" spans="3:27" x14ac:dyDescent="0.25">
      <c r="D52"/>
      <c r="F52" s="80" t="s">
        <v>267</v>
      </c>
      <c r="G52" s="80" t="s">
        <v>183</v>
      </c>
      <c r="H52" s="296"/>
      <c r="I52" s="296"/>
      <c r="J52" s="307">
        <f>'Initial unit rates'!J181</f>
        <v>0</v>
      </c>
      <c r="K52" s="307">
        <f>'Initial unit rates'!K181</f>
        <v>0</v>
      </c>
      <c r="L52" s="307">
        <f>'Initial unit rates'!L181</f>
        <v>0</v>
      </c>
      <c r="M52" s="307">
        <f>'Initial unit rates'!M181</f>
        <v>0</v>
      </c>
      <c r="N52" s="307">
        <f>'Initial unit rates'!N181</f>
        <v>0</v>
      </c>
      <c r="O52" s="307">
        <f>'Initial unit rates'!O181</f>
        <v>0</v>
      </c>
      <c r="P52" s="307">
        <f>'Initial unit rates'!P181</f>
        <v>0</v>
      </c>
      <c r="Q52" s="307">
        <f>'Initial unit rates'!Q181</f>
        <v>0</v>
      </c>
      <c r="R52" s="307">
        <f>'Initial unit rates'!R181</f>
        <v>0</v>
      </c>
      <c r="S52" s="307">
        <f>'Initial unit rates'!S181</f>
        <v>0</v>
      </c>
      <c r="T52" s="307">
        <f>'Initial unit rates'!T181</f>
        <v>0</v>
      </c>
      <c r="U52" s="307">
        <f>'Initial unit rates'!U181</f>
        <v>0</v>
      </c>
      <c r="V52" s="307">
        <f>'Initial unit rates'!V181</f>
        <v>0</v>
      </c>
      <c r="W52" s="307">
        <f>'Initial unit rates'!W181</f>
        <v>0</v>
      </c>
      <c r="X52" s="307">
        <f>'Initial unit rates'!X181</f>
        <v>0</v>
      </c>
      <c r="Y52" s="307">
        <f>'Initial unit rates'!Y181</f>
        <v>0</v>
      </c>
      <c r="Z52" s="298"/>
      <c r="AA52" s="298"/>
    </row>
    <row r="53" spans="3:27" x14ac:dyDescent="0.25">
      <c r="D53"/>
      <c r="F53" t="s">
        <v>43</v>
      </c>
      <c r="G53" t="s">
        <v>183</v>
      </c>
      <c r="H53" s="298"/>
      <c r="I53" s="298"/>
      <c r="J53" s="363">
        <f>'Initial unit rates'!J182</f>
        <v>0</v>
      </c>
      <c r="K53" s="363">
        <f>'Initial unit rates'!K182</f>
        <v>0</v>
      </c>
      <c r="L53" s="363">
        <f>'Initial unit rates'!L182</f>
        <v>0</v>
      </c>
      <c r="M53" s="363">
        <f>'Initial unit rates'!M182</f>
        <v>0</v>
      </c>
      <c r="N53" s="363">
        <f>'Initial unit rates'!N182</f>
        <v>0</v>
      </c>
      <c r="O53" s="363">
        <f>'Initial unit rates'!O182</f>
        <v>0</v>
      </c>
      <c r="P53" s="363">
        <f>'Initial unit rates'!P182</f>
        <v>0</v>
      </c>
      <c r="Q53" s="363">
        <f>'Initial unit rates'!Q182</f>
        <v>0</v>
      </c>
      <c r="R53" s="363">
        <f>'Initial unit rates'!R182</f>
        <v>0</v>
      </c>
      <c r="S53" s="363">
        <f>'Initial unit rates'!S182</f>
        <v>0</v>
      </c>
      <c r="T53" s="363">
        <f>'Initial unit rates'!T182</f>
        <v>0</v>
      </c>
      <c r="U53" s="363">
        <f>'Initial unit rates'!U182</f>
        <v>0</v>
      </c>
      <c r="V53" s="363">
        <f>'Initial unit rates'!V182</f>
        <v>0</v>
      </c>
      <c r="W53" s="363">
        <f>'Initial unit rates'!W182</f>
        <v>0</v>
      </c>
      <c r="X53" s="363">
        <f>'Initial unit rates'!X182</f>
        <v>0</v>
      </c>
      <c r="Y53" s="363">
        <f>'Initial unit rates'!Y182</f>
        <v>0</v>
      </c>
      <c r="Z53" s="298"/>
      <c r="AA53" s="298"/>
    </row>
    <row r="54" spans="3:27" x14ac:dyDescent="0.25">
      <c r="D54"/>
      <c r="F54" t="s">
        <v>44</v>
      </c>
      <c r="G54" t="s">
        <v>183</v>
      </c>
      <c r="H54" s="298"/>
      <c r="I54" s="298"/>
      <c r="J54" s="363">
        <f>'Initial unit rates'!J183</f>
        <v>0</v>
      </c>
      <c r="K54" s="363">
        <f>'Initial unit rates'!K183</f>
        <v>0</v>
      </c>
      <c r="L54" s="363">
        <f>'Initial unit rates'!L183</f>
        <v>0</v>
      </c>
      <c r="M54" s="363">
        <f>'Initial unit rates'!M183</f>
        <v>0</v>
      </c>
      <c r="N54" s="363">
        <f>'Initial unit rates'!N183</f>
        <v>0</v>
      </c>
      <c r="O54" s="363">
        <f>'Initial unit rates'!O183</f>
        <v>0</v>
      </c>
      <c r="P54" s="363">
        <f>'Initial unit rates'!P183</f>
        <v>0</v>
      </c>
      <c r="Q54" s="363">
        <f>'Initial unit rates'!Q183</f>
        <v>0</v>
      </c>
      <c r="R54" s="363">
        <f>'Initial unit rates'!R183</f>
        <v>0</v>
      </c>
      <c r="S54" s="363">
        <f>'Initial unit rates'!S183</f>
        <v>0</v>
      </c>
      <c r="T54" s="363">
        <f>'Initial unit rates'!T183</f>
        <v>0</v>
      </c>
      <c r="U54" s="363">
        <f>'Initial unit rates'!U183</f>
        <v>0</v>
      </c>
      <c r="V54" s="363">
        <f>'Initial unit rates'!V183</f>
        <v>0</v>
      </c>
      <c r="W54" s="363">
        <f>'Initial unit rates'!W183</f>
        <v>0</v>
      </c>
      <c r="X54" s="363">
        <f>'Initial unit rates'!X183</f>
        <v>0</v>
      </c>
      <c r="Y54" s="363">
        <f>'Initial unit rates'!Y183</f>
        <v>0</v>
      </c>
      <c r="Z54" s="298"/>
      <c r="AA54" s="298"/>
    </row>
    <row r="55" spans="3:27" x14ac:dyDescent="0.25">
      <c r="D55"/>
      <c r="F55" t="s">
        <v>45</v>
      </c>
      <c r="G55" t="s">
        <v>183</v>
      </c>
      <c r="H55" s="298"/>
      <c r="I55" s="298"/>
      <c r="J55" s="363">
        <f>'Initial unit rates'!J184</f>
        <v>0</v>
      </c>
      <c r="K55" s="363">
        <f>'Initial unit rates'!K184</f>
        <v>0</v>
      </c>
      <c r="L55" s="363">
        <f>'Initial unit rates'!L184</f>
        <v>0</v>
      </c>
      <c r="M55" s="363">
        <f>'Initial unit rates'!M184</f>
        <v>0</v>
      </c>
      <c r="N55" s="363">
        <f>'Initial unit rates'!N184</f>
        <v>0</v>
      </c>
      <c r="O55" s="363">
        <f>'Initial unit rates'!O184</f>
        <v>0</v>
      </c>
      <c r="P55" s="363">
        <f>'Initial unit rates'!P184</f>
        <v>0</v>
      </c>
      <c r="Q55" s="363">
        <f>'Initial unit rates'!Q184</f>
        <v>0</v>
      </c>
      <c r="R55" s="363">
        <f>'Initial unit rates'!R184</f>
        <v>0</v>
      </c>
      <c r="S55" s="363">
        <f>'Initial unit rates'!S184</f>
        <v>0</v>
      </c>
      <c r="T55" s="363">
        <f>'Initial unit rates'!T184</f>
        <v>0</v>
      </c>
      <c r="U55" s="363">
        <f>'Initial unit rates'!U184</f>
        <v>0</v>
      </c>
      <c r="V55" s="363">
        <f>'Initial unit rates'!V184</f>
        <v>0</v>
      </c>
      <c r="W55" s="363">
        <f>'Initial unit rates'!W184</f>
        <v>0</v>
      </c>
      <c r="X55" s="363">
        <f>'Initial unit rates'!X184</f>
        <v>0</v>
      </c>
      <c r="Y55" s="363">
        <f>'Initial unit rates'!Y184</f>
        <v>0</v>
      </c>
      <c r="Z55" s="298"/>
      <c r="AA55" s="298"/>
    </row>
    <row r="56" spans="3:27" x14ac:dyDescent="0.25">
      <c r="D56"/>
      <c r="F56" t="s">
        <v>46</v>
      </c>
      <c r="G56" t="s">
        <v>183</v>
      </c>
      <c r="H56" s="298"/>
      <c r="I56" s="298"/>
      <c r="J56" s="363">
        <f>'Initial unit rates'!J185</f>
        <v>0.15644534534391963</v>
      </c>
      <c r="K56" s="363">
        <f>'Initial unit rates'!K185</f>
        <v>0.15644534534391963</v>
      </c>
      <c r="L56" s="363">
        <f>'Initial unit rates'!L185</f>
        <v>0.18882630664283995</v>
      </c>
      <c r="M56" s="363">
        <f>'Initial unit rates'!M185</f>
        <v>0.18882630664283995</v>
      </c>
      <c r="N56" s="363">
        <f>'Initial unit rates'!N185</f>
        <v>0.15947809677209554</v>
      </c>
      <c r="O56" s="363">
        <f>'Initial unit rates'!O185</f>
        <v>0.13206048319156033</v>
      </c>
      <c r="P56" s="363">
        <f>'Initial unit rates'!P185</f>
        <v>0.12547757228050002</v>
      </c>
      <c r="Q56" s="363">
        <f>'Initial unit rates'!Q185</f>
        <v>0.15339210550845925</v>
      </c>
      <c r="R56" s="363">
        <f>'Initial unit rates'!R185</f>
        <v>-0.12305289706511291</v>
      </c>
      <c r="S56" s="363">
        <f>'Initial unit rates'!S185</f>
        <v>-0.11625993170676732</v>
      </c>
      <c r="T56" s="363">
        <f>'Initial unit rates'!T185</f>
        <v>-0.12305289706511291</v>
      </c>
      <c r="U56" s="363">
        <f>'Initial unit rates'!U185</f>
        <v>-0.12305289706511291</v>
      </c>
      <c r="V56" s="363">
        <f>'Initial unit rates'!V185</f>
        <v>-0.11625993170676732</v>
      </c>
      <c r="W56" s="363">
        <f>'Initial unit rates'!W185</f>
        <v>-0.11625993170676732</v>
      </c>
      <c r="X56" s="363">
        <f>'Initial unit rates'!X185</f>
        <v>-0.11048625748737498</v>
      </c>
      <c r="Y56" s="363">
        <f>'Initial unit rates'!Y185</f>
        <v>-0.11048625748737498</v>
      </c>
      <c r="Z56" s="298"/>
      <c r="AA56" s="298"/>
    </row>
    <row r="57" spans="3:27" x14ac:dyDescent="0.25">
      <c r="D57"/>
      <c r="F57" t="s">
        <v>47</v>
      </c>
      <c r="G57" t="s">
        <v>183</v>
      </c>
      <c r="H57" s="298"/>
      <c r="I57" s="298"/>
      <c r="J57" s="363">
        <f>'Initial unit rates'!J186</f>
        <v>6.1652391015324749E-2</v>
      </c>
      <c r="K57" s="363">
        <f>'Initial unit rates'!K186</f>
        <v>6.1652391015324749E-2</v>
      </c>
      <c r="L57" s="363">
        <f>'Initial unit rates'!L186</f>
        <v>7.4413164965258821E-2</v>
      </c>
      <c r="M57" s="363">
        <f>'Initial unit rates'!M186</f>
        <v>7.4413164965258821E-2</v>
      </c>
      <c r="N57" s="363">
        <f>'Initial unit rates'!N186</f>
        <v>6.2847545633003821E-2</v>
      </c>
      <c r="O57" s="363">
        <f>'Initial unit rates'!O186</f>
        <v>5.2042740737989222E-2</v>
      </c>
      <c r="P57" s="363">
        <f>'Initial unit rates'!P186</f>
        <v>4.3782431204997987E-2</v>
      </c>
      <c r="Q57" s="363">
        <f>'Initial unit rates'!Q186</f>
        <v>5.1196612115567752E-2</v>
      </c>
      <c r="R57" s="363">
        <f>'Initial unit rates'!R186</f>
        <v>-4.8493007629911586E-2</v>
      </c>
      <c r="S57" s="363">
        <f>'Initial unit rates'!S186</f>
        <v>-4.5816018068441357E-2</v>
      </c>
      <c r="T57" s="363">
        <f>'Initial unit rates'!T186</f>
        <v>-4.8493007629911586E-2</v>
      </c>
      <c r="U57" s="363">
        <f>'Initial unit rates'!U186</f>
        <v>-4.8493007629911586E-2</v>
      </c>
      <c r="V57" s="363">
        <f>'Initial unit rates'!V186</f>
        <v>-4.5816018068441357E-2</v>
      </c>
      <c r="W57" s="363">
        <f>'Initial unit rates'!W186</f>
        <v>-4.5816018068441357E-2</v>
      </c>
      <c r="X57" s="363">
        <f>'Initial unit rates'!X186</f>
        <v>-3.8551566464204247E-2</v>
      </c>
      <c r="Y57" s="363">
        <f>'Initial unit rates'!Y186</f>
        <v>-3.8551566464204247E-2</v>
      </c>
      <c r="Z57" s="298"/>
      <c r="AA57" s="298"/>
    </row>
    <row r="58" spans="3:27" x14ac:dyDescent="0.25">
      <c r="D58"/>
      <c r="F58" t="s">
        <v>51</v>
      </c>
      <c r="G58" t="s">
        <v>183</v>
      </c>
      <c r="H58" s="298"/>
      <c r="I58" s="298"/>
      <c r="J58" s="363">
        <f>'Initial unit rates'!J187</f>
        <v>0</v>
      </c>
      <c r="K58" s="363">
        <f>'Initial unit rates'!K187</f>
        <v>0</v>
      </c>
      <c r="L58" s="363">
        <f>'Initial unit rates'!L187</f>
        <v>0</v>
      </c>
      <c r="M58" s="363">
        <f>'Initial unit rates'!M187</f>
        <v>0</v>
      </c>
      <c r="N58" s="363">
        <f>'Initial unit rates'!N187</f>
        <v>0</v>
      </c>
      <c r="O58" s="363">
        <f>'Initial unit rates'!O187</f>
        <v>0</v>
      </c>
      <c r="P58" s="363">
        <f>'Initial unit rates'!P187</f>
        <v>0</v>
      </c>
      <c r="Q58" s="363">
        <f>'Initial unit rates'!Q187</f>
        <v>0</v>
      </c>
      <c r="R58" s="363">
        <f>'Initial unit rates'!R187</f>
        <v>0</v>
      </c>
      <c r="S58" s="363">
        <f>'Initial unit rates'!S187</f>
        <v>0</v>
      </c>
      <c r="T58" s="363">
        <f>'Initial unit rates'!T187</f>
        <v>0</v>
      </c>
      <c r="U58" s="363">
        <f>'Initial unit rates'!U187</f>
        <v>0</v>
      </c>
      <c r="V58" s="363">
        <f>'Initial unit rates'!V187</f>
        <v>0</v>
      </c>
      <c r="W58" s="363">
        <f>'Initial unit rates'!W187</f>
        <v>0</v>
      </c>
      <c r="X58" s="363">
        <f>'Initial unit rates'!X187</f>
        <v>0</v>
      </c>
      <c r="Y58" s="363">
        <f>'Initial unit rates'!Y187</f>
        <v>0</v>
      </c>
      <c r="Z58" s="298"/>
      <c r="AA58" s="298"/>
    </row>
    <row r="59" spans="3:27" x14ac:dyDescent="0.25">
      <c r="D59"/>
      <c r="F59" t="s">
        <v>48</v>
      </c>
      <c r="G59" t="s">
        <v>183</v>
      </c>
      <c r="H59" s="298"/>
      <c r="I59" s="298"/>
      <c r="J59" s="363">
        <f>'Initial unit rates'!J188</f>
        <v>0.21201132621088903</v>
      </c>
      <c r="K59" s="363">
        <f>'Initial unit rates'!K188</f>
        <v>0.21201132621088903</v>
      </c>
      <c r="L59" s="363">
        <f>'Initial unit rates'!L188</f>
        <v>0.25589330003296523</v>
      </c>
      <c r="M59" s="363">
        <f>'Initial unit rates'!M188</f>
        <v>0.25589330003296523</v>
      </c>
      <c r="N59" s="363">
        <f>'Initial unit rates'!N188</f>
        <v>0.21612124492366414</v>
      </c>
      <c r="O59" s="363">
        <f>'Initial unit rates'!O188</f>
        <v>0.17896549187797045</v>
      </c>
      <c r="P59" s="363">
        <f>'Initial unit rates'!P188</f>
        <v>0.12043443416670244</v>
      </c>
      <c r="Q59" s="363">
        <f>'Initial unit rates'!Q188</f>
        <v>0.17605580989434744</v>
      </c>
      <c r="R59" s="363">
        <f>'Initial unit rates'!R188</f>
        <v>-0.16675860725363892</v>
      </c>
      <c r="S59" s="363">
        <f>'Initial unit rates'!S188</f>
        <v>-0.15755292848217109</v>
      </c>
      <c r="T59" s="363">
        <f>'Initial unit rates'!T188</f>
        <v>-0.16675860725363892</v>
      </c>
      <c r="U59" s="363">
        <f>'Initial unit rates'!U188</f>
        <v>-0.16675860725363892</v>
      </c>
      <c r="V59" s="363">
        <f>'Initial unit rates'!V188</f>
        <v>-0.15755292848217109</v>
      </c>
      <c r="W59" s="363">
        <f>'Initial unit rates'!W188</f>
        <v>-0.15755292848217109</v>
      </c>
      <c r="X59" s="363">
        <f>'Initial unit rates'!X188</f>
        <v>0</v>
      </c>
      <c r="Y59" s="363">
        <f>'Initial unit rates'!Y188</f>
        <v>0</v>
      </c>
      <c r="Z59" s="298"/>
      <c r="AA59" s="298"/>
    </row>
    <row r="60" spans="3:27" x14ac:dyDescent="0.25">
      <c r="D60"/>
      <c r="F60" t="s">
        <v>49</v>
      </c>
      <c r="G60" t="s">
        <v>183</v>
      </c>
      <c r="H60" s="298"/>
      <c r="I60" s="298"/>
      <c r="J60" s="363">
        <f>'Initial unit rates'!J189</f>
        <v>4.8682713366996283E-2</v>
      </c>
      <c r="K60" s="363">
        <f>'Initial unit rates'!K189</f>
        <v>4.8682713366996283E-2</v>
      </c>
      <c r="L60" s="363">
        <f>'Initial unit rates'!L189</f>
        <v>5.8759031419142176E-2</v>
      </c>
      <c r="M60" s="363">
        <f>'Initial unit rates'!M189</f>
        <v>5.8759031419142176E-2</v>
      </c>
      <c r="N60" s="363">
        <f>'Initial unit rates'!N189</f>
        <v>4.9626445941248758E-2</v>
      </c>
      <c r="O60" s="363">
        <f>'Initial unit rates'!O189</f>
        <v>4.1094624043869848E-2</v>
      </c>
      <c r="P60" s="363">
        <f>'Initial unit rates'!P189</f>
        <v>0</v>
      </c>
      <c r="Q60" s="363">
        <f>'Initial unit rates'!Q189</f>
        <v>4.0426493635323052E-2</v>
      </c>
      <c r="R60" s="363">
        <f>'Initial unit rates'!R189</f>
        <v>-3.8291640467986714E-2</v>
      </c>
      <c r="S60" s="363">
        <f>'Initial unit rates'!S189</f>
        <v>0</v>
      </c>
      <c r="T60" s="363">
        <f>'Initial unit rates'!T189</f>
        <v>-3.8291640467986714E-2</v>
      </c>
      <c r="U60" s="363">
        <f>'Initial unit rates'!U189</f>
        <v>-3.8291640467986714E-2</v>
      </c>
      <c r="V60" s="363">
        <f>'Initial unit rates'!V189</f>
        <v>0</v>
      </c>
      <c r="W60" s="363">
        <f>'Initial unit rates'!W189</f>
        <v>0</v>
      </c>
      <c r="X60" s="363">
        <f>'Initial unit rates'!X189</f>
        <v>0</v>
      </c>
      <c r="Y60" s="363">
        <f>'Initial unit rates'!Y189</f>
        <v>0</v>
      </c>
      <c r="Z60" s="298"/>
      <c r="AA60" s="298"/>
    </row>
    <row r="61" spans="3:27" x14ac:dyDescent="0.25">
      <c r="D61"/>
      <c r="F61" t="s">
        <v>50</v>
      </c>
      <c r="G61" t="s">
        <v>183</v>
      </c>
      <c r="H61" s="298"/>
      <c r="I61" s="298"/>
      <c r="J61" s="363">
        <f>'Initial unit rates'!J190</f>
        <v>8.5530751637529177E-3</v>
      </c>
      <c r="K61" s="363">
        <f>'Initial unit rates'!K190</f>
        <v>8.5530751637529177E-3</v>
      </c>
      <c r="L61" s="363">
        <f>'Initial unit rates'!L190</f>
        <v>1.0323385397370897E-2</v>
      </c>
      <c r="M61" s="363">
        <f>'Initial unit rates'!M190</f>
        <v>1.0323385397370897E-2</v>
      </c>
      <c r="N61" s="363">
        <f>'Initial unit rates'!N190</f>
        <v>8.7188797190827314E-3</v>
      </c>
      <c r="O61" s="363">
        <f>'Initial unit rates'!O190</f>
        <v>0</v>
      </c>
      <c r="P61" s="363">
        <f>'Initial unit rates'!P190</f>
        <v>0</v>
      </c>
      <c r="Q61" s="363">
        <f>'Initial unit rates'!Q190</f>
        <v>7.1025383499742903E-3</v>
      </c>
      <c r="R61" s="363">
        <f>'Initial unit rates'!R190</f>
        <v>0</v>
      </c>
      <c r="S61" s="363">
        <f>'Initial unit rates'!S190</f>
        <v>0</v>
      </c>
      <c r="T61" s="363">
        <f>'Initial unit rates'!T190</f>
        <v>0</v>
      </c>
      <c r="U61" s="363">
        <f>'Initial unit rates'!U190</f>
        <v>0</v>
      </c>
      <c r="V61" s="363">
        <f>'Initial unit rates'!V190</f>
        <v>0</v>
      </c>
      <c r="W61" s="363">
        <f>'Initial unit rates'!W190</f>
        <v>0</v>
      </c>
      <c r="X61" s="363">
        <f>'Initial unit rates'!X190</f>
        <v>0</v>
      </c>
      <c r="Y61" s="363">
        <f>'Initial unit rates'!Y190</f>
        <v>0</v>
      </c>
      <c r="Z61" s="298"/>
      <c r="AA61" s="298"/>
    </row>
    <row r="62" spans="3:27" x14ac:dyDescent="0.25">
      <c r="D62"/>
      <c r="F62" s="80" t="s">
        <v>124</v>
      </c>
      <c r="G62" s="80" t="s">
        <v>183</v>
      </c>
      <c r="H62" s="296"/>
      <c r="I62" s="296"/>
      <c r="J62" s="308"/>
      <c r="K62" s="308"/>
      <c r="L62" s="308"/>
      <c r="M62" s="308"/>
      <c r="N62" s="308"/>
      <c r="O62" s="308"/>
      <c r="P62" s="308"/>
      <c r="Q62" s="308"/>
      <c r="R62" s="308"/>
      <c r="S62" s="308"/>
      <c r="T62" s="308"/>
      <c r="U62" s="308"/>
      <c r="V62" s="308"/>
      <c r="W62" s="308"/>
      <c r="X62" s="308"/>
      <c r="Y62" s="308"/>
      <c r="Z62" s="298"/>
      <c r="AA62" s="298"/>
    </row>
    <row r="63" spans="3:27" x14ac:dyDescent="0.25">
      <c r="D63"/>
      <c r="F63" s="17" t="s">
        <v>123</v>
      </c>
      <c r="G63" s="17" t="s">
        <v>183</v>
      </c>
      <c r="H63" s="300"/>
      <c r="I63" s="300"/>
      <c r="J63" s="305"/>
      <c r="K63" s="305"/>
      <c r="L63" s="305"/>
      <c r="M63" s="305"/>
      <c r="N63" s="305"/>
      <c r="O63" s="305"/>
      <c r="P63" s="305"/>
      <c r="Q63" s="305"/>
      <c r="R63" s="305"/>
      <c r="S63" s="305"/>
      <c r="T63" s="305"/>
      <c r="U63" s="305"/>
      <c r="V63" s="305"/>
      <c r="W63" s="305"/>
      <c r="X63" s="305"/>
      <c r="Y63" s="305"/>
      <c r="Z63" s="298"/>
      <c r="AA63" s="298"/>
    </row>
    <row r="64" spans="3:27" x14ac:dyDescent="0.25">
      <c r="D64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</row>
    <row r="65" spans="3:27" x14ac:dyDescent="0.25">
      <c r="D65"/>
      <c r="E65" s="52" t="s">
        <v>116</v>
      </c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</row>
    <row r="66" spans="3:27" x14ac:dyDescent="0.25">
      <c r="D66"/>
      <c r="F66" s="80" t="s">
        <v>267</v>
      </c>
      <c r="G66" s="80" t="s">
        <v>183</v>
      </c>
      <c r="H66" s="296"/>
      <c r="I66" s="296"/>
      <c r="J66" s="307">
        <f>'Initial unit rates'!J193</f>
        <v>6.176922403299117E-2</v>
      </c>
      <c r="K66" s="307">
        <f>'Initial unit rates'!K193</f>
        <v>6.176922403299117E-2</v>
      </c>
      <c r="L66" s="307">
        <f>'Initial unit rates'!L193</f>
        <v>7.4554180009019907E-2</v>
      </c>
      <c r="M66" s="307">
        <f>'Initial unit rates'!M193</f>
        <v>7.4554180009019907E-2</v>
      </c>
      <c r="N66" s="307">
        <f>'Initial unit rates'!N193</f>
        <v>6.2966643502337188E-2</v>
      </c>
      <c r="O66" s="307">
        <f>'Initial unit rates'!O193</f>
        <v>5.2141363197684906E-2</v>
      </c>
      <c r="P66" s="307">
        <f>'Initial unit rates'!P193</f>
        <v>5.1132480963184471E-2</v>
      </c>
      <c r="Q66" s="307">
        <f>'Initial unit rates'!Q193</f>
        <v>6.056371513780219E-2</v>
      </c>
      <c r="R66" s="307">
        <f>'Initial unit rates'!R193</f>
        <v>-4.8584903245374671E-2</v>
      </c>
      <c r="S66" s="307">
        <f>'Initial unit rates'!S193</f>
        <v>-4.590284071327707E-2</v>
      </c>
      <c r="T66" s="307">
        <f>'Initial unit rates'!T193</f>
        <v>-4.8584903245374671E-2</v>
      </c>
      <c r="U66" s="307">
        <f>'Initial unit rates'!U193</f>
        <v>-4.8584903245374671E-2</v>
      </c>
      <c r="V66" s="307">
        <f>'Initial unit rates'!V193</f>
        <v>-4.590284071327707E-2</v>
      </c>
      <c r="W66" s="307">
        <f>'Initial unit rates'!W193</f>
        <v>-4.590284071327707E-2</v>
      </c>
      <c r="X66" s="307">
        <f>'Initial unit rates'!X193</f>
        <v>-4.5023475948654905E-2</v>
      </c>
      <c r="Y66" s="307">
        <f>'Initial unit rates'!Y193</f>
        <v>-4.5023475948654905E-2</v>
      </c>
      <c r="Z66" s="298"/>
      <c r="AA66" s="298"/>
    </row>
    <row r="67" spans="3:27" x14ac:dyDescent="0.25">
      <c r="D67"/>
      <c r="F67" t="s">
        <v>43</v>
      </c>
      <c r="G67" t="s">
        <v>183</v>
      </c>
      <c r="H67" s="298"/>
      <c r="I67" s="298"/>
      <c r="J67" s="363">
        <f>'Initial unit rates'!J194</f>
        <v>0</v>
      </c>
      <c r="K67" s="363">
        <f>'Initial unit rates'!K194</f>
        <v>0</v>
      </c>
      <c r="L67" s="363">
        <f>'Initial unit rates'!L194</f>
        <v>0</v>
      </c>
      <c r="M67" s="363">
        <f>'Initial unit rates'!M194</f>
        <v>0</v>
      </c>
      <c r="N67" s="363">
        <f>'Initial unit rates'!N194</f>
        <v>0</v>
      </c>
      <c r="O67" s="363">
        <f>'Initial unit rates'!O194</f>
        <v>0</v>
      </c>
      <c r="P67" s="363">
        <f>'Initial unit rates'!P194</f>
        <v>0</v>
      </c>
      <c r="Q67" s="363">
        <f>'Initial unit rates'!Q194</f>
        <v>0</v>
      </c>
      <c r="R67" s="363">
        <f>'Initial unit rates'!R194</f>
        <v>0</v>
      </c>
      <c r="S67" s="363">
        <f>'Initial unit rates'!S194</f>
        <v>0</v>
      </c>
      <c r="T67" s="363">
        <f>'Initial unit rates'!T194</f>
        <v>0</v>
      </c>
      <c r="U67" s="363">
        <f>'Initial unit rates'!U194</f>
        <v>0</v>
      </c>
      <c r="V67" s="363">
        <f>'Initial unit rates'!V194</f>
        <v>0</v>
      </c>
      <c r="W67" s="363">
        <f>'Initial unit rates'!W194</f>
        <v>0</v>
      </c>
      <c r="X67" s="363">
        <f>'Initial unit rates'!X194</f>
        <v>0</v>
      </c>
      <c r="Y67" s="363">
        <f>'Initial unit rates'!Y194</f>
        <v>0</v>
      </c>
      <c r="Z67" s="298"/>
      <c r="AA67" s="298"/>
    </row>
    <row r="68" spans="3:27" x14ac:dyDescent="0.25">
      <c r="D68"/>
      <c r="F68" t="s">
        <v>44</v>
      </c>
      <c r="G68" t="s">
        <v>183</v>
      </c>
      <c r="H68" s="298"/>
      <c r="I68" s="298"/>
      <c r="J68" s="363">
        <f>'Initial unit rates'!J195</f>
        <v>0</v>
      </c>
      <c r="K68" s="363">
        <f>'Initial unit rates'!K195</f>
        <v>0</v>
      </c>
      <c r="L68" s="363">
        <f>'Initial unit rates'!L195</f>
        <v>0</v>
      </c>
      <c r="M68" s="363">
        <f>'Initial unit rates'!M195</f>
        <v>0</v>
      </c>
      <c r="N68" s="363">
        <f>'Initial unit rates'!N195</f>
        <v>0</v>
      </c>
      <c r="O68" s="363">
        <f>'Initial unit rates'!O195</f>
        <v>0</v>
      </c>
      <c r="P68" s="363">
        <f>'Initial unit rates'!P195</f>
        <v>0</v>
      </c>
      <c r="Q68" s="363">
        <f>'Initial unit rates'!Q195</f>
        <v>0</v>
      </c>
      <c r="R68" s="363">
        <f>'Initial unit rates'!R195</f>
        <v>0</v>
      </c>
      <c r="S68" s="363">
        <f>'Initial unit rates'!S195</f>
        <v>0</v>
      </c>
      <c r="T68" s="363">
        <f>'Initial unit rates'!T195</f>
        <v>0</v>
      </c>
      <c r="U68" s="363">
        <f>'Initial unit rates'!U195</f>
        <v>0</v>
      </c>
      <c r="V68" s="363">
        <f>'Initial unit rates'!V195</f>
        <v>0</v>
      </c>
      <c r="W68" s="363">
        <f>'Initial unit rates'!W195</f>
        <v>0</v>
      </c>
      <c r="X68" s="363">
        <f>'Initial unit rates'!X195</f>
        <v>0</v>
      </c>
      <c r="Y68" s="363">
        <f>'Initial unit rates'!Y195</f>
        <v>0</v>
      </c>
      <c r="Z68" s="298"/>
      <c r="AA68" s="298"/>
    </row>
    <row r="69" spans="3:27" x14ac:dyDescent="0.25">
      <c r="D69"/>
      <c r="F69" t="s">
        <v>45</v>
      </c>
      <c r="G69" t="s">
        <v>183</v>
      </c>
      <c r="H69" s="298"/>
      <c r="I69" s="298"/>
      <c r="J69" s="363">
        <f>'Initial unit rates'!J196</f>
        <v>0</v>
      </c>
      <c r="K69" s="363">
        <f>'Initial unit rates'!K196</f>
        <v>0</v>
      </c>
      <c r="L69" s="363">
        <f>'Initial unit rates'!L196</f>
        <v>0</v>
      </c>
      <c r="M69" s="363">
        <f>'Initial unit rates'!M196</f>
        <v>0</v>
      </c>
      <c r="N69" s="363">
        <f>'Initial unit rates'!N196</f>
        <v>0</v>
      </c>
      <c r="O69" s="363">
        <f>'Initial unit rates'!O196</f>
        <v>0</v>
      </c>
      <c r="P69" s="363">
        <f>'Initial unit rates'!P196</f>
        <v>0</v>
      </c>
      <c r="Q69" s="363">
        <f>'Initial unit rates'!Q196</f>
        <v>0</v>
      </c>
      <c r="R69" s="363">
        <f>'Initial unit rates'!R196</f>
        <v>0</v>
      </c>
      <c r="S69" s="363">
        <f>'Initial unit rates'!S196</f>
        <v>0</v>
      </c>
      <c r="T69" s="363">
        <f>'Initial unit rates'!T196</f>
        <v>0</v>
      </c>
      <c r="U69" s="363">
        <f>'Initial unit rates'!U196</f>
        <v>0</v>
      </c>
      <c r="V69" s="363">
        <f>'Initial unit rates'!V196</f>
        <v>0</v>
      </c>
      <c r="W69" s="363">
        <f>'Initial unit rates'!W196</f>
        <v>0</v>
      </c>
      <c r="X69" s="363">
        <f>'Initial unit rates'!X196</f>
        <v>0</v>
      </c>
      <c r="Y69" s="363">
        <f>'Initial unit rates'!Y196</f>
        <v>0</v>
      </c>
      <c r="Z69" s="298"/>
      <c r="AA69" s="298"/>
    </row>
    <row r="70" spans="3:27" x14ac:dyDescent="0.25">
      <c r="D70"/>
      <c r="F70" t="s">
        <v>46</v>
      </c>
      <c r="G70" t="s">
        <v>183</v>
      </c>
      <c r="H70" s="298"/>
      <c r="I70" s="298"/>
      <c r="J70" s="363">
        <f>'Initial unit rates'!J197</f>
        <v>0.11735683409563366</v>
      </c>
      <c r="K70" s="363">
        <f>'Initial unit rates'!K197</f>
        <v>0.11735683409563366</v>
      </c>
      <c r="L70" s="363">
        <f>'Initial unit rates'!L197</f>
        <v>0.14164727939242766</v>
      </c>
      <c r="M70" s="363">
        <f>'Initial unit rates'!M197</f>
        <v>0.14164727939242766</v>
      </c>
      <c r="N70" s="363">
        <f>'Initial unit rates'!N197</f>
        <v>0.11963184013961224</v>
      </c>
      <c r="O70" s="363">
        <f>'Initial unit rates'!O197</f>
        <v>9.9064629774896093E-2</v>
      </c>
      <c r="P70" s="363">
        <f>'Initial unit rates'!P197</f>
        <v>9.7147830157127496E-2</v>
      </c>
      <c r="Q70" s="363">
        <f>'Initial unit rates'!Q197</f>
        <v>0.1150664587569708</v>
      </c>
      <c r="R70" s="363">
        <f>'Initial unit rates'!R197</f>
        <v>-9.2307625989837772E-2</v>
      </c>
      <c r="S70" s="363">
        <f>'Initial unit rates'!S197</f>
        <v>-8.7211910889946273E-2</v>
      </c>
      <c r="T70" s="363">
        <f>'Initial unit rates'!T197</f>
        <v>-9.2307625989837772E-2</v>
      </c>
      <c r="U70" s="363">
        <f>'Initial unit rates'!U197</f>
        <v>-9.2307625989837772E-2</v>
      </c>
      <c r="V70" s="363">
        <f>'Initial unit rates'!V197</f>
        <v>-8.7211910889946273E-2</v>
      </c>
      <c r="W70" s="363">
        <f>'Initial unit rates'!W197</f>
        <v>-8.7211910889946273E-2</v>
      </c>
      <c r="X70" s="363">
        <f>'Initial unit rates'!X197</f>
        <v>-8.5541184627686756E-2</v>
      </c>
      <c r="Y70" s="363">
        <f>'Initial unit rates'!Y197</f>
        <v>-8.5541184627686756E-2</v>
      </c>
      <c r="Z70" s="298"/>
      <c r="AA70" s="298"/>
    </row>
    <row r="71" spans="3:27" x14ac:dyDescent="0.25">
      <c r="D71"/>
      <c r="F71" t="s">
        <v>47</v>
      </c>
      <c r="G71" t="s">
        <v>183</v>
      </c>
      <c r="H71" s="298"/>
      <c r="I71" s="298"/>
      <c r="J71" s="363">
        <f>'Initial unit rates'!J198</f>
        <v>4.6248288231771344E-2</v>
      </c>
      <c r="K71" s="363">
        <f>'Initial unit rates'!K198</f>
        <v>4.6248288231771344E-2</v>
      </c>
      <c r="L71" s="363">
        <f>'Initial unit rates'!L198</f>
        <v>5.5820730467634277E-2</v>
      </c>
      <c r="M71" s="363">
        <f>'Initial unit rates'!M198</f>
        <v>5.5820730467634277E-2</v>
      </c>
      <c r="N71" s="363">
        <f>'Initial unit rates'!N198</f>
        <v>4.714482856588776E-2</v>
      </c>
      <c r="O71" s="363">
        <f>'Initial unit rates'!O198</f>
        <v>3.9039648493496414E-2</v>
      </c>
      <c r="P71" s="363">
        <f>'Initial unit rates'!P198</f>
        <v>3.8284271085028902E-2</v>
      </c>
      <c r="Q71" s="363">
        <f>'Initial unit rates'!Q198</f>
        <v>3.8404928578072969E-2</v>
      </c>
      <c r="R71" s="363">
        <f>'Initial unit rates'!R198</f>
        <v>-3.6376830762916763E-2</v>
      </c>
      <c r="S71" s="363">
        <f>'Initial unit rates'!S198</f>
        <v>-3.4368698023968421E-2</v>
      </c>
      <c r="T71" s="363">
        <f>'Initial unit rates'!T198</f>
        <v>-3.6376830762916763E-2</v>
      </c>
      <c r="U71" s="363">
        <f>'Initial unit rates'!U198</f>
        <v>-3.6376830762916763E-2</v>
      </c>
      <c r="V71" s="363">
        <f>'Initial unit rates'!V198</f>
        <v>-3.4368698023968421E-2</v>
      </c>
      <c r="W71" s="363">
        <f>'Initial unit rates'!W198</f>
        <v>-3.4368698023968421E-2</v>
      </c>
      <c r="X71" s="363">
        <f>'Initial unit rates'!X198</f>
        <v>-3.3710293847264032E-2</v>
      </c>
      <c r="Y71" s="363">
        <f>'Initial unit rates'!Y198</f>
        <v>-3.3710293847264032E-2</v>
      </c>
      <c r="Z71" s="298"/>
      <c r="AA71" s="298"/>
    </row>
    <row r="72" spans="3:27" x14ac:dyDescent="0.25">
      <c r="D72"/>
      <c r="F72" t="s">
        <v>51</v>
      </c>
      <c r="G72" t="s">
        <v>183</v>
      </c>
      <c r="H72" s="298"/>
      <c r="I72" s="298"/>
      <c r="J72" s="363">
        <f>'Initial unit rates'!J199</f>
        <v>0</v>
      </c>
      <c r="K72" s="363">
        <f>'Initial unit rates'!K199</f>
        <v>0</v>
      </c>
      <c r="L72" s="363">
        <f>'Initial unit rates'!L199</f>
        <v>0</v>
      </c>
      <c r="M72" s="363">
        <f>'Initial unit rates'!M199</f>
        <v>0</v>
      </c>
      <c r="N72" s="363">
        <f>'Initial unit rates'!N199</f>
        <v>0</v>
      </c>
      <c r="O72" s="363">
        <f>'Initial unit rates'!O199</f>
        <v>0</v>
      </c>
      <c r="P72" s="363">
        <f>'Initial unit rates'!P199</f>
        <v>0</v>
      </c>
      <c r="Q72" s="363">
        <f>'Initial unit rates'!Q199</f>
        <v>0</v>
      </c>
      <c r="R72" s="363">
        <f>'Initial unit rates'!R199</f>
        <v>0</v>
      </c>
      <c r="S72" s="363">
        <f>'Initial unit rates'!S199</f>
        <v>0</v>
      </c>
      <c r="T72" s="363">
        <f>'Initial unit rates'!T199</f>
        <v>0</v>
      </c>
      <c r="U72" s="363">
        <f>'Initial unit rates'!U199</f>
        <v>0</v>
      </c>
      <c r="V72" s="363">
        <f>'Initial unit rates'!V199</f>
        <v>0</v>
      </c>
      <c r="W72" s="363">
        <f>'Initial unit rates'!W199</f>
        <v>0</v>
      </c>
      <c r="X72" s="363">
        <f>'Initial unit rates'!X199</f>
        <v>0</v>
      </c>
      <c r="Y72" s="363">
        <f>'Initial unit rates'!Y199</f>
        <v>0</v>
      </c>
      <c r="Z72" s="298"/>
      <c r="AA72" s="298"/>
    </row>
    <row r="73" spans="3:27" x14ac:dyDescent="0.25">
      <c r="D73"/>
      <c r="F73" t="s">
        <v>48</v>
      </c>
      <c r="G73" t="s">
        <v>183</v>
      </c>
      <c r="H73" s="298"/>
      <c r="I73" s="298"/>
      <c r="J73" s="363">
        <f>'Initial unit rates'!J200</f>
        <v>0.19896143159922605</v>
      </c>
      <c r="K73" s="363">
        <f>'Initial unit rates'!K200</f>
        <v>0.19896143159922605</v>
      </c>
      <c r="L73" s="363">
        <f>'Initial unit rates'!L200</f>
        <v>0.24014234626581063</v>
      </c>
      <c r="M73" s="363">
        <f>'Initial unit rates'!M200</f>
        <v>0.24014234626581063</v>
      </c>
      <c r="N73" s="363">
        <f>'Initial unit rates'!N200</f>
        <v>0.20281837323279137</v>
      </c>
      <c r="O73" s="363">
        <f>'Initial unit rates'!O200</f>
        <v>0.16794966149818763</v>
      </c>
      <c r="P73" s="363">
        <f>'Initial unit rates'!P200</f>
        <v>0.16470000672538329</v>
      </c>
      <c r="Q73" s="363">
        <f>'Initial unit rates'!Q200</f>
        <v>0.16521907864062724</v>
      </c>
      <c r="R73" s="363">
        <f>'Initial unit rates'!R200</f>
        <v>-0.15649414502352663</v>
      </c>
      <c r="S73" s="363">
        <f>'Initial unit rates'!S200</f>
        <v>-0.14785510172358532</v>
      </c>
      <c r="T73" s="363">
        <f>'Initial unit rates'!T200</f>
        <v>-0.15649414502352663</v>
      </c>
      <c r="U73" s="363">
        <f>'Initial unit rates'!U200</f>
        <v>-0.15649414502352663</v>
      </c>
      <c r="V73" s="363">
        <f>'Initial unit rates'!V200</f>
        <v>-0.14785510172358532</v>
      </c>
      <c r="W73" s="363">
        <f>'Initial unit rates'!W200</f>
        <v>-0.14785510172358532</v>
      </c>
      <c r="X73" s="363">
        <f>'Initial unit rates'!X200</f>
        <v>0</v>
      </c>
      <c r="Y73" s="363">
        <f>'Initial unit rates'!Y200</f>
        <v>0</v>
      </c>
      <c r="Z73" s="298"/>
      <c r="AA73" s="298"/>
    </row>
    <row r="74" spans="3:27" x14ac:dyDescent="0.25">
      <c r="D74"/>
      <c r="F74" t="s">
        <v>49</v>
      </c>
      <c r="G74" t="s">
        <v>183</v>
      </c>
      <c r="H74" s="298"/>
      <c r="I74" s="298"/>
      <c r="J74" s="363">
        <f>'Initial unit rates'!J201</f>
        <v>5.0004641438467709E-2</v>
      </c>
      <c r="K74" s="363">
        <f>'Initial unit rates'!K201</f>
        <v>5.0004641438467709E-2</v>
      </c>
      <c r="L74" s="363">
        <f>'Initial unit rates'!L201</f>
        <v>6.035457134929928E-2</v>
      </c>
      <c r="M74" s="363">
        <f>'Initial unit rates'!M201</f>
        <v>6.035457134929928E-2</v>
      </c>
      <c r="N74" s="363">
        <f>'Initial unit rates'!N201</f>
        <v>5.0974000081925944E-2</v>
      </c>
      <c r="O74" s="363">
        <f>'Initial unit rates'!O201</f>
        <v>4.2210505500612658E-2</v>
      </c>
      <c r="P74" s="363">
        <f>'Initial unit rates'!P201</f>
        <v>0</v>
      </c>
      <c r="Q74" s="363">
        <f>'Initial unit rates'!Q201</f>
        <v>4.1524232710892409E-2</v>
      </c>
      <c r="R74" s="363">
        <f>'Initial unit rates'!R201</f>
        <v>-3.9331409842707707E-2</v>
      </c>
      <c r="S74" s="363">
        <f>'Initial unit rates'!S201</f>
        <v>0</v>
      </c>
      <c r="T74" s="363">
        <f>'Initial unit rates'!T201</f>
        <v>-3.9331409842707707E-2</v>
      </c>
      <c r="U74" s="363">
        <f>'Initial unit rates'!U201</f>
        <v>-3.9331409842707707E-2</v>
      </c>
      <c r="V74" s="363">
        <f>'Initial unit rates'!V201</f>
        <v>0</v>
      </c>
      <c r="W74" s="363">
        <f>'Initial unit rates'!W201</f>
        <v>0</v>
      </c>
      <c r="X74" s="363">
        <f>'Initial unit rates'!X201</f>
        <v>0</v>
      </c>
      <c r="Y74" s="363">
        <f>'Initial unit rates'!Y201</f>
        <v>0</v>
      </c>
      <c r="Z74" s="298"/>
      <c r="AA74" s="298"/>
    </row>
    <row r="75" spans="3:27" x14ac:dyDescent="0.25">
      <c r="D75"/>
      <c r="F75" t="s">
        <v>50</v>
      </c>
      <c r="G75" t="s">
        <v>183</v>
      </c>
      <c r="H75" s="298"/>
      <c r="I75" s="298"/>
      <c r="J75" s="363">
        <f>'Initial unit rates'!J202</f>
        <v>8.4109387843554498E-2</v>
      </c>
      <c r="K75" s="363">
        <f>'Initial unit rates'!K202</f>
        <v>8.4109387843554498E-2</v>
      </c>
      <c r="L75" s="363">
        <f>'Initial unit rates'!L202</f>
        <v>0.10151829717640008</v>
      </c>
      <c r="M75" s="363">
        <f>'Initial unit rates'!M202</f>
        <v>0.10151829717640008</v>
      </c>
      <c r="N75" s="363">
        <f>'Initial unit rates'!N202</f>
        <v>8.5739879729041929E-2</v>
      </c>
      <c r="O75" s="363">
        <f>'Initial unit rates'!O202</f>
        <v>0</v>
      </c>
      <c r="P75" s="363">
        <f>'Initial unit rates'!P202</f>
        <v>0</v>
      </c>
      <c r="Q75" s="363">
        <f>'Initial unit rates'!Q202</f>
        <v>6.9845072247627038E-2</v>
      </c>
      <c r="R75" s="363">
        <f>'Initial unit rates'!R202</f>
        <v>0</v>
      </c>
      <c r="S75" s="363">
        <f>'Initial unit rates'!S202</f>
        <v>0</v>
      </c>
      <c r="T75" s="363">
        <f>'Initial unit rates'!T202</f>
        <v>0</v>
      </c>
      <c r="U75" s="363">
        <f>'Initial unit rates'!U202</f>
        <v>0</v>
      </c>
      <c r="V75" s="363">
        <f>'Initial unit rates'!V202</f>
        <v>0</v>
      </c>
      <c r="W75" s="363">
        <f>'Initial unit rates'!W202</f>
        <v>0</v>
      </c>
      <c r="X75" s="363">
        <f>'Initial unit rates'!X202</f>
        <v>0</v>
      </c>
      <c r="Y75" s="363">
        <f>'Initial unit rates'!Y202</f>
        <v>0</v>
      </c>
      <c r="Z75" s="298"/>
      <c r="AA75" s="298"/>
    </row>
    <row r="76" spans="3:27" x14ac:dyDescent="0.25">
      <c r="D76"/>
      <c r="F76" s="80" t="s">
        <v>124</v>
      </c>
      <c r="G76" s="80" t="s">
        <v>183</v>
      </c>
      <c r="H76" s="296"/>
      <c r="I76" s="296" t="s">
        <v>359</v>
      </c>
      <c r="J76" s="308"/>
      <c r="K76" s="308"/>
      <c r="L76" s="308"/>
      <c r="M76" s="308"/>
      <c r="N76" s="308"/>
      <c r="O76" s="308"/>
      <c r="P76" s="308"/>
      <c r="Q76" s="307">
        <f>'Service model charges'!$Q$44</f>
        <v>0.4392137814844751</v>
      </c>
      <c r="R76" s="308"/>
      <c r="S76" s="308"/>
      <c r="T76" s="308"/>
      <c r="U76" s="308"/>
      <c r="V76" s="308"/>
      <c r="W76" s="308"/>
      <c r="X76" s="308"/>
      <c r="Y76" s="308"/>
      <c r="Z76" s="298"/>
      <c r="AA76" s="298" t="s">
        <v>728</v>
      </c>
    </row>
    <row r="77" spans="3:27" x14ac:dyDescent="0.25">
      <c r="D77"/>
      <c r="F77" s="17" t="s">
        <v>123</v>
      </c>
      <c r="G77" s="17" t="s">
        <v>183</v>
      </c>
      <c r="H77" s="300"/>
      <c r="I77" s="300"/>
      <c r="J77" s="305"/>
      <c r="K77" s="305"/>
      <c r="L77" s="305"/>
      <c r="M77" s="305"/>
      <c r="N77" s="305"/>
      <c r="O77" s="305"/>
      <c r="P77" s="305"/>
      <c r="Q77" s="305"/>
      <c r="R77" s="305"/>
      <c r="S77" s="305"/>
      <c r="T77" s="305"/>
      <c r="U77" s="305"/>
      <c r="V77" s="305"/>
      <c r="W77" s="305"/>
      <c r="X77" s="305"/>
      <c r="Y77" s="305"/>
      <c r="Z77" s="298"/>
      <c r="AA77" s="298"/>
    </row>
    <row r="78" spans="3:27" x14ac:dyDescent="0.25">
      <c r="J78" s="211"/>
      <c r="K78" s="211"/>
      <c r="L78" s="211"/>
      <c r="M78" s="211"/>
      <c r="N78" s="211"/>
      <c r="O78" s="211"/>
      <c r="P78" s="211"/>
      <c r="Q78" s="211"/>
      <c r="R78" s="211"/>
      <c r="S78" s="211"/>
      <c r="T78" s="211"/>
      <c r="U78" s="211"/>
      <c r="V78" s="211"/>
      <c r="W78" s="211"/>
      <c r="X78" s="211"/>
      <c r="Y78" s="211"/>
    </row>
    <row r="79" spans="3:27" x14ac:dyDescent="0.25">
      <c r="C79" s="5" t="str">
        <f ca="1">INDEX('Version control'!$H$36:$H$62,MATCH($A$1,'Version control'!$F$36:$F$62,0),1)&amp;"-C: Initial unit rate 3"</f>
        <v>Section 514-C: Initial unit rate 3</v>
      </c>
      <c r="D79" s="5"/>
      <c r="E79" s="5"/>
      <c r="F79" s="5"/>
      <c r="G79" s="5"/>
      <c r="H79" s="5"/>
      <c r="I79" s="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5"/>
      <c r="AA79" s="5"/>
    </row>
    <row r="80" spans="3:27" x14ac:dyDescent="0.25">
      <c r="D80" s="52"/>
      <c r="E80" s="52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</row>
    <row r="81" spans="4:27" x14ac:dyDescent="0.25">
      <c r="D81"/>
      <c r="E81" s="52" t="s">
        <v>139</v>
      </c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</row>
    <row r="82" spans="4:27" x14ac:dyDescent="0.25">
      <c r="D82"/>
      <c r="F82" s="80" t="s">
        <v>267</v>
      </c>
      <c r="G82" s="80" t="s">
        <v>183</v>
      </c>
      <c r="H82" s="296"/>
      <c r="I82" s="296"/>
      <c r="J82" s="307">
        <f>'Initial unit rates'!J210</f>
        <v>0</v>
      </c>
      <c r="K82" s="307">
        <f>'Initial unit rates'!K210</f>
        <v>0</v>
      </c>
      <c r="L82" s="307">
        <f>'Initial unit rates'!L210</f>
        <v>0</v>
      </c>
      <c r="M82" s="307">
        <f>'Initial unit rates'!M210</f>
        <v>0</v>
      </c>
      <c r="N82" s="307">
        <f>'Initial unit rates'!N210</f>
        <v>0</v>
      </c>
      <c r="O82" s="307">
        <f>'Initial unit rates'!O210</f>
        <v>0</v>
      </c>
      <c r="P82" s="307">
        <f>'Initial unit rates'!P210</f>
        <v>0</v>
      </c>
      <c r="Q82" s="307">
        <f>'Initial unit rates'!Q210</f>
        <v>0</v>
      </c>
      <c r="R82" s="307">
        <f>'Initial unit rates'!R210</f>
        <v>0</v>
      </c>
      <c r="S82" s="307">
        <f>'Initial unit rates'!S210</f>
        <v>0</v>
      </c>
      <c r="T82" s="307">
        <f>'Initial unit rates'!T210</f>
        <v>0</v>
      </c>
      <c r="U82" s="307">
        <f>'Initial unit rates'!U210</f>
        <v>0</v>
      </c>
      <c r="V82" s="307">
        <f>'Initial unit rates'!V210</f>
        <v>0</v>
      </c>
      <c r="W82" s="307">
        <f>'Initial unit rates'!W210</f>
        <v>0</v>
      </c>
      <c r="X82" s="307">
        <f>'Initial unit rates'!X210</f>
        <v>0</v>
      </c>
      <c r="Y82" s="307">
        <f>'Initial unit rates'!Y210</f>
        <v>0</v>
      </c>
      <c r="Z82" s="298"/>
      <c r="AA82" s="298"/>
    </row>
    <row r="83" spans="4:27" x14ac:dyDescent="0.25">
      <c r="D83"/>
      <c r="F83" t="s">
        <v>43</v>
      </c>
      <c r="G83" t="s">
        <v>183</v>
      </c>
      <c r="H83" s="298"/>
      <c r="I83" s="298"/>
      <c r="J83" s="363">
        <f>'Initial unit rates'!J211</f>
        <v>0</v>
      </c>
      <c r="K83" s="363">
        <f>'Initial unit rates'!K211</f>
        <v>0</v>
      </c>
      <c r="L83" s="363">
        <f>'Initial unit rates'!L211</f>
        <v>0</v>
      </c>
      <c r="M83" s="363">
        <f>'Initial unit rates'!M211</f>
        <v>0</v>
      </c>
      <c r="N83" s="363">
        <f>'Initial unit rates'!N211</f>
        <v>0</v>
      </c>
      <c r="O83" s="363">
        <f>'Initial unit rates'!O211</f>
        <v>0</v>
      </c>
      <c r="P83" s="363">
        <f>'Initial unit rates'!P211</f>
        <v>0</v>
      </c>
      <c r="Q83" s="363">
        <f>'Initial unit rates'!Q211</f>
        <v>0</v>
      </c>
      <c r="R83" s="363">
        <f>'Initial unit rates'!R211</f>
        <v>0</v>
      </c>
      <c r="S83" s="363">
        <f>'Initial unit rates'!S211</f>
        <v>0</v>
      </c>
      <c r="T83" s="363">
        <f>'Initial unit rates'!T211</f>
        <v>0</v>
      </c>
      <c r="U83" s="363">
        <f>'Initial unit rates'!U211</f>
        <v>0</v>
      </c>
      <c r="V83" s="363">
        <f>'Initial unit rates'!V211</f>
        <v>0</v>
      </c>
      <c r="W83" s="363">
        <f>'Initial unit rates'!W211</f>
        <v>0</v>
      </c>
      <c r="X83" s="363">
        <f>'Initial unit rates'!X211</f>
        <v>0</v>
      </c>
      <c r="Y83" s="363">
        <f>'Initial unit rates'!Y211</f>
        <v>0</v>
      </c>
      <c r="Z83" s="298"/>
      <c r="AA83" s="298"/>
    </row>
    <row r="84" spans="4:27" x14ac:dyDescent="0.25">
      <c r="D84"/>
      <c r="F84" t="s">
        <v>44</v>
      </c>
      <c r="G84" t="s">
        <v>183</v>
      </c>
      <c r="H84" s="298"/>
      <c r="I84" s="298"/>
      <c r="J84" s="363">
        <f>'Initial unit rates'!J212</f>
        <v>0</v>
      </c>
      <c r="K84" s="363">
        <f>'Initial unit rates'!K212</f>
        <v>0</v>
      </c>
      <c r="L84" s="363">
        <f>'Initial unit rates'!L212</f>
        <v>0</v>
      </c>
      <c r="M84" s="363">
        <f>'Initial unit rates'!M212</f>
        <v>0</v>
      </c>
      <c r="N84" s="363">
        <f>'Initial unit rates'!N212</f>
        <v>0</v>
      </c>
      <c r="O84" s="363">
        <f>'Initial unit rates'!O212</f>
        <v>0</v>
      </c>
      <c r="P84" s="363">
        <f>'Initial unit rates'!P212</f>
        <v>0</v>
      </c>
      <c r="Q84" s="363">
        <f>'Initial unit rates'!Q212</f>
        <v>0</v>
      </c>
      <c r="R84" s="363">
        <f>'Initial unit rates'!R212</f>
        <v>0</v>
      </c>
      <c r="S84" s="363">
        <f>'Initial unit rates'!S212</f>
        <v>0</v>
      </c>
      <c r="T84" s="363">
        <f>'Initial unit rates'!T212</f>
        <v>0</v>
      </c>
      <c r="U84" s="363">
        <f>'Initial unit rates'!U212</f>
        <v>0</v>
      </c>
      <c r="V84" s="363">
        <f>'Initial unit rates'!V212</f>
        <v>0</v>
      </c>
      <c r="W84" s="363">
        <f>'Initial unit rates'!W212</f>
        <v>0</v>
      </c>
      <c r="X84" s="363">
        <f>'Initial unit rates'!X212</f>
        <v>0</v>
      </c>
      <c r="Y84" s="363">
        <f>'Initial unit rates'!Y212</f>
        <v>0</v>
      </c>
      <c r="Z84" s="298"/>
      <c r="AA84" s="298"/>
    </row>
    <row r="85" spans="4:27" x14ac:dyDescent="0.25">
      <c r="D85"/>
      <c r="F85" t="s">
        <v>45</v>
      </c>
      <c r="G85" t="s">
        <v>183</v>
      </c>
      <c r="H85" s="298"/>
      <c r="I85" s="298"/>
      <c r="J85" s="363">
        <f>'Initial unit rates'!J213</f>
        <v>0</v>
      </c>
      <c r="K85" s="363">
        <f>'Initial unit rates'!K213</f>
        <v>0</v>
      </c>
      <c r="L85" s="363">
        <f>'Initial unit rates'!L213</f>
        <v>0</v>
      </c>
      <c r="M85" s="363">
        <f>'Initial unit rates'!M213</f>
        <v>0</v>
      </c>
      <c r="N85" s="363">
        <f>'Initial unit rates'!N213</f>
        <v>0</v>
      </c>
      <c r="O85" s="363">
        <f>'Initial unit rates'!O213</f>
        <v>0</v>
      </c>
      <c r="P85" s="363">
        <f>'Initial unit rates'!P213</f>
        <v>0</v>
      </c>
      <c r="Q85" s="363">
        <f>'Initial unit rates'!Q213</f>
        <v>0</v>
      </c>
      <c r="R85" s="363">
        <f>'Initial unit rates'!R213</f>
        <v>0</v>
      </c>
      <c r="S85" s="363">
        <f>'Initial unit rates'!S213</f>
        <v>0</v>
      </c>
      <c r="T85" s="363">
        <f>'Initial unit rates'!T213</f>
        <v>0</v>
      </c>
      <c r="U85" s="363">
        <f>'Initial unit rates'!U213</f>
        <v>0</v>
      </c>
      <c r="V85" s="363">
        <f>'Initial unit rates'!V213</f>
        <v>0</v>
      </c>
      <c r="W85" s="363">
        <f>'Initial unit rates'!W213</f>
        <v>0</v>
      </c>
      <c r="X85" s="363">
        <f>'Initial unit rates'!X213</f>
        <v>0</v>
      </c>
      <c r="Y85" s="363">
        <f>'Initial unit rates'!Y213</f>
        <v>0</v>
      </c>
      <c r="Z85" s="298"/>
      <c r="AA85" s="298"/>
    </row>
    <row r="86" spans="4:27" x14ac:dyDescent="0.25">
      <c r="D86"/>
      <c r="F86" t="s">
        <v>46</v>
      </c>
      <c r="G86" t="s">
        <v>183</v>
      </c>
      <c r="H86" s="298"/>
      <c r="I86" s="298"/>
      <c r="J86" s="363">
        <f>'Initial unit rates'!J214</f>
        <v>2.1669689513771889E-3</v>
      </c>
      <c r="K86" s="363">
        <f>'Initial unit rates'!K214</f>
        <v>2.1669689513771889E-3</v>
      </c>
      <c r="L86" s="363">
        <f>'Initial unit rates'!L214</f>
        <v>2.6154868513265455E-3</v>
      </c>
      <c r="M86" s="363">
        <f>'Initial unit rates'!M214</f>
        <v>2.6154868513265455E-3</v>
      </c>
      <c r="N86" s="363">
        <f>'Initial unit rates'!N214</f>
        <v>2.2089764535349219E-3</v>
      </c>
      <c r="O86" s="363">
        <f>'Initial unit rates'!O214</f>
        <v>1.8292072937732985E-3</v>
      </c>
      <c r="P86" s="363">
        <f>'Initial unit rates'!P214</f>
        <v>1.7380255234074843E-3</v>
      </c>
      <c r="Q86" s="363">
        <f>'Initial unit rates'!Q214</f>
        <v>1.9261435620907136E-3</v>
      </c>
      <c r="R86" s="363">
        <f>'Initial unit rates'!R214</f>
        <v>-1.7044406577320808E-3</v>
      </c>
      <c r="S86" s="363">
        <f>'Initial unit rates'!S214</f>
        <v>-1.6103493635043369E-3</v>
      </c>
      <c r="T86" s="363">
        <f>'Initial unit rates'!T214</f>
        <v>-1.7044406577320808E-3</v>
      </c>
      <c r="U86" s="363">
        <f>'Initial unit rates'!U214</f>
        <v>-1.7044406577320808E-3</v>
      </c>
      <c r="V86" s="363">
        <f>'Initial unit rates'!V214</f>
        <v>-1.6103493635043369E-3</v>
      </c>
      <c r="W86" s="363">
        <f>'Initial unit rates'!W214</f>
        <v>-1.6103493635043369E-3</v>
      </c>
      <c r="X86" s="363">
        <f>'Initial unit rates'!X214</f>
        <v>-1.5303765605980829E-3</v>
      </c>
      <c r="Y86" s="363">
        <f>'Initial unit rates'!Y214</f>
        <v>-1.5303765605980829E-3</v>
      </c>
      <c r="Z86" s="298"/>
      <c r="AA86" s="298"/>
    </row>
    <row r="87" spans="4:27" x14ac:dyDescent="0.25">
      <c r="D87"/>
      <c r="F87" t="s">
        <v>47</v>
      </c>
      <c r="G87" t="s">
        <v>183</v>
      </c>
      <c r="H87" s="298"/>
      <c r="I87" s="298"/>
      <c r="J87" s="363">
        <f>'Initial unit rates'!J215</f>
        <v>1.2334398103686305E-3</v>
      </c>
      <c r="K87" s="363">
        <f>'Initial unit rates'!K215</f>
        <v>1.2334398103686305E-3</v>
      </c>
      <c r="L87" s="363">
        <f>'Initial unit rates'!L215</f>
        <v>1.4887364232291328E-3</v>
      </c>
      <c r="M87" s="363">
        <f>'Initial unit rates'!M215</f>
        <v>1.4887364232291328E-3</v>
      </c>
      <c r="N87" s="363">
        <f>'Initial unit rates'!N215</f>
        <v>1.2573505015959156E-3</v>
      </c>
      <c r="O87" s="363">
        <f>'Initial unit rates'!O215</f>
        <v>1.0411857060170357E-3</v>
      </c>
      <c r="P87" s="363">
        <f>'Initial unit rates'!P215</f>
        <v>8.7592699575182698E-4</v>
      </c>
      <c r="Q87" s="363">
        <f>'Initial unit rates'!Q215</f>
        <v>1.0963618784007175E-3</v>
      </c>
      <c r="R87" s="363">
        <f>'Initial unit rates'!R215</f>
        <v>-9.7016847441285957E-4</v>
      </c>
      <c r="S87" s="363">
        <f>'Initial unit rates'!S215</f>
        <v>-9.1661166270319051E-4</v>
      </c>
      <c r="T87" s="363">
        <f>'Initial unit rates'!T215</f>
        <v>-9.7016847441285957E-4</v>
      </c>
      <c r="U87" s="363">
        <f>'Initial unit rates'!U215</f>
        <v>-9.7016847441285957E-4</v>
      </c>
      <c r="V87" s="363">
        <f>'Initial unit rates'!V215</f>
        <v>-9.1661166270319051E-4</v>
      </c>
      <c r="W87" s="363">
        <f>'Initial unit rates'!W215</f>
        <v>-9.1661166270319051E-4</v>
      </c>
      <c r="X87" s="363">
        <f>'Initial unit rates'!X215</f>
        <v>-7.7127644274497208E-4</v>
      </c>
      <c r="Y87" s="363">
        <f>'Initial unit rates'!Y215</f>
        <v>-7.7127644274497208E-4</v>
      </c>
      <c r="Z87" s="298"/>
      <c r="AA87" s="298"/>
    </row>
    <row r="88" spans="4:27" x14ac:dyDescent="0.25">
      <c r="D88"/>
      <c r="F88" t="s">
        <v>51</v>
      </c>
      <c r="G88" t="s">
        <v>183</v>
      </c>
      <c r="H88" s="298"/>
      <c r="I88" s="298"/>
      <c r="J88" s="363">
        <f>'Initial unit rates'!J216</f>
        <v>0</v>
      </c>
      <c r="K88" s="363">
        <f>'Initial unit rates'!K216</f>
        <v>0</v>
      </c>
      <c r="L88" s="363">
        <f>'Initial unit rates'!L216</f>
        <v>0</v>
      </c>
      <c r="M88" s="363">
        <f>'Initial unit rates'!M216</f>
        <v>0</v>
      </c>
      <c r="N88" s="363">
        <f>'Initial unit rates'!N216</f>
        <v>0</v>
      </c>
      <c r="O88" s="363">
        <f>'Initial unit rates'!O216</f>
        <v>0</v>
      </c>
      <c r="P88" s="363">
        <f>'Initial unit rates'!P216</f>
        <v>0</v>
      </c>
      <c r="Q88" s="363">
        <f>'Initial unit rates'!Q216</f>
        <v>0</v>
      </c>
      <c r="R88" s="363">
        <f>'Initial unit rates'!R216</f>
        <v>0</v>
      </c>
      <c r="S88" s="363">
        <f>'Initial unit rates'!S216</f>
        <v>0</v>
      </c>
      <c r="T88" s="363">
        <f>'Initial unit rates'!T216</f>
        <v>0</v>
      </c>
      <c r="U88" s="363">
        <f>'Initial unit rates'!U216</f>
        <v>0</v>
      </c>
      <c r="V88" s="363">
        <f>'Initial unit rates'!V216</f>
        <v>0</v>
      </c>
      <c r="W88" s="363">
        <f>'Initial unit rates'!W216</f>
        <v>0</v>
      </c>
      <c r="X88" s="363">
        <f>'Initial unit rates'!X216</f>
        <v>0</v>
      </c>
      <c r="Y88" s="363">
        <f>'Initial unit rates'!Y216</f>
        <v>0</v>
      </c>
      <c r="Z88" s="298"/>
      <c r="AA88" s="298"/>
    </row>
    <row r="89" spans="4:27" x14ac:dyDescent="0.25">
      <c r="D89"/>
      <c r="F89" t="s">
        <v>48</v>
      </c>
      <c r="G89" t="s">
        <v>183</v>
      </c>
      <c r="H89" s="298"/>
      <c r="I89" s="298"/>
      <c r="J89" s="363">
        <f>'Initial unit rates'!J217</f>
        <v>4.2415745065355172E-3</v>
      </c>
      <c r="K89" s="363">
        <f>'Initial unit rates'!K217</f>
        <v>4.2415745065355172E-3</v>
      </c>
      <c r="L89" s="363">
        <f>'Initial unit rates'!L217</f>
        <v>5.1194929875275873E-3</v>
      </c>
      <c r="M89" s="363">
        <f>'Initial unit rates'!M217</f>
        <v>5.1194929875275873E-3</v>
      </c>
      <c r="N89" s="363">
        <f>'Initial unit rates'!N217</f>
        <v>4.3237990119315162E-3</v>
      </c>
      <c r="O89" s="363">
        <f>'Initial unit rates'!O217</f>
        <v>3.5804477122326544E-3</v>
      </c>
      <c r="P89" s="363">
        <f>'Initial unit rates'!P217</f>
        <v>2.4094544135929213E-3</v>
      </c>
      <c r="Q89" s="363">
        <f>'Initial unit rates'!Q217</f>
        <v>3.7701885039465939E-3</v>
      </c>
      <c r="R89" s="363">
        <f>'Initial unit rates'!R217</f>
        <v>-3.3362324075499107E-3</v>
      </c>
      <c r="S89" s="363">
        <f>'Initial unit rates'!S217</f>
        <v>-3.1520603017937622E-3</v>
      </c>
      <c r="T89" s="363">
        <f>'Initial unit rates'!T217</f>
        <v>-3.3362324075499107E-3</v>
      </c>
      <c r="U89" s="363">
        <f>'Initial unit rates'!U217</f>
        <v>-3.3362324075499107E-3</v>
      </c>
      <c r="V89" s="363">
        <f>'Initial unit rates'!V217</f>
        <v>-3.1520603017937622E-3</v>
      </c>
      <c r="W89" s="363">
        <f>'Initial unit rates'!W217</f>
        <v>-3.1520603017937622E-3</v>
      </c>
      <c r="X89" s="363">
        <f>'Initial unit rates'!X217</f>
        <v>0</v>
      </c>
      <c r="Y89" s="363">
        <f>'Initial unit rates'!Y217</f>
        <v>0</v>
      </c>
      <c r="Z89" s="298"/>
      <c r="AA89" s="298"/>
    </row>
    <row r="90" spans="4:27" x14ac:dyDescent="0.25">
      <c r="D90"/>
      <c r="F90" t="s">
        <v>49</v>
      </c>
      <c r="G90" t="s">
        <v>183</v>
      </c>
      <c r="H90" s="298"/>
      <c r="I90" s="298"/>
      <c r="J90" s="363">
        <f>'Initial unit rates'!J218</f>
        <v>9.7396379531643044E-4</v>
      </c>
      <c r="K90" s="363">
        <f>'Initial unit rates'!K218</f>
        <v>9.7396379531643044E-4</v>
      </c>
      <c r="L90" s="363">
        <f>'Initial unit rates'!L218</f>
        <v>1.1755542222694341E-3</v>
      </c>
      <c r="M90" s="363">
        <f>'Initial unit rates'!M218</f>
        <v>1.1755542222694341E-3</v>
      </c>
      <c r="N90" s="363">
        <f>'Initial unit rates'!N218</f>
        <v>9.9284444711686664E-4</v>
      </c>
      <c r="O90" s="363">
        <f>'Initial unit rates'!O218</f>
        <v>8.2215376326997115E-4</v>
      </c>
      <c r="P90" s="363">
        <f>'Initial unit rates'!P218</f>
        <v>0</v>
      </c>
      <c r="Q90" s="363">
        <f>'Initial unit rates'!Q218</f>
        <v>8.6572264584867096E-4</v>
      </c>
      <c r="R90" s="363">
        <f>'Initial unit rates'!R218</f>
        <v>-7.660762701935987E-4</v>
      </c>
      <c r="S90" s="363">
        <f>'Initial unit rates'!S218</f>
        <v>0</v>
      </c>
      <c r="T90" s="363">
        <f>'Initial unit rates'!T218</f>
        <v>-7.660762701935987E-4</v>
      </c>
      <c r="U90" s="363">
        <f>'Initial unit rates'!U218</f>
        <v>-7.660762701935987E-4</v>
      </c>
      <c r="V90" s="363">
        <f>'Initial unit rates'!V218</f>
        <v>0</v>
      </c>
      <c r="W90" s="363">
        <f>'Initial unit rates'!W218</f>
        <v>0</v>
      </c>
      <c r="X90" s="363">
        <f>'Initial unit rates'!X218</f>
        <v>0</v>
      </c>
      <c r="Y90" s="363">
        <f>'Initial unit rates'!Y218</f>
        <v>0</v>
      </c>
      <c r="Z90" s="298"/>
      <c r="AA90" s="298"/>
    </row>
    <row r="91" spans="4:27" x14ac:dyDescent="0.25">
      <c r="D91"/>
      <c r="F91" t="s">
        <v>50</v>
      </c>
      <c r="G91" t="s">
        <v>183</v>
      </c>
      <c r="H91" s="298"/>
      <c r="I91" s="298"/>
      <c r="J91" s="363">
        <f>'Initial unit rates'!J219</f>
        <v>1.7111588430407729E-4</v>
      </c>
      <c r="K91" s="363">
        <f>'Initial unit rates'!K219</f>
        <v>1.7111588430407729E-4</v>
      </c>
      <c r="L91" s="363">
        <f>'Initial unit rates'!L219</f>
        <v>2.0653334472835573E-4</v>
      </c>
      <c r="M91" s="363">
        <f>'Initial unit rates'!M219</f>
        <v>2.0653334472835573E-4</v>
      </c>
      <c r="N91" s="363">
        <f>'Initial unit rates'!N219</f>
        <v>1.7443302960722416E-4</v>
      </c>
      <c r="O91" s="363">
        <f>'Initial unit rates'!O219</f>
        <v>0</v>
      </c>
      <c r="P91" s="363">
        <f>'Initial unit rates'!P219</f>
        <v>0</v>
      </c>
      <c r="Q91" s="363">
        <f>'Initial unit rates'!Q219</f>
        <v>1.5209897618251008E-4</v>
      </c>
      <c r="R91" s="363">
        <f>'Initial unit rates'!R219</f>
        <v>0</v>
      </c>
      <c r="S91" s="363">
        <f>'Initial unit rates'!S219</f>
        <v>0</v>
      </c>
      <c r="T91" s="363">
        <f>'Initial unit rates'!T219</f>
        <v>0</v>
      </c>
      <c r="U91" s="363">
        <f>'Initial unit rates'!U219</f>
        <v>0</v>
      </c>
      <c r="V91" s="363">
        <f>'Initial unit rates'!V219</f>
        <v>0</v>
      </c>
      <c r="W91" s="363">
        <f>'Initial unit rates'!W219</f>
        <v>0</v>
      </c>
      <c r="X91" s="363">
        <f>'Initial unit rates'!X219</f>
        <v>0</v>
      </c>
      <c r="Y91" s="363">
        <f>'Initial unit rates'!Y219</f>
        <v>0</v>
      </c>
      <c r="Z91" s="298"/>
      <c r="AA91" s="298"/>
    </row>
    <row r="92" spans="4:27" x14ac:dyDescent="0.25">
      <c r="D92"/>
      <c r="F92" s="80" t="s">
        <v>124</v>
      </c>
      <c r="G92" s="80" t="s">
        <v>183</v>
      </c>
      <c r="H92" s="296"/>
      <c r="I92" s="296"/>
      <c r="J92" s="308"/>
      <c r="K92" s="308"/>
      <c r="L92" s="308"/>
      <c r="M92" s="308"/>
      <c r="N92" s="308"/>
      <c r="O92" s="308"/>
      <c r="P92" s="308"/>
      <c r="Q92" s="308"/>
      <c r="R92" s="308"/>
      <c r="S92" s="308"/>
      <c r="T92" s="308"/>
      <c r="U92" s="308"/>
      <c r="V92" s="308"/>
      <c r="W92" s="308"/>
      <c r="X92" s="308"/>
      <c r="Y92" s="308"/>
      <c r="Z92" s="298"/>
      <c r="AA92" s="298"/>
    </row>
    <row r="93" spans="4:27" x14ac:dyDescent="0.25">
      <c r="D93"/>
      <c r="F93" s="17" t="s">
        <v>123</v>
      </c>
      <c r="G93" s="17" t="s">
        <v>183</v>
      </c>
      <c r="H93" s="300"/>
      <c r="I93" s="300"/>
      <c r="J93" s="305"/>
      <c r="K93" s="305"/>
      <c r="L93" s="305"/>
      <c r="M93" s="305"/>
      <c r="N93" s="305"/>
      <c r="O93" s="305"/>
      <c r="P93" s="305"/>
      <c r="Q93" s="305"/>
      <c r="R93" s="305"/>
      <c r="S93" s="305"/>
      <c r="T93" s="305"/>
      <c r="U93" s="305"/>
      <c r="V93" s="305"/>
      <c r="W93" s="305"/>
      <c r="X93" s="305"/>
      <c r="Y93" s="305"/>
      <c r="Z93" s="298"/>
      <c r="AA93" s="298"/>
    </row>
    <row r="94" spans="4:27" x14ac:dyDescent="0.25">
      <c r="D94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</row>
    <row r="95" spans="4:27" x14ac:dyDescent="0.25">
      <c r="D95"/>
      <c r="E95" s="52" t="s">
        <v>116</v>
      </c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</row>
    <row r="96" spans="4:27" x14ac:dyDescent="0.25">
      <c r="D96"/>
      <c r="F96" s="80" t="s">
        <v>267</v>
      </c>
      <c r="G96" s="80" t="s">
        <v>183</v>
      </c>
      <c r="H96" s="296"/>
      <c r="I96" s="296"/>
      <c r="J96" s="307">
        <f>'Initial unit rates'!J222</f>
        <v>8.5558308133681894E-4</v>
      </c>
      <c r="K96" s="307">
        <f>'Initial unit rates'!K222</f>
        <v>8.5558308133681894E-4</v>
      </c>
      <c r="L96" s="307">
        <f>'Initial unit rates'!L222</f>
        <v>1.0326711409647641E-3</v>
      </c>
      <c r="M96" s="307">
        <f>'Initial unit rates'!M222</f>
        <v>1.0326711409647641E-3</v>
      </c>
      <c r="N96" s="307">
        <f>'Initial unit rates'!N222</f>
        <v>8.7216887879946136E-4</v>
      </c>
      <c r="O96" s="307">
        <f>'Initial unit rates'!O222</f>
        <v>7.2222484397651524E-4</v>
      </c>
      <c r="P96" s="307">
        <f>'Initial unit rates'!P222</f>
        <v>7.0825052934956082E-4</v>
      </c>
      <c r="Q96" s="307">
        <f>'Initial unit rates'!Q222</f>
        <v>7.6049813399647458E-4</v>
      </c>
      <c r="R96" s="307">
        <f>'Initial unit rates'!R222</f>
        <v>-6.7296330617537027E-4</v>
      </c>
      <c r="S96" s="307">
        <f>'Initial unit rates'!S222</f>
        <v>-6.3581329560822317E-4</v>
      </c>
      <c r="T96" s="307">
        <f>'Initial unit rates'!T222</f>
        <v>-6.7296330617537027E-4</v>
      </c>
      <c r="U96" s="307">
        <f>'Initial unit rates'!U222</f>
        <v>-6.7296330617537027E-4</v>
      </c>
      <c r="V96" s="307">
        <f>'Initial unit rates'!V222</f>
        <v>-6.3581329560822317E-4</v>
      </c>
      <c r="W96" s="307">
        <f>'Initial unit rates'!W222</f>
        <v>-6.3581329560822317E-4</v>
      </c>
      <c r="X96" s="307">
        <f>'Initial unit rates'!X222</f>
        <v>-6.2363296427473238E-4</v>
      </c>
      <c r="Y96" s="307">
        <f>'Initial unit rates'!Y222</f>
        <v>-6.2363296427473238E-4</v>
      </c>
      <c r="Z96" s="298"/>
      <c r="AA96" s="298"/>
    </row>
    <row r="97" spans="3:42" x14ac:dyDescent="0.25">
      <c r="D97"/>
      <c r="F97" t="s">
        <v>43</v>
      </c>
      <c r="G97" t="s">
        <v>183</v>
      </c>
      <c r="H97" s="298"/>
      <c r="I97" s="298"/>
      <c r="J97" s="363">
        <f>'Initial unit rates'!J223</f>
        <v>0</v>
      </c>
      <c r="K97" s="363">
        <f>'Initial unit rates'!K223</f>
        <v>0</v>
      </c>
      <c r="L97" s="363">
        <f>'Initial unit rates'!L223</f>
        <v>0</v>
      </c>
      <c r="M97" s="363">
        <f>'Initial unit rates'!M223</f>
        <v>0</v>
      </c>
      <c r="N97" s="363">
        <f>'Initial unit rates'!N223</f>
        <v>0</v>
      </c>
      <c r="O97" s="363">
        <f>'Initial unit rates'!O223</f>
        <v>0</v>
      </c>
      <c r="P97" s="363">
        <f>'Initial unit rates'!P223</f>
        <v>0</v>
      </c>
      <c r="Q97" s="363">
        <f>'Initial unit rates'!Q223</f>
        <v>0</v>
      </c>
      <c r="R97" s="363">
        <f>'Initial unit rates'!R223</f>
        <v>0</v>
      </c>
      <c r="S97" s="363">
        <f>'Initial unit rates'!S223</f>
        <v>0</v>
      </c>
      <c r="T97" s="363">
        <f>'Initial unit rates'!T223</f>
        <v>0</v>
      </c>
      <c r="U97" s="363">
        <f>'Initial unit rates'!U223</f>
        <v>0</v>
      </c>
      <c r="V97" s="363">
        <f>'Initial unit rates'!V223</f>
        <v>0</v>
      </c>
      <c r="W97" s="363">
        <f>'Initial unit rates'!W223</f>
        <v>0</v>
      </c>
      <c r="X97" s="363">
        <f>'Initial unit rates'!X223</f>
        <v>0</v>
      </c>
      <c r="Y97" s="363">
        <f>'Initial unit rates'!Y223</f>
        <v>0</v>
      </c>
      <c r="Z97" s="298"/>
      <c r="AA97" s="298"/>
    </row>
    <row r="98" spans="3:42" x14ac:dyDescent="0.25">
      <c r="D98"/>
      <c r="F98" t="s">
        <v>44</v>
      </c>
      <c r="G98" t="s">
        <v>183</v>
      </c>
      <c r="H98" s="298"/>
      <c r="I98" s="298"/>
      <c r="J98" s="363">
        <f>'Initial unit rates'!J224</f>
        <v>0</v>
      </c>
      <c r="K98" s="363">
        <f>'Initial unit rates'!K224</f>
        <v>0</v>
      </c>
      <c r="L98" s="363">
        <f>'Initial unit rates'!L224</f>
        <v>0</v>
      </c>
      <c r="M98" s="363">
        <f>'Initial unit rates'!M224</f>
        <v>0</v>
      </c>
      <c r="N98" s="363">
        <f>'Initial unit rates'!N224</f>
        <v>0</v>
      </c>
      <c r="O98" s="363">
        <f>'Initial unit rates'!O224</f>
        <v>0</v>
      </c>
      <c r="P98" s="363">
        <f>'Initial unit rates'!P224</f>
        <v>0</v>
      </c>
      <c r="Q98" s="363">
        <f>'Initial unit rates'!Q224</f>
        <v>0</v>
      </c>
      <c r="R98" s="363">
        <f>'Initial unit rates'!R224</f>
        <v>0</v>
      </c>
      <c r="S98" s="363">
        <f>'Initial unit rates'!S224</f>
        <v>0</v>
      </c>
      <c r="T98" s="363">
        <f>'Initial unit rates'!T224</f>
        <v>0</v>
      </c>
      <c r="U98" s="363">
        <f>'Initial unit rates'!U224</f>
        <v>0</v>
      </c>
      <c r="V98" s="363">
        <f>'Initial unit rates'!V224</f>
        <v>0</v>
      </c>
      <c r="W98" s="363">
        <f>'Initial unit rates'!W224</f>
        <v>0</v>
      </c>
      <c r="X98" s="363">
        <f>'Initial unit rates'!X224</f>
        <v>0</v>
      </c>
      <c r="Y98" s="363">
        <f>'Initial unit rates'!Y224</f>
        <v>0</v>
      </c>
      <c r="Z98" s="298"/>
      <c r="AA98" s="298"/>
    </row>
    <row r="99" spans="3:42" x14ac:dyDescent="0.25">
      <c r="D99"/>
      <c r="F99" t="s">
        <v>45</v>
      </c>
      <c r="G99" t="s">
        <v>183</v>
      </c>
      <c r="H99" s="298"/>
      <c r="I99" s="298"/>
      <c r="J99" s="363">
        <f>'Initial unit rates'!J225</f>
        <v>0</v>
      </c>
      <c r="K99" s="363">
        <f>'Initial unit rates'!K225</f>
        <v>0</v>
      </c>
      <c r="L99" s="363">
        <f>'Initial unit rates'!L225</f>
        <v>0</v>
      </c>
      <c r="M99" s="363">
        <f>'Initial unit rates'!M225</f>
        <v>0</v>
      </c>
      <c r="N99" s="363">
        <f>'Initial unit rates'!N225</f>
        <v>0</v>
      </c>
      <c r="O99" s="363">
        <f>'Initial unit rates'!O225</f>
        <v>0</v>
      </c>
      <c r="P99" s="363">
        <f>'Initial unit rates'!P225</f>
        <v>0</v>
      </c>
      <c r="Q99" s="363">
        <f>'Initial unit rates'!Q225</f>
        <v>0</v>
      </c>
      <c r="R99" s="363">
        <f>'Initial unit rates'!R225</f>
        <v>0</v>
      </c>
      <c r="S99" s="363">
        <f>'Initial unit rates'!S225</f>
        <v>0</v>
      </c>
      <c r="T99" s="363">
        <f>'Initial unit rates'!T225</f>
        <v>0</v>
      </c>
      <c r="U99" s="363">
        <f>'Initial unit rates'!U225</f>
        <v>0</v>
      </c>
      <c r="V99" s="363">
        <f>'Initial unit rates'!V225</f>
        <v>0</v>
      </c>
      <c r="W99" s="363">
        <f>'Initial unit rates'!W225</f>
        <v>0</v>
      </c>
      <c r="X99" s="363">
        <f>'Initial unit rates'!X225</f>
        <v>0</v>
      </c>
      <c r="Y99" s="363">
        <f>'Initial unit rates'!Y225</f>
        <v>0</v>
      </c>
      <c r="Z99" s="298"/>
      <c r="AA99" s="298"/>
    </row>
    <row r="100" spans="3:42" x14ac:dyDescent="0.25">
      <c r="D100"/>
      <c r="F100" t="s">
        <v>46</v>
      </c>
      <c r="G100" t="s">
        <v>183</v>
      </c>
      <c r="H100" s="298"/>
      <c r="I100" s="298"/>
      <c r="J100" s="363">
        <f>'Initial unit rates'!J226</f>
        <v>1.6255428703110717E-3</v>
      </c>
      <c r="K100" s="363">
        <f>'Initial unit rates'!K226</f>
        <v>1.6255428703110717E-3</v>
      </c>
      <c r="L100" s="363">
        <f>'Initial unit rates'!L226</f>
        <v>1.9619967332084659E-3</v>
      </c>
      <c r="M100" s="363">
        <f>'Initial unit rates'!M226</f>
        <v>1.9619967332084659E-3</v>
      </c>
      <c r="N100" s="363">
        <f>'Initial unit rates'!N226</f>
        <v>1.6570546257465534E-3</v>
      </c>
      <c r="O100" s="363">
        <f>'Initial unit rates'!O226</f>
        <v>1.3721723483045083E-3</v>
      </c>
      <c r="P100" s="363">
        <f>'Initial unit rates'!P226</f>
        <v>1.3456222119064898E-3</v>
      </c>
      <c r="Q100" s="363">
        <f>'Initial unit rates'!Q226</f>
        <v>1.4448886923655486E-3</v>
      </c>
      <c r="R100" s="363">
        <f>'Initial unit rates'!R226</f>
        <v>-1.2785791680512322E-3</v>
      </c>
      <c r="S100" s="363">
        <f>'Initial unit rates'!S226</f>
        <v>-1.2079969696339244E-3</v>
      </c>
      <c r="T100" s="363">
        <f>'Initial unit rates'!T226</f>
        <v>-1.2785791680512322E-3</v>
      </c>
      <c r="U100" s="363">
        <f>'Initial unit rates'!U226</f>
        <v>-1.2785791680512322E-3</v>
      </c>
      <c r="V100" s="363">
        <f>'Initial unit rates'!V226</f>
        <v>-1.2079969696339244E-3</v>
      </c>
      <c r="W100" s="363">
        <f>'Initial unit rates'!W226</f>
        <v>-1.2079969696339244E-3</v>
      </c>
      <c r="X100" s="363">
        <f>'Initial unit rates'!X226</f>
        <v>-1.1848552652348071E-3</v>
      </c>
      <c r="Y100" s="363">
        <f>'Initial unit rates'!Y226</f>
        <v>-1.1848552652348071E-3</v>
      </c>
      <c r="Z100" s="298"/>
      <c r="AA100" s="298"/>
    </row>
    <row r="101" spans="3:42" x14ac:dyDescent="0.25">
      <c r="D101"/>
      <c r="F101" t="s">
        <v>47</v>
      </c>
      <c r="G101" t="s">
        <v>183</v>
      </c>
      <c r="H101" s="298"/>
      <c r="I101" s="298"/>
      <c r="J101" s="363">
        <f>'Initial unit rates'!J227</f>
        <v>9.2525981437265666E-4</v>
      </c>
      <c r="K101" s="363">
        <f>'Initial unit rates'!K227</f>
        <v>9.2525981437265666E-4</v>
      </c>
      <c r="L101" s="363">
        <f>'Initial unit rates'!L227</f>
        <v>1.1167695213235617E-3</v>
      </c>
      <c r="M101" s="363">
        <f>'Initial unit rates'!M227</f>
        <v>1.1167695213235617E-3</v>
      </c>
      <c r="N101" s="363">
        <f>'Initial unit rates'!N227</f>
        <v>9.4319632131892425E-4</v>
      </c>
      <c r="O101" s="363">
        <f>'Initial unit rates'!O227</f>
        <v>7.8104118658929144E-4</v>
      </c>
      <c r="P101" s="363">
        <f>'Initial unit rates'!P227</f>
        <v>7.6592883567940841E-4</v>
      </c>
      <c r="Q101" s="363">
        <f>'Initial unit rates'!Q227</f>
        <v>8.224313659789624E-4</v>
      </c>
      <c r="R101" s="363">
        <f>'Initial unit rates'!R227</f>
        <v>-7.2776790160289102E-4</v>
      </c>
      <c r="S101" s="363">
        <f>'Initial unit rates'!S227</f>
        <v>-6.87592478980469E-4</v>
      </c>
      <c r="T101" s="363">
        <f>'Initial unit rates'!T227</f>
        <v>-7.2776790160289102E-4</v>
      </c>
      <c r="U101" s="363">
        <f>'Initial unit rates'!U227</f>
        <v>-7.2776790160289102E-4</v>
      </c>
      <c r="V101" s="363">
        <f>'Initial unit rates'!V227</f>
        <v>-6.87592478980469E-4</v>
      </c>
      <c r="W101" s="363">
        <f>'Initial unit rates'!W227</f>
        <v>-6.87592478980469E-4</v>
      </c>
      <c r="X101" s="363">
        <f>'Initial unit rates'!X227</f>
        <v>-6.7442020926819935E-4</v>
      </c>
      <c r="Y101" s="363">
        <f>'Initial unit rates'!Y227</f>
        <v>-6.7442020926819935E-4</v>
      </c>
      <c r="Z101" s="298"/>
      <c r="AA101" s="298"/>
    </row>
    <row r="102" spans="3:42" x14ac:dyDescent="0.25">
      <c r="D102"/>
      <c r="F102" t="s">
        <v>51</v>
      </c>
      <c r="G102" t="s">
        <v>183</v>
      </c>
      <c r="H102" s="298"/>
      <c r="I102" s="298"/>
      <c r="J102" s="363">
        <f>'Initial unit rates'!J228</f>
        <v>0</v>
      </c>
      <c r="K102" s="363">
        <f>'Initial unit rates'!K228</f>
        <v>0</v>
      </c>
      <c r="L102" s="363">
        <f>'Initial unit rates'!L228</f>
        <v>0</v>
      </c>
      <c r="M102" s="363">
        <f>'Initial unit rates'!M228</f>
        <v>0</v>
      </c>
      <c r="N102" s="363">
        <f>'Initial unit rates'!N228</f>
        <v>0</v>
      </c>
      <c r="O102" s="363">
        <f>'Initial unit rates'!O228</f>
        <v>0</v>
      </c>
      <c r="P102" s="363">
        <f>'Initial unit rates'!P228</f>
        <v>0</v>
      </c>
      <c r="Q102" s="363">
        <f>'Initial unit rates'!Q228</f>
        <v>0</v>
      </c>
      <c r="R102" s="363">
        <f>'Initial unit rates'!R228</f>
        <v>0</v>
      </c>
      <c r="S102" s="363">
        <f>'Initial unit rates'!S228</f>
        <v>0</v>
      </c>
      <c r="T102" s="363">
        <f>'Initial unit rates'!T228</f>
        <v>0</v>
      </c>
      <c r="U102" s="363">
        <f>'Initial unit rates'!U228</f>
        <v>0</v>
      </c>
      <c r="V102" s="363">
        <f>'Initial unit rates'!V228</f>
        <v>0</v>
      </c>
      <c r="W102" s="363">
        <f>'Initial unit rates'!W228</f>
        <v>0</v>
      </c>
      <c r="X102" s="363">
        <f>'Initial unit rates'!X228</f>
        <v>0</v>
      </c>
      <c r="Y102" s="363">
        <f>'Initial unit rates'!Y228</f>
        <v>0</v>
      </c>
      <c r="Z102" s="298"/>
      <c r="AA102" s="298"/>
    </row>
    <row r="103" spans="3:42" x14ac:dyDescent="0.25">
      <c r="D103"/>
      <c r="F103" t="s">
        <v>48</v>
      </c>
      <c r="G103" t="s">
        <v>183</v>
      </c>
      <c r="H103" s="298"/>
      <c r="I103" s="298"/>
      <c r="J103" s="363">
        <f>'Initial unit rates'!J229</f>
        <v>3.9804936421917606E-3</v>
      </c>
      <c r="K103" s="363">
        <f>'Initial unit rates'!K229</f>
        <v>3.9804936421917606E-3</v>
      </c>
      <c r="L103" s="363">
        <f>'Initial unit rates'!L229</f>
        <v>4.8043737665576297E-3</v>
      </c>
      <c r="M103" s="363">
        <f>'Initial unit rates'!M229</f>
        <v>4.8043737665576297E-3</v>
      </c>
      <c r="N103" s="363">
        <f>'Initial unit rates'!N229</f>
        <v>4.0576569975582259E-3</v>
      </c>
      <c r="O103" s="363">
        <f>'Initial unit rates'!O229</f>
        <v>3.3600610652441392E-3</v>
      </c>
      <c r="P103" s="363">
        <f>'Initial unit rates'!P229</f>
        <v>3.2950473082637328E-3</v>
      </c>
      <c r="Q103" s="363">
        <f>'Initial unit rates'!Q229</f>
        <v>3.5381227765067945E-3</v>
      </c>
      <c r="R103" s="363">
        <f>'Initial unit rates'!R229</f>
        <v>-3.1308779008042001E-3</v>
      </c>
      <c r="S103" s="363">
        <f>'Initial unit rates'!S229</f>
        <v>-2.9580421071851446E-3</v>
      </c>
      <c r="T103" s="363">
        <f>'Initial unit rates'!T229</f>
        <v>-3.1308779008042001E-3</v>
      </c>
      <c r="U103" s="363">
        <f>'Initial unit rates'!U229</f>
        <v>-3.1308779008042001E-3</v>
      </c>
      <c r="V103" s="363">
        <f>'Initial unit rates'!V229</f>
        <v>-2.9580421071851446E-3</v>
      </c>
      <c r="W103" s="363">
        <f>'Initial unit rates'!W229</f>
        <v>-2.9580421071851446E-3</v>
      </c>
      <c r="X103" s="363">
        <f>'Initial unit rates'!X229</f>
        <v>0</v>
      </c>
      <c r="Y103" s="363">
        <f>'Initial unit rates'!Y229</f>
        <v>0</v>
      </c>
      <c r="Z103" s="298"/>
      <c r="AA103" s="298"/>
    </row>
    <row r="104" spans="3:42" x14ac:dyDescent="0.25">
      <c r="D104"/>
      <c r="F104" t="s">
        <v>49</v>
      </c>
      <c r="G104" t="s">
        <v>183</v>
      </c>
      <c r="H104" s="298"/>
      <c r="I104" s="298"/>
      <c r="J104" s="363">
        <f>'Initial unit rates'!J230</f>
        <v>1.0004107616537359E-3</v>
      </c>
      <c r="K104" s="363">
        <f>'Initial unit rates'!K230</f>
        <v>1.0004107616537359E-3</v>
      </c>
      <c r="L104" s="363">
        <f>'Initial unit rates'!L230</f>
        <v>1.2074751654231131E-3</v>
      </c>
      <c r="M104" s="363">
        <f>'Initial unit rates'!M230</f>
        <v>1.2074751654231131E-3</v>
      </c>
      <c r="N104" s="363">
        <f>'Initial unit rates'!N230</f>
        <v>1.0198040977705642E-3</v>
      </c>
      <c r="O104" s="363">
        <f>'Initial unit rates'!O230</f>
        <v>8.4447848725442449E-4</v>
      </c>
      <c r="P104" s="363">
        <f>'Initial unit rates'!P230</f>
        <v>0</v>
      </c>
      <c r="Q104" s="363">
        <f>'Initial unit rates'!Q230</f>
        <v>8.8923043718783907E-4</v>
      </c>
      <c r="R104" s="363">
        <f>'Initial unit rates'!R230</f>
        <v>-7.8687826861186254E-4</v>
      </c>
      <c r="S104" s="363">
        <f>'Initial unit rates'!S230</f>
        <v>0</v>
      </c>
      <c r="T104" s="363">
        <f>'Initial unit rates'!T230</f>
        <v>-7.8687826861186254E-4</v>
      </c>
      <c r="U104" s="363">
        <f>'Initial unit rates'!U230</f>
        <v>-7.8687826861186254E-4</v>
      </c>
      <c r="V104" s="363">
        <f>'Initial unit rates'!V230</f>
        <v>0</v>
      </c>
      <c r="W104" s="363">
        <f>'Initial unit rates'!W230</f>
        <v>0</v>
      </c>
      <c r="X104" s="363">
        <f>'Initial unit rates'!X230</f>
        <v>0</v>
      </c>
      <c r="Y104" s="363">
        <f>'Initial unit rates'!Y230</f>
        <v>0</v>
      </c>
      <c r="Z104" s="298"/>
      <c r="AA104" s="298"/>
    </row>
    <row r="105" spans="3:42" x14ac:dyDescent="0.25">
      <c r="D105"/>
      <c r="F105" t="s">
        <v>50</v>
      </c>
      <c r="G105" t="s">
        <v>183</v>
      </c>
      <c r="H105" s="298"/>
      <c r="I105" s="298"/>
      <c r="J105" s="363">
        <f>'Initial unit rates'!J231</f>
        <v>1.682722530034369E-3</v>
      </c>
      <c r="K105" s="363">
        <f>'Initial unit rates'!K231</f>
        <v>1.682722530034369E-3</v>
      </c>
      <c r="L105" s="363">
        <f>'Initial unit rates'!L231</f>
        <v>2.031011403711504E-3</v>
      </c>
      <c r="M105" s="363">
        <f>'Initial unit rates'!M231</f>
        <v>2.031011403711504E-3</v>
      </c>
      <c r="N105" s="363">
        <f>'Initial unit rates'!N231</f>
        <v>1.7153427345215448E-3</v>
      </c>
      <c r="O105" s="363">
        <f>'Initial unit rates'!O231</f>
        <v>0</v>
      </c>
      <c r="P105" s="363">
        <f>'Initial unit rates'!P231</f>
        <v>0</v>
      </c>
      <c r="Q105" s="363">
        <f>'Initial unit rates'!Q231</f>
        <v>1.4957137092115773E-3</v>
      </c>
      <c r="R105" s="363">
        <f>'Initial unit rates'!R231</f>
        <v>0</v>
      </c>
      <c r="S105" s="363">
        <f>'Initial unit rates'!S231</f>
        <v>0</v>
      </c>
      <c r="T105" s="363">
        <f>'Initial unit rates'!T231</f>
        <v>0</v>
      </c>
      <c r="U105" s="363">
        <f>'Initial unit rates'!U231</f>
        <v>0</v>
      </c>
      <c r="V105" s="363">
        <f>'Initial unit rates'!V231</f>
        <v>0</v>
      </c>
      <c r="W105" s="363">
        <f>'Initial unit rates'!W231</f>
        <v>0</v>
      </c>
      <c r="X105" s="363">
        <f>'Initial unit rates'!X231</f>
        <v>0</v>
      </c>
      <c r="Y105" s="363">
        <f>'Initial unit rates'!Y231</f>
        <v>0</v>
      </c>
      <c r="Z105" s="298"/>
      <c r="AA105" s="298"/>
    </row>
    <row r="106" spans="3:42" x14ac:dyDescent="0.25">
      <c r="D106"/>
      <c r="F106" s="80" t="s">
        <v>124</v>
      </c>
      <c r="G106" s="80" t="s">
        <v>183</v>
      </c>
      <c r="H106" s="296"/>
      <c r="I106" s="296" t="s">
        <v>359</v>
      </c>
      <c r="J106" s="308"/>
      <c r="K106" s="308"/>
      <c r="L106" s="308"/>
      <c r="M106" s="308"/>
      <c r="N106" s="308"/>
      <c r="O106" s="308"/>
      <c r="P106" s="308"/>
      <c r="Q106" s="307">
        <f>'Service model charges'!$Q$44</f>
        <v>0.4392137814844751</v>
      </c>
      <c r="R106" s="308"/>
      <c r="S106" s="308"/>
      <c r="T106" s="308"/>
      <c r="U106" s="308"/>
      <c r="V106" s="308"/>
      <c r="W106" s="308"/>
      <c r="X106" s="308"/>
      <c r="Y106" s="308"/>
      <c r="Z106" s="298"/>
      <c r="AA106" s="298" t="s">
        <v>728</v>
      </c>
    </row>
    <row r="107" spans="3:42" x14ac:dyDescent="0.25">
      <c r="D107"/>
      <c r="F107" s="17" t="s">
        <v>123</v>
      </c>
      <c r="G107" s="17" t="s">
        <v>183</v>
      </c>
      <c r="H107" s="300"/>
      <c r="I107" s="300"/>
      <c r="J107" s="305"/>
      <c r="K107" s="305"/>
      <c r="L107" s="305"/>
      <c r="M107" s="305"/>
      <c r="N107" s="305"/>
      <c r="O107" s="305"/>
      <c r="P107" s="305"/>
      <c r="Q107" s="305"/>
      <c r="R107" s="305"/>
      <c r="S107" s="305"/>
      <c r="T107" s="305"/>
      <c r="U107" s="305"/>
      <c r="V107" s="305"/>
      <c r="W107" s="305"/>
      <c r="X107" s="305"/>
      <c r="Y107" s="305"/>
      <c r="Z107" s="298"/>
      <c r="AA107" s="298"/>
    </row>
    <row r="109" spans="3:42" x14ac:dyDescent="0.25">
      <c r="C109" s="5" t="str">
        <f ca="1">INDEX('Version control'!$H$36:$H$62,MATCH($A$1,'Version control'!$F$36:$F$62,0),1)&amp;"-D: Standing charge factors"</f>
        <v>Section 514-D: Standing charge factors</v>
      </c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</row>
    <row r="110" spans="3:42" x14ac:dyDescent="0.25">
      <c r="D110" s="52"/>
      <c r="E110" s="52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</row>
    <row r="111" spans="3:42" x14ac:dyDescent="0.25">
      <c r="D111"/>
      <c r="E111" s="52" t="s">
        <v>263</v>
      </c>
      <c r="H111" s="59"/>
      <c r="I111" t="s">
        <v>359</v>
      </c>
      <c r="J111" s="79"/>
      <c r="L111" s="79"/>
      <c r="AA111" t="s">
        <v>702</v>
      </c>
      <c r="AP111" s="19"/>
    </row>
    <row r="112" spans="3:42" x14ac:dyDescent="0.25">
      <c r="C112" s="52"/>
      <c r="D112"/>
      <c r="E112"/>
      <c r="F112" s="80" t="s">
        <v>43</v>
      </c>
      <c r="G112" s="80" t="s">
        <v>94</v>
      </c>
      <c r="H112" s="67"/>
      <c r="I112" s="80"/>
      <c r="J112" s="114">
        <f>'Standing charge factors'!J44</f>
        <v>0</v>
      </c>
      <c r="K112" s="114">
        <f>'Standing charge factors'!K44</f>
        <v>0</v>
      </c>
      <c r="L112" s="114">
        <f>'Standing charge factors'!L44</f>
        <v>0</v>
      </c>
      <c r="M112" s="114">
        <f>'Standing charge factors'!M44</f>
        <v>0</v>
      </c>
      <c r="N112" s="114">
        <f>'Standing charge factors'!N44</f>
        <v>0</v>
      </c>
      <c r="O112" s="114">
        <f>'Standing charge factors'!O44</f>
        <v>0</v>
      </c>
      <c r="P112" s="114">
        <f>'Standing charge factors'!P44</f>
        <v>0</v>
      </c>
      <c r="Q112" s="114">
        <f>'Standing charge factors'!Q44</f>
        <v>0</v>
      </c>
      <c r="R112" s="114">
        <f>'Standing charge factors'!R44</f>
        <v>0</v>
      </c>
      <c r="S112" s="114">
        <f>'Standing charge factors'!S44</f>
        <v>0</v>
      </c>
      <c r="T112" s="114">
        <f>'Standing charge factors'!T44</f>
        <v>0</v>
      </c>
      <c r="U112" s="114">
        <f>'Standing charge factors'!U44</f>
        <v>0</v>
      </c>
      <c r="V112" s="114">
        <f>'Standing charge factors'!V44</f>
        <v>0</v>
      </c>
      <c r="W112" s="114">
        <f>'Standing charge factors'!W44</f>
        <v>0</v>
      </c>
      <c r="X112" s="114">
        <f>'Standing charge factors'!X44</f>
        <v>0</v>
      </c>
      <c r="Y112" s="114">
        <f>'Standing charge factors'!Y44</f>
        <v>0</v>
      </c>
      <c r="AP112" s="19"/>
    </row>
    <row r="113" spans="2:42" x14ac:dyDescent="0.25">
      <c r="C113" s="52"/>
      <c r="D113"/>
      <c r="E113"/>
      <c r="F113" t="s">
        <v>44</v>
      </c>
      <c r="G113" t="s">
        <v>94</v>
      </c>
      <c r="H113" s="79"/>
      <c r="J113" s="120">
        <f>'Standing charge factors'!J45</f>
        <v>0</v>
      </c>
      <c r="K113" s="120">
        <f>'Standing charge factors'!K45</f>
        <v>0</v>
      </c>
      <c r="L113" s="120">
        <f>'Standing charge factors'!L45</f>
        <v>0</v>
      </c>
      <c r="M113" s="120">
        <f>'Standing charge factors'!M45</f>
        <v>0</v>
      </c>
      <c r="N113" s="120">
        <f>'Standing charge factors'!N45</f>
        <v>0</v>
      </c>
      <c r="O113" s="120">
        <f>'Standing charge factors'!O45</f>
        <v>0</v>
      </c>
      <c r="P113" s="120">
        <f>'Standing charge factors'!P45</f>
        <v>0</v>
      </c>
      <c r="Q113" s="120">
        <f>'Standing charge factors'!Q45</f>
        <v>0</v>
      </c>
      <c r="R113" s="120">
        <f>'Standing charge factors'!R45</f>
        <v>0</v>
      </c>
      <c r="S113" s="120">
        <f>'Standing charge factors'!S45</f>
        <v>0</v>
      </c>
      <c r="T113" s="120">
        <f>'Standing charge factors'!T45</f>
        <v>0</v>
      </c>
      <c r="U113" s="120">
        <f>'Standing charge factors'!U45</f>
        <v>0</v>
      </c>
      <c r="V113" s="120">
        <f>'Standing charge factors'!V45</f>
        <v>0</v>
      </c>
      <c r="W113" s="120">
        <f>'Standing charge factors'!W45</f>
        <v>0</v>
      </c>
      <c r="X113" s="120">
        <f>'Standing charge factors'!X45</f>
        <v>0</v>
      </c>
      <c r="Y113" s="120">
        <f>'Standing charge factors'!Y45</f>
        <v>0</v>
      </c>
      <c r="AP113" s="19"/>
    </row>
    <row r="114" spans="2:42" x14ac:dyDescent="0.25">
      <c r="C114" s="52"/>
      <c r="D114"/>
      <c r="E114"/>
      <c r="F114" t="s">
        <v>45</v>
      </c>
      <c r="G114" t="s">
        <v>94</v>
      </c>
      <c r="H114" s="79"/>
      <c r="J114" s="120">
        <f>'Standing charge factors'!J46</f>
        <v>0</v>
      </c>
      <c r="K114" s="120">
        <f>'Standing charge factors'!K46</f>
        <v>0</v>
      </c>
      <c r="L114" s="120">
        <f>'Standing charge factors'!L46</f>
        <v>0</v>
      </c>
      <c r="M114" s="120">
        <f>'Standing charge factors'!M46</f>
        <v>0</v>
      </c>
      <c r="N114" s="120">
        <f>'Standing charge factors'!N46</f>
        <v>0</v>
      </c>
      <c r="O114" s="120">
        <f>'Standing charge factors'!O46</f>
        <v>0</v>
      </c>
      <c r="P114" s="120">
        <f>'Standing charge factors'!P46</f>
        <v>0</v>
      </c>
      <c r="Q114" s="120">
        <f>'Standing charge factors'!Q46</f>
        <v>0</v>
      </c>
      <c r="R114" s="120">
        <f>'Standing charge factors'!R46</f>
        <v>0</v>
      </c>
      <c r="S114" s="120">
        <f>'Standing charge factors'!S46</f>
        <v>0</v>
      </c>
      <c r="T114" s="120">
        <f>'Standing charge factors'!T46</f>
        <v>0</v>
      </c>
      <c r="U114" s="120">
        <f>'Standing charge factors'!U46</f>
        <v>0</v>
      </c>
      <c r="V114" s="120">
        <f>'Standing charge factors'!V46</f>
        <v>0</v>
      </c>
      <c r="W114" s="120">
        <f>'Standing charge factors'!W46</f>
        <v>0</v>
      </c>
      <c r="X114" s="120">
        <f>'Standing charge factors'!X46</f>
        <v>0</v>
      </c>
      <c r="Y114" s="120">
        <f>'Standing charge factors'!Y46</f>
        <v>0</v>
      </c>
      <c r="AP114" s="19"/>
    </row>
    <row r="115" spans="2:42" x14ac:dyDescent="0.25">
      <c r="C115" s="52"/>
      <c r="D115"/>
      <c r="E115"/>
      <c r="F115" t="s">
        <v>46</v>
      </c>
      <c r="G115" t="s">
        <v>94</v>
      </c>
      <c r="H115" s="79"/>
      <c r="J115" s="120">
        <f>'Standing charge factors'!J47</f>
        <v>0</v>
      </c>
      <c r="K115" s="120">
        <f>'Standing charge factors'!K47</f>
        <v>0</v>
      </c>
      <c r="L115" s="120">
        <f>'Standing charge factors'!L47</f>
        <v>0</v>
      </c>
      <c r="M115" s="120">
        <f>'Standing charge factors'!M47</f>
        <v>0</v>
      </c>
      <c r="N115" s="120">
        <f>'Standing charge factors'!N47</f>
        <v>0</v>
      </c>
      <c r="O115" s="120">
        <f>'Standing charge factors'!O47</f>
        <v>0</v>
      </c>
      <c r="P115" s="120">
        <f>'Standing charge factors'!P47</f>
        <v>0.2</v>
      </c>
      <c r="Q115" s="120">
        <f>'Standing charge factors'!Q47</f>
        <v>0</v>
      </c>
      <c r="R115" s="120">
        <f>'Standing charge factors'!R47</f>
        <v>0</v>
      </c>
      <c r="S115" s="120">
        <f>'Standing charge factors'!S47</f>
        <v>0</v>
      </c>
      <c r="T115" s="120">
        <f>'Standing charge factors'!T47</f>
        <v>0</v>
      </c>
      <c r="U115" s="120">
        <f>'Standing charge factors'!U47</f>
        <v>0</v>
      </c>
      <c r="V115" s="120">
        <f>'Standing charge factors'!V47</f>
        <v>0</v>
      </c>
      <c r="W115" s="120">
        <f>'Standing charge factors'!W47</f>
        <v>0</v>
      </c>
      <c r="X115" s="120">
        <f>'Standing charge factors'!X47</f>
        <v>0</v>
      </c>
      <c r="Y115" s="120">
        <f>'Standing charge factors'!Y47</f>
        <v>0</v>
      </c>
      <c r="AP115" s="19"/>
    </row>
    <row r="116" spans="2:42" x14ac:dyDescent="0.25">
      <c r="C116" s="52"/>
      <c r="D116"/>
      <c r="E116"/>
      <c r="F116" t="s">
        <v>47</v>
      </c>
      <c r="G116" t="s">
        <v>94</v>
      </c>
      <c r="H116" s="79"/>
      <c r="J116" s="120">
        <f>'Standing charge factors'!J48</f>
        <v>0</v>
      </c>
      <c r="K116" s="120">
        <f>'Standing charge factors'!K48</f>
        <v>0</v>
      </c>
      <c r="L116" s="120">
        <f>'Standing charge factors'!L48</f>
        <v>0</v>
      </c>
      <c r="M116" s="120">
        <f>'Standing charge factors'!M48</f>
        <v>0</v>
      </c>
      <c r="N116" s="120">
        <f>'Standing charge factors'!N48</f>
        <v>0</v>
      </c>
      <c r="O116" s="120">
        <f>'Standing charge factors'!O48</f>
        <v>0</v>
      </c>
      <c r="P116" s="120">
        <f>'Standing charge factors'!P48</f>
        <v>1</v>
      </c>
      <c r="Q116" s="120">
        <f>'Standing charge factors'!Q48</f>
        <v>0</v>
      </c>
      <c r="R116" s="120">
        <f>'Standing charge factors'!R48</f>
        <v>0</v>
      </c>
      <c r="S116" s="120">
        <f>'Standing charge factors'!S48</f>
        <v>0</v>
      </c>
      <c r="T116" s="120">
        <f>'Standing charge factors'!T48</f>
        <v>0</v>
      </c>
      <c r="U116" s="120">
        <f>'Standing charge factors'!U48</f>
        <v>0</v>
      </c>
      <c r="V116" s="120">
        <f>'Standing charge factors'!V48</f>
        <v>0</v>
      </c>
      <c r="W116" s="120">
        <f>'Standing charge factors'!W48</f>
        <v>0</v>
      </c>
      <c r="X116" s="120">
        <f>'Standing charge factors'!X48</f>
        <v>0</v>
      </c>
      <c r="Y116" s="120">
        <f>'Standing charge factors'!Y48</f>
        <v>0</v>
      </c>
      <c r="AP116" s="19"/>
    </row>
    <row r="117" spans="2:42" x14ac:dyDescent="0.25">
      <c r="C117" s="52"/>
      <c r="D117"/>
      <c r="E117"/>
      <c r="F117" t="s">
        <v>51</v>
      </c>
      <c r="G117" t="s">
        <v>94</v>
      </c>
      <c r="H117" s="79"/>
      <c r="J117" s="120">
        <f>'Standing charge factors'!J49</f>
        <v>0</v>
      </c>
      <c r="K117" s="120">
        <f>'Standing charge factors'!K49</f>
        <v>0</v>
      </c>
      <c r="L117" s="120">
        <f>'Standing charge factors'!L49</f>
        <v>0</v>
      </c>
      <c r="M117" s="120">
        <f>'Standing charge factors'!M49</f>
        <v>0</v>
      </c>
      <c r="N117" s="120">
        <f>'Standing charge factors'!N49</f>
        <v>0</v>
      </c>
      <c r="O117" s="120">
        <f>'Standing charge factors'!O49</f>
        <v>0</v>
      </c>
      <c r="P117" s="120">
        <f>'Standing charge factors'!P49</f>
        <v>1</v>
      </c>
      <c r="Q117" s="120">
        <f>'Standing charge factors'!Q49</f>
        <v>0</v>
      </c>
      <c r="R117" s="120">
        <f>'Standing charge factors'!R49</f>
        <v>0</v>
      </c>
      <c r="S117" s="120">
        <f>'Standing charge factors'!S49</f>
        <v>0</v>
      </c>
      <c r="T117" s="120">
        <f>'Standing charge factors'!T49</f>
        <v>0</v>
      </c>
      <c r="U117" s="120">
        <f>'Standing charge factors'!U49</f>
        <v>0</v>
      </c>
      <c r="V117" s="120">
        <f>'Standing charge factors'!V49</f>
        <v>0</v>
      </c>
      <c r="W117" s="120">
        <f>'Standing charge factors'!W49</f>
        <v>0</v>
      </c>
      <c r="X117" s="120">
        <f>'Standing charge factors'!X49</f>
        <v>0</v>
      </c>
      <c r="Y117" s="120">
        <f>'Standing charge factors'!Y49</f>
        <v>0</v>
      </c>
      <c r="AP117" s="19"/>
    </row>
    <row r="118" spans="2:42" x14ac:dyDescent="0.25">
      <c r="C118" s="52"/>
      <c r="D118"/>
      <c r="E118"/>
      <c r="F118" t="s">
        <v>48</v>
      </c>
      <c r="G118" t="s">
        <v>94</v>
      </c>
      <c r="H118" s="79"/>
      <c r="J118" s="120">
        <f>'Standing charge factors'!J50</f>
        <v>0</v>
      </c>
      <c r="K118" s="120">
        <f>'Standing charge factors'!K50</f>
        <v>0</v>
      </c>
      <c r="L118" s="120">
        <f>'Standing charge factors'!L50</f>
        <v>0</v>
      </c>
      <c r="M118" s="120">
        <f>'Standing charge factors'!M50</f>
        <v>0</v>
      </c>
      <c r="N118" s="120">
        <f>'Standing charge factors'!N50</f>
        <v>0.2</v>
      </c>
      <c r="O118" s="120">
        <f>'Standing charge factors'!O50</f>
        <v>1</v>
      </c>
      <c r="P118" s="120">
        <f>'Standing charge factors'!P50</f>
        <v>1</v>
      </c>
      <c r="Q118" s="120">
        <f>'Standing charge factors'!Q50</f>
        <v>0</v>
      </c>
      <c r="R118" s="120">
        <f>'Standing charge factors'!R50</f>
        <v>0</v>
      </c>
      <c r="S118" s="120">
        <f>'Standing charge factors'!S50</f>
        <v>0</v>
      </c>
      <c r="T118" s="120">
        <f>'Standing charge factors'!T50</f>
        <v>0</v>
      </c>
      <c r="U118" s="120">
        <f>'Standing charge factors'!U50</f>
        <v>0</v>
      </c>
      <c r="V118" s="120">
        <f>'Standing charge factors'!V50</f>
        <v>0</v>
      </c>
      <c r="W118" s="120">
        <f>'Standing charge factors'!W50</f>
        <v>0</v>
      </c>
      <c r="X118" s="120">
        <f>'Standing charge factors'!X50</f>
        <v>0</v>
      </c>
      <c r="Y118" s="120">
        <f>'Standing charge factors'!Y50</f>
        <v>0</v>
      </c>
      <c r="AP118" s="19"/>
    </row>
    <row r="119" spans="2:42" x14ac:dyDescent="0.25">
      <c r="C119" s="52"/>
      <c r="D119"/>
      <c r="E119"/>
      <c r="F119" t="s">
        <v>49</v>
      </c>
      <c r="G119" t="s">
        <v>94</v>
      </c>
      <c r="H119" s="79"/>
      <c r="J119" s="120">
        <f>'Standing charge factors'!J51</f>
        <v>0</v>
      </c>
      <c r="K119" s="120">
        <f>'Standing charge factors'!K51</f>
        <v>0</v>
      </c>
      <c r="L119" s="120">
        <f>'Standing charge factors'!L51</f>
        <v>0</v>
      </c>
      <c r="M119" s="120">
        <f>'Standing charge factors'!M51</f>
        <v>0</v>
      </c>
      <c r="N119" s="120">
        <f>'Standing charge factors'!N51</f>
        <v>1</v>
      </c>
      <c r="O119" s="120">
        <f>'Standing charge factors'!O51</f>
        <v>1</v>
      </c>
      <c r="P119" s="120">
        <f>'Standing charge factors'!P51</f>
        <v>0</v>
      </c>
      <c r="Q119" s="120">
        <f>'Standing charge factors'!Q51</f>
        <v>0</v>
      </c>
      <c r="R119" s="120">
        <f>'Standing charge factors'!R51</f>
        <v>0</v>
      </c>
      <c r="S119" s="120">
        <f>'Standing charge factors'!S51</f>
        <v>0</v>
      </c>
      <c r="T119" s="120">
        <f>'Standing charge factors'!T51</f>
        <v>0</v>
      </c>
      <c r="U119" s="120">
        <f>'Standing charge factors'!U51</f>
        <v>0</v>
      </c>
      <c r="V119" s="120">
        <f>'Standing charge factors'!V51</f>
        <v>0</v>
      </c>
      <c r="W119" s="120">
        <f>'Standing charge factors'!W51</f>
        <v>0</v>
      </c>
      <c r="X119" s="120">
        <f>'Standing charge factors'!X51</f>
        <v>0</v>
      </c>
      <c r="Y119" s="120">
        <f>'Standing charge factors'!Y51</f>
        <v>0</v>
      </c>
      <c r="AP119" s="19"/>
    </row>
    <row r="120" spans="2:42" x14ac:dyDescent="0.25">
      <c r="C120" s="52"/>
      <c r="D120"/>
      <c r="E120"/>
      <c r="F120" s="17" t="s">
        <v>50</v>
      </c>
      <c r="G120" s="17" t="s">
        <v>94</v>
      </c>
      <c r="H120" s="159"/>
      <c r="I120" s="17"/>
      <c r="J120" s="337">
        <f>'Standing charge factors'!J52</f>
        <v>1</v>
      </c>
      <c r="K120" s="337">
        <f>'Standing charge factors'!K52</f>
        <v>1</v>
      </c>
      <c r="L120" s="337">
        <f>'Standing charge factors'!L52</f>
        <v>1</v>
      </c>
      <c r="M120" s="337">
        <f>'Standing charge factors'!M52</f>
        <v>1</v>
      </c>
      <c r="N120" s="337">
        <f>'Standing charge factors'!N52</f>
        <v>1</v>
      </c>
      <c r="O120" s="337">
        <f>'Standing charge factors'!O52</f>
        <v>0</v>
      </c>
      <c r="P120" s="337">
        <f>'Standing charge factors'!P52</f>
        <v>0</v>
      </c>
      <c r="Q120" s="337">
        <f>'Standing charge factors'!Q52</f>
        <v>0</v>
      </c>
      <c r="R120" s="337">
        <f>'Standing charge factors'!R52</f>
        <v>0</v>
      </c>
      <c r="S120" s="337">
        <f>'Standing charge factors'!S52</f>
        <v>0</v>
      </c>
      <c r="T120" s="337">
        <f>'Standing charge factors'!T52</f>
        <v>0</v>
      </c>
      <c r="U120" s="337">
        <f>'Standing charge factors'!U52</f>
        <v>0</v>
      </c>
      <c r="V120" s="337">
        <f>'Standing charge factors'!V52</f>
        <v>0</v>
      </c>
      <c r="W120" s="337">
        <f>'Standing charge factors'!W52</f>
        <v>0</v>
      </c>
      <c r="X120" s="337">
        <f>'Standing charge factors'!X52</f>
        <v>0</v>
      </c>
      <c r="Y120" s="337">
        <f>'Standing charge factors'!Y52</f>
        <v>0</v>
      </c>
      <c r="AP120" s="19"/>
    </row>
    <row r="122" spans="2:42" x14ac:dyDescent="0.25">
      <c r="B122" s="82" t="s">
        <v>418</v>
      </c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</row>
    <row r="124" spans="2:42" x14ac:dyDescent="0.25">
      <c r="C124" s="5" t="str">
        <f ca="1">INDEX('Version control'!$H$36:$H$62,MATCH($A$1,'Version control'!$F$36:$F$62,0),1)&amp;"-E: Contributions to unit rate 1 p/kWh by network level (taking account of standing charges)"</f>
        <v>Section 514-E: Contributions to unit rate 1 p/kWh by network level (taking account of standing charges)</v>
      </c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</row>
    <row r="125" spans="2:42" x14ac:dyDescent="0.25">
      <c r="C125" s="52"/>
      <c r="D125"/>
      <c r="E125" s="52"/>
      <c r="I125" t="s">
        <v>359</v>
      </c>
      <c r="AA125" t="s">
        <v>729</v>
      </c>
    </row>
    <row r="126" spans="2:42" x14ac:dyDescent="0.25">
      <c r="E126" s="52" t="s">
        <v>139</v>
      </c>
    </row>
    <row r="127" spans="2:42" x14ac:dyDescent="0.25">
      <c r="F127" s="80" t="s">
        <v>267</v>
      </c>
      <c r="G127" s="80" t="s">
        <v>183</v>
      </c>
      <c r="H127" s="296"/>
      <c r="I127" s="296"/>
      <c r="J127" s="473">
        <f t="shared" ref="J127:Y128" si="0">J22 * (1 - J$112)</f>
        <v>0</v>
      </c>
      <c r="K127" s="473">
        <f t="shared" si="0"/>
        <v>0</v>
      </c>
      <c r="L127" s="473">
        <f t="shared" si="0"/>
        <v>0</v>
      </c>
      <c r="M127" s="473">
        <f t="shared" si="0"/>
        <v>0</v>
      </c>
      <c r="N127" s="473">
        <f t="shared" si="0"/>
        <v>0</v>
      </c>
      <c r="O127" s="473">
        <f t="shared" si="0"/>
        <v>0</v>
      </c>
      <c r="P127" s="473">
        <f t="shared" si="0"/>
        <v>0</v>
      </c>
      <c r="Q127" s="473">
        <f t="shared" si="0"/>
        <v>0</v>
      </c>
      <c r="R127" s="473">
        <f t="shared" si="0"/>
        <v>0</v>
      </c>
      <c r="S127" s="473">
        <f t="shared" si="0"/>
        <v>0</v>
      </c>
      <c r="T127" s="473">
        <f t="shared" si="0"/>
        <v>0</v>
      </c>
      <c r="U127" s="473">
        <f t="shared" si="0"/>
        <v>0</v>
      </c>
      <c r="V127" s="473">
        <f t="shared" si="0"/>
        <v>0</v>
      </c>
      <c r="W127" s="473">
        <f t="shared" si="0"/>
        <v>0</v>
      </c>
      <c r="X127" s="473">
        <f t="shared" si="0"/>
        <v>0</v>
      </c>
      <c r="Y127" s="473">
        <f t="shared" si="0"/>
        <v>0</v>
      </c>
      <c r="Z127" s="298"/>
      <c r="AA127" s="298"/>
    </row>
    <row r="128" spans="2:42" x14ac:dyDescent="0.25">
      <c r="F128" t="s">
        <v>43</v>
      </c>
      <c r="G128" t="s">
        <v>183</v>
      </c>
      <c r="H128" s="298"/>
      <c r="I128" s="298"/>
      <c r="J128" s="364">
        <f t="shared" si="0"/>
        <v>0</v>
      </c>
      <c r="K128" s="364">
        <f t="shared" si="0"/>
        <v>0</v>
      </c>
      <c r="L128" s="364">
        <f t="shared" si="0"/>
        <v>0</v>
      </c>
      <c r="M128" s="364">
        <f t="shared" si="0"/>
        <v>0</v>
      </c>
      <c r="N128" s="364">
        <f t="shared" si="0"/>
        <v>0</v>
      </c>
      <c r="O128" s="364">
        <f t="shared" si="0"/>
        <v>0</v>
      </c>
      <c r="P128" s="364">
        <f t="shared" si="0"/>
        <v>0</v>
      </c>
      <c r="Q128" s="364">
        <f t="shared" si="0"/>
        <v>0</v>
      </c>
      <c r="R128" s="364">
        <f t="shared" si="0"/>
        <v>0</v>
      </c>
      <c r="S128" s="364">
        <f t="shared" si="0"/>
        <v>0</v>
      </c>
      <c r="T128" s="364">
        <f t="shared" si="0"/>
        <v>0</v>
      </c>
      <c r="U128" s="364">
        <f t="shared" si="0"/>
        <v>0</v>
      </c>
      <c r="V128" s="364">
        <f t="shared" si="0"/>
        <v>0</v>
      </c>
      <c r="W128" s="364">
        <f t="shared" si="0"/>
        <v>0</v>
      </c>
      <c r="X128" s="364">
        <f t="shared" si="0"/>
        <v>0</v>
      </c>
      <c r="Y128" s="364">
        <f t="shared" si="0"/>
        <v>0</v>
      </c>
      <c r="Z128" s="298"/>
      <c r="AA128" s="298"/>
    </row>
    <row r="129" spans="4:27" x14ac:dyDescent="0.25">
      <c r="F129" t="s">
        <v>44</v>
      </c>
      <c r="G129" t="s">
        <v>183</v>
      </c>
      <c r="H129" s="298"/>
      <c r="I129" s="298"/>
      <c r="J129" s="364">
        <f t="shared" ref="J129:Y129" si="1">J24 * (1 - J$113)</f>
        <v>0</v>
      </c>
      <c r="K129" s="364">
        <f t="shared" si="1"/>
        <v>0</v>
      </c>
      <c r="L129" s="364">
        <f t="shared" si="1"/>
        <v>0</v>
      </c>
      <c r="M129" s="364">
        <f t="shared" si="1"/>
        <v>0</v>
      </c>
      <c r="N129" s="364">
        <f t="shared" si="1"/>
        <v>0</v>
      </c>
      <c r="O129" s="364">
        <f t="shared" si="1"/>
        <v>0</v>
      </c>
      <c r="P129" s="364">
        <f t="shared" si="1"/>
        <v>0</v>
      </c>
      <c r="Q129" s="364">
        <f t="shared" si="1"/>
        <v>0</v>
      </c>
      <c r="R129" s="364">
        <f t="shared" si="1"/>
        <v>0</v>
      </c>
      <c r="S129" s="364">
        <f t="shared" si="1"/>
        <v>0</v>
      </c>
      <c r="T129" s="364">
        <f t="shared" si="1"/>
        <v>0</v>
      </c>
      <c r="U129" s="364">
        <f t="shared" si="1"/>
        <v>0</v>
      </c>
      <c r="V129" s="364">
        <f t="shared" si="1"/>
        <v>0</v>
      </c>
      <c r="W129" s="364">
        <f t="shared" si="1"/>
        <v>0</v>
      </c>
      <c r="X129" s="364">
        <f t="shared" si="1"/>
        <v>0</v>
      </c>
      <c r="Y129" s="364">
        <f t="shared" si="1"/>
        <v>0</v>
      </c>
      <c r="Z129" s="298"/>
      <c r="AA129" s="298"/>
    </row>
    <row r="130" spans="4:27" x14ac:dyDescent="0.25">
      <c r="F130" t="s">
        <v>45</v>
      </c>
      <c r="G130" t="s">
        <v>183</v>
      </c>
      <c r="H130" s="298"/>
      <c r="I130" s="298"/>
      <c r="J130" s="364">
        <f t="shared" ref="J130:Y130" si="2">J25 * (1 - J$114)</f>
        <v>0</v>
      </c>
      <c r="K130" s="364">
        <f t="shared" si="2"/>
        <v>0</v>
      </c>
      <c r="L130" s="364">
        <f t="shared" si="2"/>
        <v>0</v>
      </c>
      <c r="M130" s="364">
        <f t="shared" si="2"/>
        <v>0</v>
      </c>
      <c r="N130" s="364">
        <f t="shared" si="2"/>
        <v>0</v>
      </c>
      <c r="O130" s="364">
        <f t="shared" si="2"/>
        <v>0</v>
      </c>
      <c r="P130" s="364">
        <f t="shared" si="2"/>
        <v>0</v>
      </c>
      <c r="Q130" s="364">
        <f t="shared" si="2"/>
        <v>0</v>
      </c>
      <c r="R130" s="364">
        <f t="shared" si="2"/>
        <v>0</v>
      </c>
      <c r="S130" s="364">
        <f t="shared" si="2"/>
        <v>0</v>
      </c>
      <c r="T130" s="364">
        <f t="shared" si="2"/>
        <v>0</v>
      </c>
      <c r="U130" s="364">
        <f t="shared" si="2"/>
        <v>0</v>
      </c>
      <c r="V130" s="364">
        <f t="shared" si="2"/>
        <v>0</v>
      </c>
      <c r="W130" s="364">
        <f t="shared" si="2"/>
        <v>0</v>
      </c>
      <c r="X130" s="364">
        <f t="shared" si="2"/>
        <v>0</v>
      </c>
      <c r="Y130" s="364">
        <f t="shared" si="2"/>
        <v>0</v>
      </c>
      <c r="Z130" s="298"/>
      <c r="AA130" s="298"/>
    </row>
    <row r="131" spans="4:27" x14ac:dyDescent="0.25">
      <c r="F131" t="s">
        <v>46</v>
      </c>
      <c r="G131" t="s">
        <v>183</v>
      </c>
      <c r="H131" s="298"/>
      <c r="I131" s="298"/>
      <c r="J131" s="364">
        <f t="shared" ref="J131:Y131" si="3">J26 * (1 - J$115)</f>
        <v>1.9699842150414437</v>
      </c>
      <c r="K131" s="364">
        <f t="shared" si="3"/>
        <v>1.9699842150414437</v>
      </c>
      <c r="L131" s="364">
        <f t="shared" si="3"/>
        <v>2.3777303354933434</v>
      </c>
      <c r="M131" s="364">
        <f t="shared" si="3"/>
        <v>2.3777303354933434</v>
      </c>
      <c r="N131" s="364">
        <f t="shared" si="3"/>
        <v>2.008173094541291</v>
      </c>
      <c r="O131" s="364">
        <f t="shared" si="3"/>
        <v>1.6629262235076845</v>
      </c>
      <c r="P131" s="364">
        <f t="shared" si="3"/>
        <v>1.2640265451984007</v>
      </c>
      <c r="Q131" s="364">
        <f t="shared" si="3"/>
        <v>4.8122398694805391</v>
      </c>
      <c r="R131" s="364">
        <f t="shared" si="3"/>
        <v>-1.5495012926110912</v>
      </c>
      <c r="S131" s="364">
        <f t="shared" si="3"/>
        <v>-1.4639632122045061</v>
      </c>
      <c r="T131" s="364">
        <f t="shared" si="3"/>
        <v>-1.5495012926110912</v>
      </c>
      <c r="U131" s="364">
        <f t="shared" si="3"/>
        <v>-1.5495012926110912</v>
      </c>
      <c r="V131" s="364">
        <f t="shared" si="3"/>
        <v>-1.4639632122045061</v>
      </c>
      <c r="W131" s="364">
        <f t="shared" si="3"/>
        <v>-1.4639632122045061</v>
      </c>
      <c r="X131" s="364">
        <f t="shared" si="3"/>
        <v>-1.39126020496584</v>
      </c>
      <c r="Y131" s="364">
        <f t="shared" si="3"/>
        <v>-1.39126020496584</v>
      </c>
      <c r="Z131" s="298"/>
      <c r="AA131" s="298"/>
    </row>
    <row r="132" spans="4:27" x14ac:dyDescent="0.25">
      <c r="F132" t="s">
        <v>47</v>
      </c>
      <c r="G132" t="s">
        <v>183</v>
      </c>
      <c r="H132" s="298"/>
      <c r="I132" s="298"/>
      <c r="J132" s="364">
        <f t="shared" ref="J132:Y132" si="4">J27 * (1 - J$116)</f>
        <v>0.40673018015863577</v>
      </c>
      <c r="K132" s="364">
        <f t="shared" si="4"/>
        <v>0.40673018015863577</v>
      </c>
      <c r="L132" s="364">
        <f t="shared" si="4"/>
        <v>0.49091494253598139</v>
      </c>
      <c r="M132" s="364">
        <f t="shared" si="4"/>
        <v>0.49091494253598139</v>
      </c>
      <c r="N132" s="364">
        <f t="shared" si="4"/>
        <v>0.41461479655324096</v>
      </c>
      <c r="O132" s="364">
        <f t="shared" si="4"/>
        <v>0.34333385887742823</v>
      </c>
      <c r="P132" s="364">
        <f t="shared" si="4"/>
        <v>0</v>
      </c>
      <c r="Q132" s="364">
        <f t="shared" si="4"/>
        <v>1.0407571956622039</v>
      </c>
      <c r="R132" s="364">
        <f t="shared" si="4"/>
        <v>-0.31991573084076191</v>
      </c>
      <c r="S132" s="364">
        <f t="shared" si="4"/>
        <v>-0.30225522443235792</v>
      </c>
      <c r="T132" s="364">
        <f t="shared" si="4"/>
        <v>-0.31991573084076191</v>
      </c>
      <c r="U132" s="364">
        <f t="shared" si="4"/>
        <v>-0.31991573084076191</v>
      </c>
      <c r="V132" s="364">
        <f t="shared" si="4"/>
        <v>-0.30225522443235792</v>
      </c>
      <c r="W132" s="364">
        <f t="shared" si="4"/>
        <v>-0.30225522443235792</v>
      </c>
      <c r="X132" s="364">
        <f t="shared" si="4"/>
        <v>-0.25433053471496125</v>
      </c>
      <c r="Y132" s="364">
        <f t="shared" si="4"/>
        <v>-0.25433053471496125</v>
      </c>
      <c r="Z132" s="298"/>
      <c r="AA132" s="298"/>
    </row>
    <row r="133" spans="4:27" x14ac:dyDescent="0.25">
      <c r="F133" t="s">
        <v>51</v>
      </c>
      <c r="G133" t="s">
        <v>183</v>
      </c>
      <c r="H133" s="298"/>
      <c r="I133" s="298"/>
      <c r="J133" s="364">
        <f t="shared" ref="J133:Y133" si="5">J28 * (1 - J$117)</f>
        <v>0</v>
      </c>
      <c r="K133" s="364">
        <f t="shared" si="5"/>
        <v>0</v>
      </c>
      <c r="L133" s="364">
        <f t="shared" si="5"/>
        <v>0</v>
      </c>
      <c r="M133" s="364">
        <f t="shared" si="5"/>
        <v>0</v>
      </c>
      <c r="N133" s="364">
        <f t="shared" si="5"/>
        <v>0</v>
      </c>
      <c r="O133" s="364">
        <f t="shared" si="5"/>
        <v>0</v>
      </c>
      <c r="P133" s="364">
        <f t="shared" si="5"/>
        <v>0</v>
      </c>
      <c r="Q133" s="364">
        <f t="shared" si="5"/>
        <v>0</v>
      </c>
      <c r="R133" s="364">
        <f t="shared" si="5"/>
        <v>0</v>
      </c>
      <c r="S133" s="364">
        <f t="shared" si="5"/>
        <v>0</v>
      </c>
      <c r="T133" s="364">
        <f t="shared" si="5"/>
        <v>0</v>
      </c>
      <c r="U133" s="364">
        <f t="shared" si="5"/>
        <v>0</v>
      </c>
      <c r="V133" s="364">
        <f t="shared" si="5"/>
        <v>0</v>
      </c>
      <c r="W133" s="364">
        <f t="shared" si="5"/>
        <v>0</v>
      </c>
      <c r="X133" s="364">
        <f t="shared" si="5"/>
        <v>0</v>
      </c>
      <c r="Y133" s="364">
        <f t="shared" si="5"/>
        <v>0</v>
      </c>
      <c r="Z133" s="298"/>
      <c r="AA133" s="298"/>
    </row>
    <row r="134" spans="4:27" x14ac:dyDescent="0.25">
      <c r="F134" t="s">
        <v>48</v>
      </c>
      <c r="G134" t="s">
        <v>183</v>
      </c>
      <c r="H134" s="298"/>
      <c r="I134" s="298"/>
      <c r="J134" s="364">
        <f t="shared" ref="J134:Y134" si="6">J29 * (1 - J$118)</f>
        <v>1.3986708947588413</v>
      </c>
      <c r="K134" s="364">
        <f t="shared" si="6"/>
        <v>1.3986708947588413</v>
      </c>
      <c r="L134" s="364">
        <f t="shared" si="6"/>
        <v>1.6881669357791018</v>
      </c>
      <c r="M134" s="364">
        <f t="shared" si="6"/>
        <v>1.6881669357791018</v>
      </c>
      <c r="N134" s="364">
        <f t="shared" si="6"/>
        <v>1.140627721796688</v>
      </c>
      <c r="O134" s="364">
        <f t="shared" si="6"/>
        <v>0</v>
      </c>
      <c r="P134" s="364">
        <f t="shared" si="6"/>
        <v>0</v>
      </c>
      <c r="Q134" s="364">
        <f t="shared" si="6"/>
        <v>3.5789741432902855</v>
      </c>
      <c r="R134" s="364">
        <f t="shared" si="6"/>
        <v>-1.1001318400516942</v>
      </c>
      <c r="S134" s="364">
        <f t="shared" si="6"/>
        <v>-1.0394005801031394</v>
      </c>
      <c r="T134" s="364">
        <f t="shared" si="6"/>
        <v>-1.1001318400516942</v>
      </c>
      <c r="U134" s="364">
        <f t="shared" si="6"/>
        <v>-1.1001318400516942</v>
      </c>
      <c r="V134" s="364">
        <f t="shared" si="6"/>
        <v>-1.0394005801031394</v>
      </c>
      <c r="W134" s="364">
        <f t="shared" si="6"/>
        <v>-1.0394005801031394</v>
      </c>
      <c r="X134" s="364">
        <f t="shared" si="6"/>
        <v>0</v>
      </c>
      <c r="Y134" s="364">
        <f t="shared" si="6"/>
        <v>0</v>
      </c>
      <c r="Z134" s="298"/>
      <c r="AA134" s="298"/>
    </row>
    <row r="135" spans="4:27" x14ac:dyDescent="0.25">
      <c r="F135" t="s">
        <v>49</v>
      </c>
      <c r="G135" t="s">
        <v>183</v>
      </c>
      <c r="H135" s="298"/>
      <c r="I135" s="298"/>
      <c r="J135" s="364">
        <f t="shared" ref="J135:Y135" si="7">J30 * (1 - J$119)</f>
        <v>0.32116724837886368</v>
      </c>
      <c r="K135" s="364">
        <f t="shared" si="7"/>
        <v>0.32116724837886368</v>
      </c>
      <c r="L135" s="364">
        <f t="shared" si="7"/>
        <v>0.38764224779399253</v>
      </c>
      <c r="M135" s="364">
        <f t="shared" si="7"/>
        <v>0.38764224779399253</v>
      </c>
      <c r="N135" s="364">
        <f t="shared" si="7"/>
        <v>0</v>
      </c>
      <c r="O135" s="364">
        <f t="shared" si="7"/>
        <v>0</v>
      </c>
      <c r="P135" s="364">
        <f t="shared" si="7"/>
        <v>0</v>
      </c>
      <c r="Q135" s="364">
        <f t="shared" si="7"/>
        <v>0.82181539769427292</v>
      </c>
      <c r="R135" s="364">
        <f t="shared" si="7"/>
        <v>-0.2526157634704333</v>
      </c>
      <c r="S135" s="364">
        <f t="shared" si="7"/>
        <v>0</v>
      </c>
      <c r="T135" s="364">
        <f t="shared" si="7"/>
        <v>-0.2526157634704333</v>
      </c>
      <c r="U135" s="364">
        <f t="shared" si="7"/>
        <v>-0.2526157634704333</v>
      </c>
      <c r="V135" s="364">
        <f t="shared" si="7"/>
        <v>0</v>
      </c>
      <c r="W135" s="364">
        <f t="shared" si="7"/>
        <v>0</v>
      </c>
      <c r="X135" s="364">
        <f t="shared" si="7"/>
        <v>0</v>
      </c>
      <c r="Y135" s="364">
        <f t="shared" si="7"/>
        <v>0</v>
      </c>
      <c r="Z135" s="298"/>
      <c r="AA135" s="298"/>
    </row>
    <row r="136" spans="4:27" x14ac:dyDescent="0.25">
      <c r="F136" t="s">
        <v>50</v>
      </c>
      <c r="G136" t="s">
        <v>183</v>
      </c>
      <c r="H136" s="298"/>
      <c r="I136" s="298"/>
      <c r="J136" s="364">
        <f t="shared" ref="J136:Y136" si="8">J31 * (1 - J$120)</f>
        <v>0</v>
      </c>
      <c r="K136" s="364">
        <f t="shared" si="8"/>
        <v>0</v>
      </c>
      <c r="L136" s="364">
        <f t="shared" si="8"/>
        <v>0</v>
      </c>
      <c r="M136" s="364">
        <f t="shared" si="8"/>
        <v>0</v>
      </c>
      <c r="N136" s="364">
        <f t="shared" si="8"/>
        <v>0</v>
      </c>
      <c r="O136" s="364">
        <f t="shared" si="8"/>
        <v>0</v>
      </c>
      <c r="P136" s="364">
        <f t="shared" si="8"/>
        <v>0</v>
      </c>
      <c r="Q136" s="364">
        <f t="shared" si="8"/>
        <v>0.14438490340955101</v>
      </c>
      <c r="R136" s="364">
        <f t="shared" si="8"/>
        <v>0</v>
      </c>
      <c r="S136" s="364">
        <f t="shared" si="8"/>
        <v>0</v>
      </c>
      <c r="T136" s="364">
        <f t="shared" si="8"/>
        <v>0</v>
      </c>
      <c r="U136" s="364">
        <f t="shared" si="8"/>
        <v>0</v>
      </c>
      <c r="V136" s="364">
        <f t="shared" si="8"/>
        <v>0</v>
      </c>
      <c r="W136" s="364">
        <f t="shared" si="8"/>
        <v>0</v>
      </c>
      <c r="X136" s="364">
        <f t="shared" si="8"/>
        <v>0</v>
      </c>
      <c r="Y136" s="364">
        <f t="shared" si="8"/>
        <v>0</v>
      </c>
      <c r="Z136" s="298"/>
      <c r="AA136" s="298"/>
    </row>
    <row r="137" spans="4:27" x14ac:dyDescent="0.25">
      <c r="D137"/>
      <c r="F137" s="80" t="s">
        <v>124</v>
      </c>
      <c r="G137" s="80" t="s">
        <v>183</v>
      </c>
      <c r="H137" s="296"/>
      <c r="I137" s="296"/>
      <c r="J137" s="308"/>
      <c r="K137" s="308"/>
      <c r="L137" s="308"/>
      <c r="M137" s="308"/>
      <c r="N137" s="308"/>
      <c r="O137" s="308"/>
      <c r="P137" s="308"/>
      <c r="Q137" s="308"/>
      <c r="R137" s="308"/>
      <c r="S137" s="308"/>
      <c r="T137" s="308"/>
      <c r="U137" s="308"/>
      <c r="V137" s="308"/>
      <c r="W137" s="308"/>
      <c r="X137" s="308"/>
      <c r="Y137" s="308"/>
      <c r="Z137" s="298"/>
      <c r="AA137" s="298"/>
    </row>
    <row r="138" spans="4:27" x14ac:dyDescent="0.25">
      <c r="D138"/>
      <c r="F138" s="17" t="s">
        <v>123</v>
      </c>
      <c r="G138" s="17" t="s">
        <v>183</v>
      </c>
      <c r="H138" s="300"/>
      <c r="I138" s="300"/>
      <c r="J138" s="305"/>
      <c r="K138" s="305"/>
      <c r="L138" s="305"/>
      <c r="M138" s="305"/>
      <c r="N138" s="305"/>
      <c r="O138" s="305"/>
      <c r="P138" s="305"/>
      <c r="Q138" s="305"/>
      <c r="R138" s="305"/>
      <c r="S138" s="305"/>
      <c r="T138" s="305"/>
      <c r="U138" s="305"/>
      <c r="V138" s="305"/>
      <c r="W138" s="305"/>
      <c r="X138" s="305"/>
      <c r="Y138" s="305"/>
      <c r="Z138" s="298"/>
      <c r="AA138" s="298"/>
    </row>
    <row r="139" spans="4:27" x14ac:dyDescent="0.25">
      <c r="E139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</row>
    <row r="140" spans="4:27" x14ac:dyDescent="0.25">
      <c r="E140" s="52" t="s">
        <v>116</v>
      </c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</row>
    <row r="141" spans="4:27" x14ac:dyDescent="0.25">
      <c r="F141" s="80" t="s">
        <v>267</v>
      </c>
      <c r="G141" s="80" t="s">
        <v>183</v>
      </c>
      <c r="H141" s="296"/>
      <c r="I141" s="296"/>
      <c r="J141" s="473">
        <f t="shared" ref="J141:Y142" si="9">J36 * (1 - J$112)</f>
        <v>0.77780771331258114</v>
      </c>
      <c r="K141" s="473">
        <f t="shared" si="9"/>
        <v>0.77780771331258114</v>
      </c>
      <c r="L141" s="473">
        <f t="shared" si="9"/>
        <v>0.93879787513176938</v>
      </c>
      <c r="M141" s="473">
        <f t="shared" si="9"/>
        <v>0.93879787513176938</v>
      </c>
      <c r="N141" s="473">
        <f t="shared" si="9"/>
        <v>0.79288580622873228</v>
      </c>
      <c r="O141" s="473">
        <f t="shared" si="9"/>
        <v>0.65657218643593429</v>
      </c>
      <c r="P141" s="473">
        <f t="shared" si="9"/>
        <v>0.64386818381807154</v>
      </c>
      <c r="Q141" s="473">
        <f t="shared" si="9"/>
        <v>1.9000138479350954</v>
      </c>
      <c r="R141" s="473">
        <f t="shared" si="9"/>
        <v>-0.61178868743136949</v>
      </c>
      <c r="S141" s="473">
        <f t="shared" si="9"/>
        <v>-0.57801573726547506</v>
      </c>
      <c r="T141" s="473">
        <f t="shared" si="9"/>
        <v>-0.61178868743136949</v>
      </c>
      <c r="U141" s="473">
        <f t="shared" si="9"/>
        <v>-0.61178868743136949</v>
      </c>
      <c r="V141" s="473">
        <f t="shared" si="9"/>
        <v>-0.57801573726547506</v>
      </c>
      <c r="W141" s="473">
        <f t="shared" si="9"/>
        <v>-0.57801573726547506</v>
      </c>
      <c r="X141" s="473">
        <f t="shared" si="9"/>
        <v>-0.5669426388504275</v>
      </c>
      <c r="Y141" s="473">
        <f t="shared" si="9"/>
        <v>-0.5669426388504275</v>
      </c>
      <c r="Z141" s="298"/>
      <c r="AA141" s="298"/>
    </row>
    <row r="142" spans="4:27" x14ac:dyDescent="0.25">
      <c r="F142" t="s">
        <v>43</v>
      </c>
      <c r="G142" t="s">
        <v>183</v>
      </c>
      <c r="H142" s="298"/>
      <c r="I142" s="298"/>
      <c r="J142" s="364">
        <f t="shared" si="9"/>
        <v>0</v>
      </c>
      <c r="K142" s="364">
        <f t="shared" si="9"/>
        <v>0</v>
      </c>
      <c r="L142" s="364">
        <f t="shared" si="9"/>
        <v>0</v>
      </c>
      <c r="M142" s="364">
        <f t="shared" si="9"/>
        <v>0</v>
      </c>
      <c r="N142" s="364">
        <f t="shared" si="9"/>
        <v>0</v>
      </c>
      <c r="O142" s="364">
        <f t="shared" si="9"/>
        <v>0</v>
      </c>
      <c r="P142" s="364">
        <f t="shared" si="9"/>
        <v>0</v>
      </c>
      <c r="Q142" s="364">
        <f t="shared" si="9"/>
        <v>0</v>
      </c>
      <c r="R142" s="364">
        <f t="shared" si="9"/>
        <v>0</v>
      </c>
      <c r="S142" s="364">
        <f t="shared" si="9"/>
        <v>0</v>
      </c>
      <c r="T142" s="364">
        <f t="shared" si="9"/>
        <v>0</v>
      </c>
      <c r="U142" s="364">
        <f t="shared" si="9"/>
        <v>0</v>
      </c>
      <c r="V142" s="364">
        <f t="shared" si="9"/>
        <v>0</v>
      </c>
      <c r="W142" s="364">
        <f t="shared" si="9"/>
        <v>0</v>
      </c>
      <c r="X142" s="364">
        <f t="shared" si="9"/>
        <v>0</v>
      </c>
      <c r="Y142" s="364">
        <f t="shared" si="9"/>
        <v>0</v>
      </c>
      <c r="Z142" s="298"/>
      <c r="AA142" s="298"/>
    </row>
    <row r="143" spans="4:27" x14ac:dyDescent="0.25">
      <c r="F143" t="s">
        <v>44</v>
      </c>
      <c r="G143" t="s">
        <v>183</v>
      </c>
      <c r="H143" s="298"/>
      <c r="I143" s="298"/>
      <c r="J143" s="364">
        <f t="shared" ref="J143:Y143" si="10">J38 * (1 - J$113)</f>
        <v>0</v>
      </c>
      <c r="K143" s="364">
        <f t="shared" si="10"/>
        <v>0</v>
      </c>
      <c r="L143" s="364">
        <f t="shared" si="10"/>
        <v>0</v>
      </c>
      <c r="M143" s="364">
        <f t="shared" si="10"/>
        <v>0</v>
      </c>
      <c r="N143" s="364">
        <f t="shared" si="10"/>
        <v>0</v>
      </c>
      <c r="O143" s="364">
        <f t="shared" si="10"/>
        <v>0</v>
      </c>
      <c r="P143" s="364">
        <f t="shared" si="10"/>
        <v>0</v>
      </c>
      <c r="Q143" s="364">
        <f t="shared" si="10"/>
        <v>0</v>
      </c>
      <c r="R143" s="364">
        <f t="shared" si="10"/>
        <v>0</v>
      </c>
      <c r="S143" s="364">
        <f t="shared" si="10"/>
        <v>0</v>
      </c>
      <c r="T143" s="364">
        <f t="shared" si="10"/>
        <v>0</v>
      </c>
      <c r="U143" s="364">
        <f t="shared" si="10"/>
        <v>0</v>
      </c>
      <c r="V143" s="364">
        <f t="shared" si="10"/>
        <v>0</v>
      </c>
      <c r="W143" s="364">
        <f t="shared" si="10"/>
        <v>0</v>
      </c>
      <c r="X143" s="364">
        <f t="shared" si="10"/>
        <v>0</v>
      </c>
      <c r="Y143" s="364">
        <f t="shared" si="10"/>
        <v>0</v>
      </c>
      <c r="Z143" s="298"/>
      <c r="AA143" s="298"/>
    </row>
    <row r="144" spans="4:27" x14ac:dyDescent="0.25">
      <c r="F144" t="s">
        <v>45</v>
      </c>
      <c r="G144" t="s">
        <v>183</v>
      </c>
      <c r="H144" s="298"/>
      <c r="I144" s="298"/>
      <c r="J144" s="364">
        <f t="shared" ref="J144:Y144" si="11">J39 * (1 - J$114)</f>
        <v>0</v>
      </c>
      <c r="K144" s="364">
        <f t="shared" si="11"/>
        <v>0</v>
      </c>
      <c r="L144" s="364">
        <f t="shared" si="11"/>
        <v>0</v>
      </c>
      <c r="M144" s="364">
        <f t="shared" si="11"/>
        <v>0</v>
      </c>
      <c r="N144" s="364">
        <f t="shared" si="11"/>
        <v>0</v>
      </c>
      <c r="O144" s="364">
        <f t="shared" si="11"/>
        <v>0</v>
      </c>
      <c r="P144" s="364">
        <f t="shared" si="11"/>
        <v>0</v>
      </c>
      <c r="Q144" s="364">
        <f t="shared" si="11"/>
        <v>0</v>
      </c>
      <c r="R144" s="364">
        <f t="shared" si="11"/>
        <v>0</v>
      </c>
      <c r="S144" s="364">
        <f t="shared" si="11"/>
        <v>0</v>
      </c>
      <c r="T144" s="364">
        <f t="shared" si="11"/>
        <v>0</v>
      </c>
      <c r="U144" s="364">
        <f t="shared" si="11"/>
        <v>0</v>
      </c>
      <c r="V144" s="364">
        <f t="shared" si="11"/>
        <v>0</v>
      </c>
      <c r="W144" s="364">
        <f t="shared" si="11"/>
        <v>0</v>
      </c>
      <c r="X144" s="364">
        <f t="shared" si="11"/>
        <v>0</v>
      </c>
      <c r="Y144" s="364">
        <f t="shared" si="11"/>
        <v>0</v>
      </c>
      <c r="Z144" s="298"/>
      <c r="AA144" s="298"/>
    </row>
    <row r="145" spans="3:27" x14ac:dyDescent="0.25">
      <c r="F145" t="s">
        <v>46</v>
      </c>
      <c r="G145" t="s">
        <v>183</v>
      </c>
      <c r="H145" s="298"/>
      <c r="I145" s="298"/>
      <c r="J145" s="364">
        <f t="shared" ref="J145:Y145" si="12">J40 * (1 - J$115)</f>
        <v>1.4777755783491016</v>
      </c>
      <c r="K145" s="364">
        <f t="shared" si="12"/>
        <v>1.4777755783491016</v>
      </c>
      <c r="L145" s="364">
        <f t="shared" si="12"/>
        <v>1.7836446580958814</v>
      </c>
      <c r="M145" s="364">
        <f t="shared" si="12"/>
        <v>1.7836446580958814</v>
      </c>
      <c r="N145" s="364">
        <f t="shared" si="12"/>
        <v>1.5064228096611576</v>
      </c>
      <c r="O145" s="364">
        <f t="shared" si="12"/>
        <v>1.2474372855034563</v>
      </c>
      <c r="P145" s="364">
        <f t="shared" si="12"/>
        <v>0.97864051635081228</v>
      </c>
      <c r="Q145" s="364">
        <f t="shared" si="12"/>
        <v>3.6098819990426181</v>
      </c>
      <c r="R145" s="364">
        <f t="shared" si="12"/>
        <v>-1.1623520388425366</v>
      </c>
      <c r="S145" s="364">
        <f t="shared" si="12"/>
        <v>-1.0981859986892382</v>
      </c>
      <c r="T145" s="364">
        <f t="shared" si="12"/>
        <v>-1.1623520388425366</v>
      </c>
      <c r="U145" s="364">
        <f t="shared" si="12"/>
        <v>-1.1623520388425366</v>
      </c>
      <c r="V145" s="364">
        <f t="shared" si="12"/>
        <v>-1.0981859986892382</v>
      </c>
      <c r="W145" s="364">
        <f t="shared" si="12"/>
        <v>-1.0981859986892382</v>
      </c>
      <c r="X145" s="364">
        <f t="shared" si="12"/>
        <v>-1.0771479527373369</v>
      </c>
      <c r="Y145" s="364">
        <f t="shared" si="12"/>
        <v>-1.0771479527373369</v>
      </c>
      <c r="Z145" s="298"/>
      <c r="AA145" s="298"/>
    </row>
    <row r="146" spans="3:27" x14ac:dyDescent="0.25">
      <c r="F146" t="s">
        <v>47</v>
      </c>
      <c r="G146" t="s">
        <v>183</v>
      </c>
      <c r="H146" s="298"/>
      <c r="I146" s="298"/>
      <c r="J146" s="364">
        <f t="shared" ref="J146:Y146" si="13">J41 * (1 - J$116)</f>
        <v>0.30510697630301459</v>
      </c>
      <c r="K146" s="364">
        <f t="shared" si="13"/>
        <v>0.30510697630301459</v>
      </c>
      <c r="L146" s="364">
        <f t="shared" si="13"/>
        <v>0.36825783048777594</v>
      </c>
      <c r="M146" s="364">
        <f t="shared" si="13"/>
        <v>0.36825783048777594</v>
      </c>
      <c r="N146" s="364">
        <f t="shared" si="13"/>
        <v>0.311021588949976</v>
      </c>
      <c r="O146" s="364">
        <f t="shared" si="13"/>
        <v>0.25755048593561786</v>
      </c>
      <c r="P146" s="364">
        <f t="shared" si="13"/>
        <v>0</v>
      </c>
      <c r="Q146" s="364">
        <f t="shared" si="13"/>
        <v>0.78071974130429611</v>
      </c>
      <c r="R146" s="364">
        <f t="shared" si="13"/>
        <v>-0.23998347324637667</v>
      </c>
      <c r="S146" s="364">
        <f t="shared" si="13"/>
        <v>-0.22673551680472151</v>
      </c>
      <c r="T146" s="364">
        <f t="shared" si="13"/>
        <v>-0.23998347324637667</v>
      </c>
      <c r="U146" s="364">
        <f t="shared" si="13"/>
        <v>-0.23998347324637667</v>
      </c>
      <c r="V146" s="364">
        <f t="shared" si="13"/>
        <v>-0.22673551680472151</v>
      </c>
      <c r="W146" s="364">
        <f t="shared" si="13"/>
        <v>-0.22673551680472151</v>
      </c>
      <c r="X146" s="364">
        <f t="shared" si="13"/>
        <v>-0.22239192452876896</v>
      </c>
      <c r="Y146" s="364">
        <f t="shared" si="13"/>
        <v>-0.22239192452876896</v>
      </c>
      <c r="Z146" s="298"/>
      <c r="AA146" s="298"/>
    </row>
    <row r="147" spans="3:27" x14ac:dyDescent="0.25">
      <c r="F147" t="s">
        <v>51</v>
      </c>
      <c r="G147" t="s">
        <v>183</v>
      </c>
      <c r="H147" s="298"/>
      <c r="I147" s="298"/>
      <c r="J147" s="364">
        <f t="shared" ref="J147:Y147" si="14">J42 * (1 - J$117)</f>
        <v>0</v>
      </c>
      <c r="K147" s="364">
        <f t="shared" si="14"/>
        <v>0</v>
      </c>
      <c r="L147" s="364">
        <f t="shared" si="14"/>
        <v>0</v>
      </c>
      <c r="M147" s="364">
        <f t="shared" si="14"/>
        <v>0</v>
      </c>
      <c r="N147" s="364">
        <f t="shared" si="14"/>
        <v>0</v>
      </c>
      <c r="O147" s="364">
        <f t="shared" si="14"/>
        <v>0</v>
      </c>
      <c r="P147" s="364">
        <f t="shared" si="14"/>
        <v>0</v>
      </c>
      <c r="Q147" s="364">
        <f t="shared" si="14"/>
        <v>0</v>
      </c>
      <c r="R147" s="364">
        <f t="shared" si="14"/>
        <v>0</v>
      </c>
      <c r="S147" s="364">
        <f t="shared" si="14"/>
        <v>0</v>
      </c>
      <c r="T147" s="364">
        <f t="shared" si="14"/>
        <v>0</v>
      </c>
      <c r="U147" s="364">
        <f t="shared" si="14"/>
        <v>0</v>
      </c>
      <c r="V147" s="364">
        <f t="shared" si="14"/>
        <v>0</v>
      </c>
      <c r="W147" s="364">
        <f t="shared" si="14"/>
        <v>0</v>
      </c>
      <c r="X147" s="364">
        <f t="shared" si="14"/>
        <v>0</v>
      </c>
      <c r="Y147" s="364">
        <f t="shared" si="14"/>
        <v>0</v>
      </c>
      <c r="Z147" s="298"/>
      <c r="AA147" s="298"/>
    </row>
    <row r="148" spans="3:27" x14ac:dyDescent="0.25">
      <c r="F148" t="s">
        <v>48</v>
      </c>
      <c r="G148" t="s">
        <v>183</v>
      </c>
      <c r="H148" s="298"/>
      <c r="I148" s="298"/>
      <c r="J148" s="364">
        <f t="shared" ref="J148:Y148" si="15">J43 * (1 - J$118)</f>
        <v>1.3125787594978817</v>
      </c>
      <c r="K148" s="364">
        <f t="shared" si="15"/>
        <v>1.3125787594978817</v>
      </c>
      <c r="L148" s="364">
        <f t="shared" si="15"/>
        <v>1.5842555033450745</v>
      </c>
      <c r="M148" s="364">
        <f t="shared" si="15"/>
        <v>1.5842555033450745</v>
      </c>
      <c r="N148" s="364">
        <f t="shared" si="15"/>
        <v>1.0704188710403761</v>
      </c>
      <c r="O148" s="364">
        <f t="shared" si="15"/>
        <v>0</v>
      </c>
      <c r="P148" s="364">
        <f t="shared" si="15"/>
        <v>0</v>
      </c>
      <c r="Q148" s="364">
        <f t="shared" si="15"/>
        <v>3.358678198622937</v>
      </c>
      <c r="R148" s="364">
        <f t="shared" si="15"/>
        <v>-1.0324156249409557</v>
      </c>
      <c r="S148" s="364">
        <f t="shared" si="15"/>
        <v>-0.97542254519308391</v>
      </c>
      <c r="T148" s="364">
        <f t="shared" si="15"/>
        <v>-1.0324156249409557</v>
      </c>
      <c r="U148" s="364">
        <f t="shared" si="15"/>
        <v>-1.0324156249409557</v>
      </c>
      <c r="V148" s="364">
        <f t="shared" si="15"/>
        <v>-0.97542254519308391</v>
      </c>
      <c r="W148" s="364">
        <f t="shared" si="15"/>
        <v>-0.97542254519308391</v>
      </c>
      <c r="X148" s="364">
        <f t="shared" si="15"/>
        <v>0</v>
      </c>
      <c r="Y148" s="364">
        <f t="shared" si="15"/>
        <v>0</v>
      </c>
      <c r="Z148" s="298"/>
      <c r="AA148" s="298"/>
    </row>
    <row r="149" spans="3:27" x14ac:dyDescent="0.25">
      <c r="F149" t="s">
        <v>49</v>
      </c>
      <c r="G149" t="s">
        <v>183</v>
      </c>
      <c r="H149" s="298"/>
      <c r="I149" s="298"/>
      <c r="J149" s="364">
        <f t="shared" ref="J149:Y149" si="16">J44 * (1 - J$119)</f>
        <v>0.32988820848781847</v>
      </c>
      <c r="K149" s="364">
        <f t="shared" si="16"/>
        <v>0.32988820848781847</v>
      </c>
      <c r="L149" s="364">
        <f t="shared" si="16"/>
        <v>0.3981682668592027</v>
      </c>
      <c r="M149" s="364">
        <f t="shared" si="16"/>
        <v>0.3981682668592027</v>
      </c>
      <c r="N149" s="364">
        <f t="shared" si="16"/>
        <v>0</v>
      </c>
      <c r="O149" s="364">
        <f t="shared" si="16"/>
        <v>0</v>
      </c>
      <c r="P149" s="364">
        <f t="shared" si="16"/>
        <v>0</v>
      </c>
      <c r="Q149" s="364">
        <f t="shared" si="16"/>
        <v>0.84413093371605963</v>
      </c>
      <c r="R149" s="364">
        <f t="shared" si="16"/>
        <v>-0.25947527983531499</v>
      </c>
      <c r="S149" s="364">
        <f t="shared" si="16"/>
        <v>0</v>
      </c>
      <c r="T149" s="364">
        <f t="shared" si="16"/>
        <v>-0.25947527983531499</v>
      </c>
      <c r="U149" s="364">
        <f t="shared" si="16"/>
        <v>-0.25947527983531499</v>
      </c>
      <c r="V149" s="364">
        <f t="shared" si="16"/>
        <v>0</v>
      </c>
      <c r="W149" s="364">
        <f t="shared" si="16"/>
        <v>0</v>
      </c>
      <c r="X149" s="364">
        <f t="shared" si="16"/>
        <v>0</v>
      </c>
      <c r="Y149" s="364">
        <f t="shared" si="16"/>
        <v>0</v>
      </c>
      <c r="Z149" s="298"/>
      <c r="AA149" s="298"/>
    </row>
    <row r="150" spans="3:27" x14ac:dyDescent="0.25">
      <c r="F150" t="s">
        <v>50</v>
      </c>
      <c r="G150" t="s">
        <v>183</v>
      </c>
      <c r="H150" s="298"/>
      <c r="I150" s="298"/>
      <c r="J150" s="364">
        <f t="shared" ref="J150:Y150" si="17">J45 * (1 - J$120)</f>
        <v>0</v>
      </c>
      <c r="K150" s="364">
        <f t="shared" si="17"/>
        <v>0</v>
      </c>
      <c r="L150" s="364">
        <f t="shared" si="17"/>
        <v>0</v>
      </c>
      <c r="M150" s="364">
        <f t="shared" si="17"/>
        <v>0</v>
      </c>
      <c r="N150" s="364">
        <f t="shared" si="17"/>
        <v>0</v>
      </c>
      <c r="O150" s="364">
        <f t="shared" si="17"/>
        <v>0</v>
      </c>
      <c r="P150" s="364">
        <f t="shared" si="17"/>
        <v>0</v>
      </c>
      <c r="Q150" s="364">
        <f t="shared" si="17"/>
        <v>1.4198549185085705</v>
      </c>
      <c r="R150" s="364">
        <f t="shared" si="17"/>
        <v>0</v>
      </c>
      <c r="S150" s="364">
        <f t="shared" si="17"/>
        <v>0</v>
      </c>
      <c r="T150" s="364">
        <f t="shared" si="17"/>
        <v>0</v>
      </c>
      <c r="U150" s="364">
        <f t="shared" si="17"/>
        <v>0</v>
      </c>
      <c r="V150" s="364">
        <f t="shared" si="17"/>
        <v>0</v>
      </c>
      <c r="W150" s="364">
        <f t="shared" si="17"/>
        <v>0</v>
      </c>
      <c r="X150" s="364">
        <f t="shared" si="17"/>
        <v>0</v>
      </c>
      <c r="Y150" s="364">
        <f t="shared" si="17"/>
        <v>0</v>
      </c>
      <c r="Z150" s="298"/>
      <c r="AA150" s="298"/>
    </row>
    <row r="151" spans="3:27" x14ac:dyDescent="0.25">
      <c r="D151"/>
      <c r="F151" s="80" t="s">
        <v>124</v>
      </c>
      <c r="G151" s="80" t="s">
        <v>183</v>
      </c>
      <c r="H151" s="296"/>
      <c r="I151" s="296" t="s">
        <v>359</v>
      </c>
      <c r="J151" s="308"/>
      <c r="K151" s="308"/>
      <c r="L151" s="308"/>
      <c r="M151" s="308"/>
      <c r="N151" s="308"/>
      <c r="O151" s="308"/>
      <c r="P151" s="308"/>
      <c r="Q151" s="309">
        <f t="shared" ref="Q151" si="18">Q46</f>
        <v>0.4392137814844751</v>
      </c>
      <c r="R151" s="308"/>
      <c r="S151" s="308"/>
      <c r="T151" s="308"/>
      <c r="U151" s="308"/>
      <c r="V151" s="308"/>
      <c r="W151" s="308"/>
      <c r="X151" s="308"/>
      <c r="Y151" s="308"/>
      <c r="Z151" s="298"/>
      <c r="AA151" s="298" t="s">
        <v>728</v>
      </c>
    </row>
    <row r="152" spans="3:27" x14ac:dyDescent="0.25">
      <c r="D152"/>
      <c r="F152" s="17" t="s">
        <v>123</v>
      </c>
      <c r="G152" s="17" t="s">
        <v>183</v>
      </c>
      <c r="H152" s="300"/>
      <c r="I152" s="300"/>
      <c r="J152" s="305"/>
      <c r="K152" s="305"/>
      <c r="L152" s="305"/>
      <c r="M152" s="305"/>
      <c r="N152" s="305"/>
      <c r="O152" s="305"/>
      <c r="P152" s="305"/>
      <c r="Q152" s="305"/>
      <c r="R152" s="305"/>
      <c r="S152" s="305"/>
      <c r="T152" s="305"/>
      <c r="U152" s="305"/>
      <c r="V152" s="305"/>
      <c r="W152" s="305"/>
      <c r="X152" s="305"/>
      <c r="Y152" s="305"/>
      <c r="Z152" s="298"/>
      <c r="AA152" s="298"/>
    </row>
    <row r="153" spans="3:27" x14ac:dyDescent="0.25">
      <c r="E153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</row>
    <row r="154" spans="3:27" x14ac:dyDescent="0.25">
      <c r="C154" s="5" t="str">
        <f ca="1">INDEX('Version control'!$H$36:$H$62,MATCH($A$1,'Version control'!$F$36:$F$62,0),1)&amp;"-F: Contributions to unit rate 2 p/kWh by network level (taking account of standing charges)"</f>
        <v>Section 514-F: Contributions to unit rate 2 p/kWh by network level (taking account of standing charges)</v>
      </c>
      <c r="D154" s="5"/>
      <c r="E154" s="5"/>
      <c r="F154" s="5"/>
      <c r="G154" s="5"/>
      <c r="H154" s="5"/>
      <c r="I154" s="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5"/>
      <c r="AA154" s="5"/>
    </row>
    <row r="155" spans="3:27" x14ac:dyDescent="0.25">
      <c r="C155" s="52"/>
      <c r="D155" s="52"/>
      <c r="E155"/>
      <c r="I155" t="s">
        <v>359</v>
      </c>
      <c r="J155" s="211"/>
      <c r="K155" s="211"/>
      <c r="L155" s="211"/>
      <c r="M155" s="211"/>
      <c r="N155" s="211"/>
      <c r="O155" s="211"/>
      <c r="P155" s="211"/>
      <c r="Q155" s="211"/>
      <c r="R155" s="211"/>
      <c r="S155" s="211"/>
      <c r="T155" s="211"/>
      <c r="U155" s="211"/>
      <c r="V155" s="211"/>
      <c r="W155" s="211"/>
      <c r="X155" s="211"/>
      <c r="Y155" s="211"/>
      <c r="AA155" t="s">
        <v>729</v>
      </c>
    </row>
    <row r="156" spans="3:27" x14ac:dyDescent="0.25">
      <c r="E156" s="52" t="s">
        <v>139</v>
      </c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</row>
    <row r="157" spans="3:27" x14ac:dyDescent="0.25">
      <c r="F157" s="80" t="s">
        <v>267</v>
      </c>
      <c r="G157" s="80" t="s">
        <v>183</v>
      </c>
      <c r="H157" s="296"/>
      <c r="I157" s="296"/>
      <c r="J157" s="473">
        <f t="shared" ref="J157:Y158" si="19">J52 * (1 - J$112)</f>
        <v>0</v>
      </c>
      <c r="K157" s="473">
        <f t="shared" si="19"/>
        <v>0</v>
      </c>
      <c r="L157" s="473">
        <f t="shared" si="19"/>
        <v>0</v>
      </c>
      <c r="M157" s="473">
        <f t="shared" si="19"/>
        <v>0</v>
      </c>
      <c r="N157" s="473">
        <f t="shared" si="19"/>
        <v>0</v>
      </c>
      <c r="O157" s="473">
        <f t="shared" si="19"/>
        <v>0</v>
      </c>
      <c r="P157" s="473">
        <f t="shared" si="19"/>
        <v>0</v>
      </c>
      <c r="Q157" s="473">
        <f t="shared" si="19"/>
        <v>0</v>
      </c>
      <c r="R157" s="473">
        <f t="shared" si="19"/>
        <v>0</v>
      </c>
      <c r="S157" s="473">
        <f t="shared" si="19"/>
        <v>0</v>
      </c>
      <c r="T157" s="473">
        <f t="shared" si="19"/>
        <v>0</v>
      </c>
      <c r="U157" s="473">
        <f t="shared" si="19"/>
        <v>0</v>
      </c>
      <c r="V157" s="473">
        <f t="shared" si="19"/>
        <v>0</v>
      </c>
      <c r="W157" s="473">
        <f t="shared" si="19"/>
        <v>0</v>
      </c>
      <c r="X157" s="473">
        <f t="shared" si="19"/>
        <v>0</v>
      </c>
      <c r="Y157" s="473">
        <f t="shared" si="19"/>
        <v>0</v>
      </c>
      <c r="Z157" s="298"/>
      <c r="AA157" s="298"/>
    </row>
    <row r="158" spans="3:27" x14ac:dyDescent="0.25">
      <c r="F158" t="s">
        <v>43</v>
      </c>
      <c r="G158" t="s">
        <v>183</v>
      </c>
      <c r="H158" s="298"/>
      <c r="I158" s="298"/>
      <c r="J158" s="364">
        <f t="shared" si="19"/>
        <v>0</v>
      </c>
      <c r="K158" s="364">
        <f t="shared" si="19"/>
        <v>0</v>
      </c>
      <c r="L158" s="364">
        <f t="shared" si="19"/>
        <v>0</v>
      </c>
      <c r="M158" s="364">
        <f t="shared" si="19"/>
        <v>0</v>
      </c>
      <c r="N158" s="364">
        <f t="shared" si="19"/>
        <v>0</v>
      </c>
      <c r="O158" s="364">
        <f t="shared" si="19"/>
        <v>0</v>
      </c>
      <c r="P158" s="364">
        <f t="shared" si="19"/>
        <v>0</v>
      </c>
      <c r="Q158" s="364">
        <f t="shared" si="19"/>
        <v>0</v>
      </c>
      <c r="R158" s="364">
        <f t="shared" si="19"/>
        <v>0</v>
      </c>
      <c r="S158" s="364">
        <f t="shared" si="19"/>
        <v>0</v>
      </c>
      <c r="T158" s="364">
        <f t="shared" si="19"/>
        <v>0</v>
      </c>
      <c r="U158" s="364">
        <f t="shared" si="19"/>
        <v>0</v>
      </c>
      <c r="V158" s="364">
        <f t="shared" si="19"/>
        <v>0</v>
      </c>
      <c r="W158" s="364">
        <f t="shared" si="19"/>
        <v>0</v>
      </c>
      <c r="X158" s="364">
        <f t="shared" si="19"/>
        <v>0</v>
      </c>
      <c r="Y158" s="364">
        <f t="shared" si="19"/>
        <v>0</v>
      </c>
      <c r="Z158" s="298"/>
      <c r="AA158" s="298"/>
    </row>
    <row r="159" spans="3:27" x14ac:dyDescent="0.25">
      <c r="F159" t="s">
        <v>44</v>
      </c>
      <c r="G159" t="s">
        <v>183</v>
      </c>
      <c r="H159" s="298"/>
      <c r="I159" s="298"/>
      <c r="J159" s="364">
        <f t="shared" ref="J159:Y159" si="20">J54 * (1 - J$113)</f>
        <v>0</v>
      </c>
      <c r="K159" s="364">
        <f t="shared" si="20"/>
        <v>0</v>
      </c>
      <c r="L159" s="364">
        <f t="shared" si="20"/>
        <v>0</v>
      </c>
      <c r="M159" s="364">
        <f t="shared" si="20"/>
        <v>0</v>
      </c>
      <c r="N159" s="364">
        <f t="shared" si="20"/>
        <v>0</v>
      </c>
      <c r="O159" s="364">
        <f t="shared" si="20"/>
        <v>0</v>
      </c>
      <c r="P159" s="364">
        <f t="shared" si="20"/>
        <v>0</v>
      </c>
      <c r="Q159" s="364">
        <f t="shared" si="20"/>
        <v>0</v>
      </c>
      <c r="R159" s="364">
        <f t="shared" si="20"/>
        <v>0</v>
      </c>
      <c r="S159" s="364">
        <f t="shared" si="20"/>
        <v>0</v>
      </c>
      <c r="T159" s="364">
        <f t="shared" si="20"/>
        <v>0</v>
      </c>
      <c r="U159" s="364">
        <f t="shared" si="20"/>
        <v>0</v>
      </c>
      <c r="V159" s="364">
        <f t="shared" si="20"/>
        <v>0</v>
      </c>
      <c r="W159" s="364">
        <f t="shared" si="20"/>
        <v>0</v>
      </c>
      <c r="X159" s="364">
        <f t="shared" si="20"/>
        <v>0</v>
      </c>
      <c r="Y159" s="364">
        <f t="shared" si="20"/>
        <v>0</v>
      </c>
      <c r="Z159" s="298"/>
      <c r="AA159" s="298"/>
    </row>
    <row r="160" spans="3:27" x14ac:dyDescent="0.25">
      <c r="F160" t="s">
        <v>45</v>
      </c>
      <c r="G160" t="s">
        <v>183</v>
      </c>
      <c r="H160" s="298"/>
      <c r="I160" s="298"/>
      <c r="J160" s="364">
        <f t="shared" ref="J160:Y160" si="21">J55 * (1 - J$114)</f>
        <v>0</v>
      </c>
      <c r="K160" s="364">
        <f t="shared" si="21"/>
        <v>0</v>
      </c>
      <c r="L160" s="364">
        <f t="shared" si="21"/>
        <v>0</v>
      </c>
      <c r="M160" s="364">
        <f t="shared" si="21"/>
        <v>0</v>
      </c>
      <c r="N160" s="364">
        <f t="shared" si="21"/>
        <v>0</v>
      </c>
      <c r="O160" s="364">
        <f t="shared" si="21"/>
        <v>0</v>
      </c>
      <c r="P160" s="364">
        <f t="shared" si="21"/>
        <v>0</v>
      </c>
      <c r="Q160" s="364">
        <f t="shared" si="21"/>
        <v>0</v>
      </c>
      <c r="R160" s="364">
        <f t="shared" si="21"/>
        <v>0</v>
      </c>
      <c r="S160" s="364">
        <f t="shared" si="21"/>
        <v>0</v>
      </c>
      <c r="T160" s="364">
        <f t="shared" si="21"/>
        <v>0</v>
      </c>
      <c r="U160" s="364">
        <f t="shared" si="21"/>
        <v>0</v>
      </c>
      <c r="V160" s="364">
        <f t="shared" si="21"/>
        <v>0</v>
      </c>
      <c r="W160" s="364">
        <f t="shared" si="21"/>
        <v>0</v>
      </c>
      <c r="X160" s="364">
        <f t="shared" si="21"/>
        <v>0</v>
      </c>
      <c r="Y160" s="364">
        <f t="shared" si="21"/>
        <v>0</v>
      </c>
      <c r="Z160" s="298"/>
      <c r="AA160" s="298"/>
    </row>
    <row r="161" spans="4:27" x14ac:dyDescent="0.25">
      <c r="F161" t="s">
        <v>46</v>
      </c>
      <c r="G161" t="s">
        <v>183</v>
      </c>
      <c r="H161" s="298"/>
      <c r="I161" s="298"/>
      <c r="J161" s="364">
        <f t="shared" ref="J161:Y161" si="22">J56 * (1 - J$115)</f>
        <v>0.15644534534391963</v>
      </c>
      <c r="K161" s="364">
        <f t="shared" si="22"/>
        <v>0.15644534534391963</v>
      </c>
      <c r="L161" s="364">
        <f t="shared" si="22"/>
        <v>0.18882630664283995</v>
      </c>
      <c r="M161" s="364">
        <f t="shared" si="22"/>
        <v>0.18882630664283995</v>
      </c>
      <c r="N161" s="364">
        <f t="shared" si="22"/>
        <v>0.15947809677209554</v>
      </c>
      <c r="O161" s="364">
        <f t="shared" si="22"/>
        <v>0.13206048319156033</v>
      </c>
      <c r="P161" s="364">
        <f t="shared" si="22"/>
        <v>0.10038205782440002</v>
      </c>
      <c r="Q161" s="364">
        <f t="shared" si="22"/>
        <v>0.15339210550845925</v>
      </c>
      <c r="R161" s="364">
        <f t="shared" si="22"/>
        <v>-0.12305289706511291</v>
      </c>
      <c r="S161" s="364">
        <f t="shared" si="22"/>
        <v>-0.11625993170676732</v>
      </c>
      <c r="T161" s="364">
        <f t="shared" si="22"/>
        <v>-0.12305289706511291</v>
      </c>
      <c r="U161" s="364">
        <f t="shared" si="22"/>
        <v>-0.12305289706511291</v>
      </c>
      <c r="V161" s="364">
        <f t="shared" si="22"/>
        <v>-0.11625993170676732</v>
      </c>
      <c r="W161" s="364">
        <f t="shared" si="22"/>
        <v>-0.11625993170676732</v>
      </c>
      <c r="X161" s="364">
        <f t="shared" si="22"/>
        <v>-0.11048625748737498</v>
      </c>
      <c r="Y161" s="364">
        <f t="shared" si="22"/>
        <v>-0.11048625748737498</v>
      </c>
      <c r="Z161" s="298"/>
      <c r="AA161" s="298"/>
    </row>
    <row r="162" spans="4:27" x14ac:dyDescent="0.25">
      <c r="F162" t="s">
        <v>47</v>
      </c>
      <c r="G162" t="s">
        <v>183</v>
      </c>
      <c r="H162" s="298"/>
      <c r="I162" s="298"/>
      <c r="J162" s="364">
        <f t="shared" ref="J162:Y162" si="23">J57 * (1 - J$116)</f>
        <v>6.1652391015324749E-2</v>
      </c>
      <c r="K162" s="364">
        <f t="shared" si="23"/>
        <v>6.1652391015324749E-2</v>
      </c>
      <c r="L162" s="364">
        <f t="shared" si="23"/>
        <v>7.4413164965258821E-2</v>
      </c>
      <c r="M162" s="364">
        <f t="shared" si="23"/>
        <v>7.4413164965258821E-2</v>
      </c>
      <c r="N162" s="364">
        <f t="shared" si="23"/>
        <v>6.2847545633003821E-2</v>
      </c>
      <c r="O162" s="364">
        <f t="shared" si="23"/>
        <v>5.2042740737989222E-2</v>
      </c>
      <c r="P162" s="364">
        <f t="shared" si="23"/>
        <v>0</v>
      </c>
      <c r="Q162" s="364">
        <f t="shared" si="23"/>
        <v>5.1196612115567752E-2</v>
      </c>
      <c r="R162" s="364">
        <f t="shared" si="23"/>
        <v>-4.8493007629911586E-2</v>
      </c>
      <c r="S162" s="364">
        <f t="shared" si="23"/>
        <v>-4.5816018068441357E-2</v>
      </c>
      <c r="T162" s="364">
        <f t="shared" si="23"/>
        <v>-4.8493007629911586E-2</v>
      </c>
      <c r="U162" s="364">
        <f t="shared" si="23"/>
        <v>-4.8493007629911586E-2</v>
      </c>
      <c r="V162" s="364">
        <f t="shared" si="23"/>
        <v>-4.5816018068441357E-2</v>
      </c>
      <c r="W162" s="364">
        <f t="shared" si="23"/>
        <v>-4.5816018068441357E-2</v>
      </c>
      <c r="X162" s="364">
        <f t="shared" si="23"/>
        <v>-3.8551566464204247E-2</v>
      </c>
      <c r="Y162" s="364">
        <f t="shared" si="23"/>
        <v>-3.8551566464204247E-2</v>
      </c>
      <c r="Z162" s="298"/>
      <c r="AA162" s="298"/>
    </row>
    <row r="163" spans="4:27" x14ac:dyDescent="0.25">
      <c r="F163" t="s">
        <v>51</v>
      </c>
      <c r="G163" t="s">
        <v>183</v>
      </c>
      <c r="H163" s="298"/>
      <c r="I163" s="298"/>
      <c r="J163" s="364">
        <f t="shared" ref="J163:Y163" si="24">J58 * (1 - J$117)</f>
        <v>0</v>
      </c>
      <c r="K163" s="364">
        <f t="shared" si="24"/>
        <v>0</v>
      </c>
      <c r="L163" s="364">
        <f t="shared" si="24"/>
        <v>0</v>
      </c>
      <c r="M163" s="364">
        <f t="shared" si="24"/>
        <v>0</v>
      </c>
      <c r="N163" s="364">
        <f t="shared" si="24"/>
        <v>0</v>
      </c>
      <c r="O163" s="364">
        <f t="shared" si="24"/>
        <v>0</v>
      </c>
      <c r="P163" s="364">
        <f t="shared" si="24"/>
        <v>0</v>
      </c>
      <c r="Q163" s="364">
        <f t="shared" si="24"/>
        <v>0</v>
      </c>
      <c r="R163" s="364">
        <f t="shared" si="24"/>
        <v>0</v>
      </c>
      <c r="S163" s="364">
        <f t="shared" si="24"/>
        <v>0</v>
      </c>
      <c r="T163" s="364">
        <f t="shared" si="24"/>
        <v>0</v>
      </c>
      <c r="U163" s="364">
        <f t="shared" si="24"/>
        <v>0</v>
      </c>
      <c r="V163" s="364">
        <f t="shared" si="24"/>
        <v>0</v>
      </c>
      <c r="W163" s="364">
        <f t="shared" si="24"/>
        <v>0</v>
      </c>
      <c r="X163" s="364">
        <f t="shared" si="24"/>
        <v>0</v>
      </c>
      <c r="Y163" s="364">
        <f t="shared" si="24"/>
        <v>0</v>
      </c>
      <c r="Z163" s="298"/>
      <c r="AA163" s="298"/>
    </row>
    <row r="164" spans="4:27" x14ac:dyDescent="0.25">
      <c r="F164" t="s">
        <v>48</v>
      </c>
      <c r="G164" t="s">
        <v>183</v>
      </c>
      <c r="H164" s="298"/>
      <c r="I164" s="298"/>
      <c r="J164" s="364">
        <f t="shared" ref="J164:Y164" si="25">J59 * (1 - J$118)</f>
        <v>0.21201132621088903</v>
      </c>
      <c r="K164" s="364">
        <f t="shared" si="25"/>
        <v>0.21201132621088903</v>
      </c>
      <c r="L164" s="364">
        <f t="shared" si="25"/>
        <v>0.25589330003296523</v>
      </c>
      <c r="M164" s="364">
        <f t="shared" si="25"/>
        <v>0.25589330003296523</v>
      </c>
      <c r="N164" s="364">
        <f t="shared" si="25"/>
        <v>0.17289699593893132</v>
      </c>
      <c r="O164" s="364">
        <f t="shared" si="25"/>
        <v>0</v>
      </c>
      <c r="P164" s="364">
        <f t="shared" si="25"/>
        <v>0</v>
      </c>
      <c r="Q164" s="364">
        <f t="shared" si="25"/>
        <v>0.17605580989434744</v>
      </c>
      <c r="R164" s="364">
        <f t="shared" si="25"/>
        <v>-0.16675860725363892</v>
      </c>
      <c r="S164" s="364">
        <f t="shared" si="25"/>
        <v>-0.15755292848217109</v>
      </c>
      <c r="T164" s="364">
        <f t="shared" si="25"/>
        <v>-0.16675860725363892</v>
      </c>
      <c r="U164" s="364">
        <f t="shared" si="25"/>
        <v>-0.16675860725363892</v>
      </c>
      <c r="V164" s="364">
        <f t="shared" si="25"/>
        <v>-0.15755292848217109</v>
      </c>
      <c r="W164" s="364">
        <f t="shared" si="25"/>
        <v>-0.15755292848217109</v>
      </c>
      <c r="X164" s="364">
        <f t="shared" si="25"/>
        <v>0</v>
      </c>
      <c r="Y164" s="364">
        <f t="shared" si="25"/>
        <v>0</v>
      </c>
      <c r="Z164" s="298"/>
      <c r="AA164" s="298"/>
    </row>
    <row r="165" spans="4:27" x14ac:dyDescent="0.25">
      <c r="F165" t="s">
        <v>49</v>
      </c>
      <c r="G165" t="s">
        <v>183</v>
      </c>
      <c r="H165" s="298"/>
      <c r="I165" s="298"/>
      <c r="J165" s="364">
        <f t="shared" ref="J165:Y165" si="26">J60 * (1 - J$119)</f>
        <v>4.8682713366996283E-2</v>
      </c>
      <c r="K165" s="364">
        <f t="shared" si="26"/>
        <v>4.8682713366996283E-2</v>
      </c>
      <c r="L165" s="364">
        <f t="shared" si="26"/>
        <v>5.8759031419142176E-2</v>
      </c>
      <c r="M165" s="364">
        <f t="shared" si="26"/>
        <v>5.8759031419142176E-2</v>
      </c>
      <c r="N165" s="364">
        <f t="shared" si="26"/>
        <v>0</v>
      </c>
      <c r="O165" s="364">
        <f t="shared" si="26"/>
        <v>0</v>
      </c>
      <c r="P165" s="364">
        <f t="shared" si="26"/>
        <v>0</v>
      </c>
      <c r="Q165" s="364">
        <f t="shared" si="26"/>
        <v>4.0426493635323052E-2</v>
      </c>
      <c r="R165" s="364">
        <f t="shared" si="26"/>
        <v>-3.8291640467986714E-2</v>
      </c>
      <c r="S165" s="364">
        <f t="shared" si="26"/>
        <v>0</v>
      </c>
      <c r="T165" s="364">
        <f t="shared" si="26"/>
        <v>-3.8291640467986714E-2</v>
      </c>
      <c r="U165" s="364">
        <f t="shared" si="26"/>
        <v>-3.8291640467986714E-2</v>
      </c>
      <c r="V165" s="364">
        <f t="shared" si="26"/>
        <v>0</v>
      </c>
      <c r="W165" s="364">
        <f t="shared" si="26"/>
        <v>0</v>
      </c>
      <c r="X165" s="364">
        <f t="shared" si="26"/>
        <v>0</v>
      </c>
      <c r="Y165" s="364">
        <f t="shared" si="26"/>
        <v>0</v>
      </c>
      <c r="Z165" s="298"/>
      <c r="AA165" s="298"/>
    </row>
    <row r="166" spans="4:27" x14ac:dyDescent="0.25">
      <c r="F166" t="s">
        <v>50</v>
      </c>
      <c r="G166" t="s">
        <v>183</v>
      </c>
      <c r="H166" s="298"/>
      <c r="I166" s="298"/>
      <c r="J166" s="364">
        <f t="shared" ref="J166:Y166" si="27">J61 * (1 - J$120)</f>
        <v>0</v>
      </c>
      <c r="K166" s="364">
        <f t="shared" si="27"/>
        <v>0</v>
      </c>
      <c r="L166" s="364">
        <f t="shared" si="27"/>
        <v>0</v>
      </c>
      <c r="M166" s="364">
        <f t="shared" si="27"/>
        <v>0</v>
      </c>
      <c r="N166" s="364">
        <f t="shared" si="27"/>
        <v>0</v>
      </c>
      <c r="O166" s="364">
        <f t="shared" si="27"/>
        <v>0</v>
      </c>
      <c r="P166" s="364">
        <f t="shared" si="27"/>
        <v>0</v>
      </c>
      <c r="Q166" s="364">
        <f t="shared" si="27"/>
        <v>7.1025383499742903E-3</v>
      </c>
      <c r="R166" s="364">
        <f t="shared" si="27"/>
        <v>0</v>
      </c>
      <c r="S166" s="364">
        <f t="shared" si="27"/>
        <v>0</v>
      </c>
      <c r="T166" s="364">
        <f t="shared" si="27"/>
        <v>0</v>
      </c>
      <c r="U166" s="364">
        <f t="shared" si="27"/>
        <v>0</v>
      </c>
      <c r="V166" s="364">
        <f t="shared" si="27"/>
        <v>0</v>
      </c>
      <c r="W166" s="364">
        <f t="shared" si="27"/>
        <v>0</v>
      </c>
      <c r="X166" s="364">
        <f t="shared" si="27"/>
        <v>0</v>
      </c>
      <c r="Y166" s="364">
        <f t="shared" si="27"/>
        <v>0</v>
      </c>
      <c r="Z166" s="298"/>
      <c r="AA166" s="298"/>
    </row>
    <row r="167" spans="4:27" x14ac:dyDescent="0.25">
      <c r="D167"/>
      <c r="F167" s="80" t="s">
        <v>124</v>
      </c>
      <c r="G167" s="80" t="s">
        <v>183</v>
      </c>
      <c r="H167" s="296"/>
      <c r="I167" s="296"/>
      <c r="J167" s="308"/>
      <c r="K167" s="308"/>
      <c r="L167" s="308"/>
      <c r="M167" s="308"/>
      <c r="N167" s="308"/>
      <c r="O167" s="308"/>
      <c r="P167" s="308"/>
      <c r="Q167" s="308"/>
      <c r="R167" s="308"/>
      <c r="S167" s="308"/>
      <c r="T167" s="308"/>
      <c r="U167" s="308"/>
      <c r="V167" s="308"/>
      <c r="W167" s="308"/>
      <c r="X167" s="308"/>
      <c r="Y167" s="308"/>
      <c r="Z167" s="298"/>
      <c r="AA167" s="298"/>
    </row>
    <row r="168" spans="4:27" x14ac:dyDescent="0.25">
      <c r="D168"/>
      <c r="F168" s="17" t="s">
        <v>123</v>
      </c>
      <c r="G168" s="17" t="s">
        <v>183</v>
      </c>
      <c r="H168" s="300"/>
      <c r="I168" s="300"/>
      <c r="J168" s="305"/>
      <c r="K168" s="305"/>
      <c r="L168" s="305"/>
      <c r="M168" s="305"/>
      <c r="N168" s="305"/>
      <c r="O168" s="305"/>
      <c r="P168" s="305"/>
      <c r="Q168" s="305"/>
      <c r="R168" s="305"/>
      <c r="S168" s="305"/>
      <c r="T168" s="305"/>
      <c r="U168" s="305"/>
      <c r="V168" s="305"/>
      <c r="W168" s="305"/>
      <c r="X168" s="305"/>
      <c r="Y168" s="305"/>
      <c r="Z168" s="298"/>
      <c r="AA168" s="298"/>
    </row>
    <row r="169" spans="4:27" x14ac:dyDescent="0.25">
      <c r="D169"/>
      <c r="J169" s="211"/>
      <c r="K169" s="211"/>
      <c r="L169" s="211"/>
      <c r="M169" s="211"/>
      <c r="N169" s="211"/>
      <c r="O169" s="211"/>
      <c r="P169" s="211"/>
      <c r="Q169" s="211"/>
      <c r="R169" s="211"/>
      <c r="S169" s="211"/>
      <c r="T169" s="211"/>
      <c r="U169" s="211"/>
      <c r="V169" s="211"/>
      <c r="W169" s="211"/>
      <c r="X169" s="211"/>
      <c r="Y169" s="211"/>
    </row>
    <row r="170" spans="4:27" x14ac:dyDescent="0.25">
      <c r="E170" s="52" t="s">
        <v>116</v>
      </c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</row>
    <row r="171" spans="4:27" x14ac:dyDescent="0.25">
      <c r="F171" s="80" t="s">
        <v>267</v>
      </c>
      <c r="G171" s="80" t="s">
        <v>183</v>
      </c>
      <c r="H171" s="296"/>
      <c r="I171" s="296"/>
      <c r="J171" s="473">
        <f t="shared" ref="J171:Y172" si="28">J66 * (1 - J$112)</f>
        <v>6.176922403299117E-2</v>
      </c>
      <c r="K171" s="473">
        <f t="shared" si="28"/>
        <v>6.176922403299117E-2</v>
      </c>
      <c r="L171" s="473">
        <f t="shared" si="28"/>
        <v>7.4554180009019907E-2</v>
      </c>
      <c r="M171" s="473">
        <f t="shared" si="28"/>
        <v>7.4554180009019907E-2</v>
      </c>
      <c r="N171" s="473">
        <f t="shared" si="28"/>
        <v>6.2966643502337188E-2</v>
      </c>
      <c r="O171" s="473">
        <f t="shared" si="28"/>
        <v>5.2141363197684906E-2</v>
      </c>
      <c r="P171" s="473">
        <f t="shared" si="28"/>
        <v>5.1132480963184471E-2</v>
      </c>
      <c r="Q171" s="473">
        <f t="shared" si="28"/>
        <v>6.056371513780219E-2</v>
      </c>
      <c r="R171" s="473">
        <f t="shared" si="28"/>
        <v>-4.8584903245374671E-2</v>
      </c>
      <c r="S171" s="473">
        <f t="shared" si="28"/>
        <v>-4.590284071327707E-2</v>
      </c>
      <c r="T171" s="473">
        <f t="shared" si="28"/>
        <v>-4.8584903245374671E-2</v>
      </c>
      <c r="U171" s="473">
        <f t="shared" si="28"/>
        <v>-4.8584903245374671E-2</v>
      </c>
      <c r="V171" s="473">
        <f t="shared" si="28"/>
        <v>-4.590284071327707E-2</v>
      </c>
      <c r="W171" s="473">
        <f t="shared" si="28"/>
        <v>-4.590284071327707E-2</v>
      </c>
      <c r="X171" s="473">
        <f t="shared" si="28"/>
        <v>-4.5023475948654905E-2</v>
      </c>
      <c r="Y171" s="473">
        <f t="shared" si="28"/>
        <v>-4.5023475948654905E-2</v>
      </c>
      <c r="Z171" s="298"/>
      <c r="AA171" s="298"/>
    </row>
    <row r="172" spans="4:27" x14ac:dyDescent="0.25">
      <c r="F172" t="s">
        <v>43</v>
      </c>
      <c r="G172" t="s">
        <v>183</v>
      </c>
      <c r="H172" s="298"/>
      <c r="I172" s="298"/>
      <c r="J172" s="364">
        <f t="shared" si="28"/>
        <v>0</v>
      </c>
      <c r="K172" s="364">
        <f t="shared" si="28"/>
        <v>0</v>
      </c>
      <c r="L172" s="364">
        <f t="shared" si="28"/>
        <v>0</v>
      </c>
      <c r="M172" s="364">
        <f t="shared" si="28"/>
        <v>0</v>
      </c>
      <c r="N172" s="364">
        <f t="shared" si="28"/>
        <v>0</v>
      </c>
      <c r="O172" s="364">
        <f t="shared" si="28"/>
        <v>0</v>
      </c>
      <c r="P172" s="364">
        <f t="shared" si="28"/>
        <v>0</v>
      </c>
      <c r="Q172" s="364">
        <f t="shared" si="28"/>
        <v>0</v>
      </c>
      <c r="R172" s="364">
        <f t="shared" si="28"/>
        <v>0</v>
      </c>
      <c r="S172" s="364">
        <f t="shared" si="28"/>
        <v>0</v>
      </c>
      <c r="T172" s="364">
        <f t="shared" si="28"/>
        <v>0</v>
      </c>
      <c r="U172" s="364">
        <f t="shared" si="28"/>
        <v>0</v>
      </c>
      <c r="V172" s="364">
        <f t="shared" si="28"/>
        <v>0</v>
      </c>
      <c r="W172" s="364">
        <f t="shared" si="28"/>
        <v>0</v>
      </c>
      <c r="X172" s="364">
        <f t="shared" si="28"/>
        <v>0</v>
      </c>
      <c r="Y172" s="364">
        <f t="shared" si="28"/>
        <v>0</v>
      </c>
      <c r="Z172" s="298"/>
      <c r="AA172" s="298"/>
    </row>
    <row r="173" spans="4:27" x14ac:dyDescent="0.25">
      <c r="F173" t="s">
        <v>44</v>
      </c>
      <c r="G173" t="s">
        <v>183</v>
      </c>
      <c r="H173" s="298"/>
      <c r="I173" s="298"/>
      <c r="J173" s="364">
        <f t="shared" ref="J173:Y173" si="29">J68 * (1 - J$113)</f>
        <v>0</v>
      </c>
      <c r="K173" s="364">
        <f t="shared" si="29"/>
        <v>0</v>
      </c>
      <c r="L173" s="364">
        <f t="shared" si="29"/>
        <v>0</v>
      </c>
      <c r="M173" s="364">
        <f t="shared" si="29"/>
        <v>0</v>
      </c>
      <c r="N173" s="364">
        <f t="shared" si="29"/>
        <v>0</v>
      </c>
      <c r="O173" s="364">
        <f t="shared" si="29"/>
        <v>0</v>
      </c>
      <c r="P173" s="364">
        <f t="shared" si="29"/>
        <v>0</v>
      </c>
      <c r="Q173" s="364">
        <f t="shared" si="29"/>
        <v>0</v>
      </c>
      <c r="R173" s="364">
        <f t="shared" si="29"/>
        <v>0</v>
      </c>
      <c r="S173" s="364">
        <f t="shared" si="29"/>
        <v>0</v>
      </c>
      <c r="T173" s="364">
        <f t="shared" si="29"/>
        <v>0</v>
      </c>
      <c r="U173" s="364">
        <f t="shared" si="29"/>
        <v>0</v>
      </c>
      <c r="V173" s="364">
        <f t="shared" si="29"/>
        <v>0</v>
      </c>
      <c r="W173" s="364">
        <f t="shared" si="29"/>
        <v>0</v>
      </c>
      <c r="X173" s="364">
        <f t="shared" si="29"/>
        <v>0</v>
      </c>
      <c r="Y173" s="364">
        <f t="shared" si="29"/>
        <v>0</v>
      </c>
      <c r="Z173" s="298"/>
      <c r="AA173" s="298"/>
    </row>
    <row r="174" spans="4:27" x14ac:dyDescent="0.25">
      <c r="F174" t="s">
        <v>45</v>
      </c>
      <c r="G174" t="s">
        <v>183</v>
      </c>
      <c r="H174" s="298"/>
      <c r="I174" s="298"/>
      <c r="J174" s="364">
        <f t="shared" ref="J174:Y174" si="30">J69 * (1 - J$114)</f>
        <v>0</v>
      </c>
      <c r="K174" s="364">
        <f t="shared" si="30"/>
        <v>0</v>
      </c>
      <c r="L174" s="364">
        <f t="shared" si="30"/>
        <v>0</v>
      </c>
      <c r="M174" s="364">
        <f t="shared" si="30"/>
        <v>0</v>
      </c>
      <c r="N174" s="364">
        <f t="shared" si="30"/>
        <v>0</v>
      </c>
      <c r="O174" s="364">
        <f t="shared" si="30"/>
        <v>0</v>
      </c>
      <c r="P174" s="364">
        <f t="shared" si="30"/>
        <v>0</v>
      </c>
      <c r="Q174" s="364">
        <f t="shared" si="30"/>
        <v>0</v>
      </c>
      <c r="R174" s="364">
        <f t="shared" si="30"/>
        <v>0</v>
      </c>
      <c r="S174" s="364">
        <f t="shared" si="30"/>
        <v>0</v>
      </c>
      <c r="T174" s="364">
        <f t="shared" si="30"/>
        <v>0</v>
      </c>
      <c r="U174" s="364">
        <f t="shared" si="30"/>
        <v>0</v>
      </c>
      <c r="V174" s="364">
        <f t="shared" si="30"/>
        <v>0</v>
      </c>
      <c r="W174" s="364">
        <f t="shared" si="30"/>
        <v>0</v>
      </c>
      <c r="X174" s="364">
        <f t="shared" si="30"/>
        <v>0</v>
      </c>
      <c r="Y174" s="364">
        <f t="shared" si="30"/>
        <v>0</v>
      </c>
      <c r="Z174" s="298"/>
      <c r="AA174" s="298"/>
    </row>
    <row r="175" spans="4:27" x14ac:dyDescent="0.25">
      <c r="F175" t="s">
        <v>46</v>
      </c>
      <c r="G175" t="s">
        <v>183</v>
      </c>
      <c r="H175" s="298"/>
      <c r="I175" s="298"/>
      <c r="J175" s="364">
        <f t="shared" ref="J175:Y175" si="31">J70 * (1 - J$115)</f>
        <v>0.11735683409563366</v>
      </c>
      <c r="K175" s="364">
        <f t="shared" si="31"/>
        <v>0.11735683409563366</v>
      </c>
      <c r="L175" s="364">
        <f t="shared" si="31"/>
        <v>0.14164727939242766</v>
      </c>
      <c r="M175" s="364">
        <f t="shared" si="31"/>
        <v>0.14164727939242766</v>
      </c>
      <c r="N175" s="364">
        <f t="shared" si="31"/>
        <v>0.11963184013961224</v>
      </c>
      <c r="O175" s="364">
        <f t="shared" si="31"/>
        <v>9.9064629774896093E-2</v>
      </c>
      <c r="P175" s="364">
        <f t="shared" si="31"/>
        <v>7.7718264125702E-2</v>
      </c>
      <c r="Q175" s="364">
        <f t="shared" si="31"/>
        <v>0.1150664587569708</v>
      </c>
      <c r="R175" s="364">
        <f t="shared" si="31"/>
        <v>-9.2307625989837772E-2</v>
      </c>
      <c r="S175" s="364">
        <f t="shared" si="31"/>
        <v>-8.7211910889946273E-2</v>
      </c>
      <c r="T175" s="364">
        <f t="shared" si="31"/>
        <v>-9.2307625989837772E-2</v>
      </c>
      <c r="U175" s="364">
        <f t="shared" si="31"/>
        <v>-9.2307625989837772E-2</v>
      </c>
      <c r="V175" s="364">
        <f t="shared" si="31"/>
        <v>-8.7211910889946273E-2</v>
      </c>
      <c r="W175" s="364">
        <f t="shared" si="31"/>
        <v>-8.7211910889946273E-2</v>
      </c>
      <c r="X175" s="364">
        <f t="shared" si="31"/>
        <v>-8.5541184627686756E-2</v>
      </c>
      <c r="Y175" s="364">
        <f t="shared" si="31"/>
        <v>-8.5541184627686756E-2</v>
      </c>
      <c r="Z175" s="298"/>
      <c r="AA175" s="298"/>
    </row>
    <row r="176" spans="4:27" x14ac:dyDescent="0.25">
      <c r="F176" t="s">
        <v>47</v>
      </c>
      <c r="G176" t="s">
        <v>183</v>
      </c>
      <c r="H176" s="298"/>
      <c r="I176" s="298"/>
      <c r="J176" s="364">
        <f t="shared" ref="J176:Y176" si="32">J71 * (1 - J$116)</f>
        <v>4.6248288231771344E-2</v>
      </c>
      <c r="K176" s="364">
        <f t="shared" si="32"/>
        <v>4.6248288231771344E-2</v>
      </c>
      <c r="L176" s="364">
        <f t="shared" si="32"/>
        <v>5.5820730467634277E-2</v>
      </c>
      <c r="M176" s="364">
        <f t="shared" si="32"/>
        <v>5.5820730467634277E-2</v>
      </c>
      <c r="N176" s="364">
        <f t="shared" si="32"/>
        <v>4.714482856588776E-2</v>
      </c>
      <c r="O176" s="364">
        <f t="shared" si="32"/>
        <v>3.9039648493496414E-2</v>
      </c>
      <c r="P176" s="364">
        <f t="shared" si="32"/>
        <v>0</v>
      </c>
      <c r="Q176" s="364">
        <f t="shared" si="32"/>
        <v>3.8404928578072969E-2</v>
      </c>
      <c r="R176" s="364">
        <f t="shared" si="32"/>
        <v>-3.6376830762916763E-2</v>
      </c>
      <c r="S176" s="364">
        <f t="shared" si="32"/>
        <v>-3.4368698023968421E-2</v>
      </c>
      <c r="T176" s="364">
        <f t="shared" si="32"/>
        <v>-3.6376830762916763E-2</v>
      </c>
      <c r="U176" s="364">
        <f t="shared" si="32"/>
        <v>-3.6376830762916763E-2</v>
      </c>
      <c r="V176" s="364">
        <f t="shared" si="32"/>
        <v>-3.4368698023968421E-2</v>
      </c>
      <c r="W176" s="364">
        <f t="shared" si="32"/>
        <v>-3.4368698023968421E-2</v>
      </c>
      <c r="X176" s="364">
        <f t="shared" si="32"/>
        <v>-3.3710293847264032E-2</v>
      </c>
      <c r="Y176" s="364">
        <f t="shared" si="32"/>
        <v>-3.3710293847264032E-2</v>
      </c>
      <c r="Z176" s="298"/>
      <c r="AA176" s="298"/>
    </row>
    <row r="177" spans="3:27" x14ac:dyDescent="0.25">
      <c r="F177" t="s">
        <v>51</v>
      </c>
      <c r="G177" t="s">
        <v>183</v>
      </c>
      <c r="H177" s="298"/>
      <c r="I177" s="298"/>
      <c r="J177" s="364">
        <f t="shared" ref="J177:Y177" si="33">J72 * (1 - J$117)</f>
        <v>0</v>
      </c>
      <c r="K177" s="364">
        <f t="shared" si="33"/>
        <v>0</v>
      </c>
      <c r="L177" s="364">
        <f t="shared" si="33"/>
        <v>0</v>
      </c>
      <c r="M177" s="364">
        <f t="shared" si="33"/>
        <v>0</v>
      </c>
      <c r="N177" s="364">
        <f t="shared" si="33"/>
        <v>0</v>
      </c>
      <c r="O177" s="364">
        <f t="shared" si="33"/>
        <v>0</v>
      </c>
      <c r="P177" s="364">
        <f t="shared" si="33"/>
        <v>0</v>
      </c>
      <c r="Q177" s="364">
        <f t="shared" si="33"/>
        <v>0</v>
      </c>
      <c r="R177" s="364">
        <f t="shared" si="33"/>
        <v>0</v>
      </c>
      <c r="S177" s="364">
        <f t="shared" si="33"/>
        <v>0</v>
      </c>
      <c r="T177" s="364">
        <f t="shared" si="33"/>
        <v>0</v>
      </c>
      <c r="U177" s="364">
        <f t="shared" si="33"/>
        <v>0</v>
      </c>
      <c r="V177" s="364">
        <f t="shared" si="33"/>
        <v>0</v>
      </c>
      <c r="W177" s="364">
        <f t="shared" si="33"/>
        <v>0</v>
      </c>
      <c r="X177" s="364">
        <f t="shared" si="33"/>
        <v>0</v>
      </c>
      <c r="Y177" s="364">
        <f t="shared" si="33"/>
        <v>0</v>
      </c>
      <c r="Z177" s="298"/>
      <c r="AA177" s="298"/>
    </row>
    <row r="178" spans="3:27" x14ac:dyDescent="0.25">
      <c r="F178" t="s">
        <v>48</v>
      </c>
      <c r="G178" t="s">
        <v>183</v>
      </c>
      <c r="H178" s="298"/>
      <c r="I178" s="298"/>
      <c r="J178" s="364">
        <f t="shared" ref="J178:Y178" si="34">J73 * (1 - J$118)</f>
        <v>0.19896143159922605</v>
      </c>
      <c r="K178" s="364">
        <f t="shared" si="34"/>
        <v>0.19896143159922605</v>
      </c>
      <c r="L178" s="364">
        <f t="shared" si="34"/>
        <v>0.24014234626581063</v>
      </c>
      <c r="M178" s="364">
        <f t="shared" si="34"/>
        <v>0.24014234626581063</v>
      </c>
      <c r="N178" s="364">
        <f t="shared" si="34"/>
        <v>0.16225469858623309</v>
      </c>
      <c r="O178" s="364">
        <f t="shared" si="34"/>
        <v>0</v>
      </c>
      <c r="P178" s="364">
        <f t="shared" si="34"/>
        <v>0</v>
      </c>
      <c r="Q178" s="364">
        <f t="shared" si="34"/>
        <v>0.16521907864062724</v>
      </c>
      <c r="R178" s="364">
        <f t="shared" si="34"/>
        <v>-0.15649414502352663</v>
      </c>
      <c r="S178" s="364">
        <f t="shared" si="34"/>
        <v>-0.14785510172358532</v>
      </c>
      <c r="T178" s="364">
        <f t="shared" si="34"/>
        <v>-0.15649414502352663</v>
      </c>
      <c r="U178" s="364">
        <f t="shared" si="34"/>
        <v>-0.15649414502352663</v>
      </c>
      <c r="V178" s="364">
        <f t="shared" si="34"/>
        <v>-0.14785510172358532</v>
      </c>
      <c r="W178" s="364">
        <f t="shared" si="34"/>
        <v>-0.14785510172358532</v>
      </c>
      <c r="X178" s="364">
        <f t="shared" si="34"/>
        <v>0</v>
      </c>
      <c r="Y178" s="364">
        <f t="shared" si="34"/>
        <v>0</v>
      </c>
      <c r="Z178" s="298"/>
      <c r="AA178" s="298"/>
    </row>
    <row r="179" spans="3:27" x14ac:dyDescent="0.25">
      <c r="F179" t="s">
        <v>49</v>
      </c>
      <c r="G179" t="s">
        <v>183</v>
      </c>
      <c r="H179" s="298"/>
      <c r="I179" s="298"/>
      <c r="J179" s="364">
        <f t="shared" ref="J179:Y179" si="35">J74 * (1 - J$119)</f>
        <v>5.0004641438467709E-2</v>
      </c>
      <c r="K179" s="364">
        <f t="shared" si="35"/>
        <v>5.0004641438467709E-2</v>
      </c>
      <c r="L179" s="364">
        <f t="shared" si="35"/>
        <v>6.035457134929928E-2</v>
      </c>
      <c r="M179" s="364">
        <f t="shared" si="35"/>
        <v>6.035457134929928E-2</v>
      </c>
      <c r="N179" s="364">
        <f t="shared" si="35"/>
        <v>0</v>
      </c>
      <c r="O179" s="364">
        <f t="shared" si="35"/>
        <v>0</v>
      </c>
      <c r="P179" s="364">
        <f t="shared" si="35"/>
        <v>0</v>
      </c>
      <c r="Q179" s="364">
        <f t="shared" si="35"/>
        <v>4.1524232710892409E-2</v>
      </c>
      <c r="R179" s="364">
        <f t="shared" si="35"/>
        <v>-3.9331409842707707E-2</v>
      </c>
      <c r="S179" s="364">
        <f t="shared" si="35"/>
        <v>0</v>
      </c>
      <c r="T179" s="364">
        <f t="shared" si="35"/>
        <v>-3.9331409842707707E-2</v>
      </c>
      <c r="U179" s="364">
        <f t="shared" si="35"/>
        <v>-3.9331409842707707E-2</v>
      </c>
      <c r="V179" s="364">
        <f t="shared" si="35"/>
        <v>0</v>
      </c>
      <c r="W179" s="364">
        <f t="shared" si="35"/>
        <v>0</v>
      </c>
      <c r="X179" s="364">
        <f t="shared" si="35"/>
        <v>0</v>
      </c>
      <c r="Y179" s="364">
        <f t="shared" si="35"/>
        <v>0</v>
      </c>
      <c r="Z179" s="298"/>
      <c r="AA179" s="298"/>
    </row>
    <row r="180" spans="3:27" x14ac:dyDescent="0.25">
      <c r="F180" t="s">
        <v>50</v>
      </c>
      <c r="G180" t="s">
        <v>183</v>
      </c>
      <c r="H180" s="298"/>
      <c r="I180" s="298"/>
      <c r="J180" s="364">
        <f t="shared" ref="J180:Y180" si="36">J75 * (1 - J$120)</f>
        <v>0</v>
      </c>
      <c r="K180" s="364">
        <f t="shared" si="36"/>
        <v>0</v>
      </c>
      <c r="L180" s="364">
        <f t="shared" si="36"/>
        <v>0</v>
      </c>
      <c r="M180" s="364">
        <f t="shared" si="36"/>
        <v>0</v>
      </c>
      <c r="N180" s="364">
        <f t="shared" si="36"/>
        <v>0</v>
      </c>
      <c r="O180" s="364">
        <f t="shared" si="36"/>
        <v>0</v>
      </c>
      <c r="P180" s="364">
        <f t="shared" si="36"/>
        <v>0</v>
      </c>
      <c r="Q180" s="364">
        <f t="shared" si="36"/>
        <v>6.9845072247627038E-2</v>
      </c>
      <c r="R180" s="364">
        <f t="shared" si="36"/>
        <v>0</v>
      </c>
      <c r="S180" s="364">
        <f t="shared" si="36"/>
        <v>0</v>
      </c>
      <c r="T180" s="364">
        <f t="shared" si="36"/>
        <v>0</v>
      </c>
      <c r="U180" s="364">
        <f t="shared" si="36"/>
        <v>0</v>
      </c>
      <c r="V180" s="364">
        <f t="shared" si="36"/>
        <v>0</v>
      </c>
      <c r="W180" s="364">
        <f t="shared" si="36"/>
        <v>0</v>
      </c>
      <c r="X180" s="364">
        <f t="shared" si="36"/>
        <v>0</v>
      </c>
      <c r="Y180" s="364">
        <f t="shared" si="36"/>
        <v>0</v>
      </c>
      <c r="Z180" s="298"/>
      <c r="AA180" s="298"/>
    </row>
    <row r="181" spans="3:27" x14ac:dyDescent="0.25">
      <c r="F181" s="80" t="s">
        <v>124</v>
      </c>
      <c r="G181" s="80" t="s">
        <v>183</v>
      </c>
      <c r="H181" s="296"/>
      <c r="I181" s="296" t="s">
        <v>359</v>
      </c>
      <c r="J181" s="308"/>
      <c r="K181" s="308"/>
      <c r="L181" s="308"/>
      <c r="M181" s="308"/>
      <c r="N181" s="308"/>
      <c r="O181" s="308"/>
      <c r="P181" s="308"/>
      <c r="Q181" s="309">
        <f>Q76</f>
        <v>0.4392137814844751</v>
      </c>
      <c r="R181" s="308"/>
      <c r="S181" s="308"/>
      <c r="T181" s="308"/>
      <c r="U181" s="308"/>
      <c r="V181" s="308"/>
      <c r="W181" s="308"/>
      <c r="X181" s="308"/>
      <c r="Y181" s="308"/>
      <c r="Z181" s="298"/>
      <c r="AA181" s="298" t="s">
        <v>728</v>
      </c>
    </row>
    <row r="182" spans="3:27" x14ac:dyDescent="0.25">
      <c r="F182" s="17" t="s">
        <v>123</v>
      </c>
      <c r="G182" s="17" t="s">
        <v>183</v>
      </c>
      <c r="H182" s="300"/>
      <c r="I182" s="300"/>
      <c r="J182" s="305"/>
      <c r="K182" s="305"/>
      <c r="L182" s="305"/>
      <c r="M182" s="305"/>
      <c r="N182" s="305"/>
      <c r="O182" s="305"/>
      <c r="P182" s="305"/>
      <c r="Q182" s="305"/>
      <c r="R182" s="305"/>
      <c r="S182" s="305"/>
      <c r="T182" s="305"/>
      <c r="U182" s="305"/>
      <c r="V182" s="305"/>
      <c r="W182" s="305"/>
      <c r="X182" s="305"/>
      <c r="Y182" s="305"/>
      <c r="Z182" s="298"/>
      <c r="AA182" s="298"/>
    </row>
    <row r="183" spans="3:27" x14ac:dyDescent="0.25">
      <c r="E183"/>
      <c r="J183" s="211"/>
      <c r="K183" s="211"/>
      <c r="L183" s="211"/>
      <c r="M183" s="211"/>
      <c r="N183" s="211"/>
      <c r="O183" s="211"/>
      <c r="P183" s="211"/>
      <c r="Q183" s="211"/>
      <c r="R183" s="211"/>
      <c r="S183" s="211"/>
      <c r="T183" s="211"/>
      <c r="U183" s="211"/>
      <c r="V183" s="211"/>
      <c r="W183" s="211"/>
      <c r="X183" s="211"/>
      <c r="Y183" s="211"/>
    </row>
    <row r="184" spans="3:27" x14ac:dyDescent="0.25">
      <c r="C184" s="5" t="str">
        <f ca="1">INDEX('Version control'!$H$36:$H$62,MATCH($A$1,'Version control'!$F$36:$F$62,0),1)&amp;"-G: Contributions to unit rate 3 p/kWh by network level (taking account of standing charges)"</f>
        <v>Section 514-G: Contributions to unit rate 3 p/kWh by network level (taking account of standing charges)</v>
      </c>
      <c r="D184" s="5"/>
      <c r="E184" s="5"/>
      <c r="F184" s="5"/>
      <c r="G184" s="5"/>
      <c r="H184" s="5"/>
      <c r="I184" s="5"/>
      <c r="J184" s="205"/>
      <c r="K184" s="205"/>
      <c r="L184" s="205"/>
      <c r="M184" s="205"/>
      <c r="N184" s="205"/>
      <c r="O184" s="205"/>
      <c r="P184" s="205"/>
      <c r="Q184" s="205"/>
      <c r="R184" s="205"/>
      <c r="S184" s="205"/>
      <c r="T184" s="205"/>
      <c r="U184" s="205"/>
      <c r="V184" s="205"/>
      <c r="W184" s="205"/>
      <c r="X184" s="205"/>
      <c r="Y184" s="205"/>
      <c r="Z184" s="5"/>
      <c r="AA184" s="5"/>
    </row>
    <row r="185" spans="3:27" x14ac:dyDescent="0.25">
      <c r="C185" s="52"/>
      <c r="D185" s="52"/>
      <c r="E185"/>
      <c r="I185" t="s">
        <v>359</v>
      </c>
      <c r="J185" s="211"/>
      <c r="K185" s="211"/>
      <c r="L185" s="211"/>
      <c r="M185" s="211"/>
      <c r="N185" s="211"/>
      <c r="O185" s="211"/>
      <c r="P185" s="211"/>
      <c r="Q185" s="211"/>
      <c r="R185" s="211"/>
      <c r="S185" s="211"/>
      <c r="T185" s="211"/>
      <c r="U185" s="211"/>
      <c r="V185" s="211"/>
      <c r="W185" s="211"/>
      <c r="X185" s="211"/>
      <c r="Y185" s="211"/>
      <c r="AA185" t="s">
        <v>729</v>
      </c>
    </row>
    <row r="186" spans="3:27" x14ac:dyDescent="0.25">
      <c r="E186" s="52" t="s">
        <v>139</v>
      </c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</row>
    <row r="187" spans="3:27" x14ac:dyDescent="0.25">
      <c r="F187" s="80" t="s">
        <v>267</v>
      </c>
      <c r="G187" s="80" t="s">
        <v>183</v>
      </c>
      <c r="H187" s="296"/>
      <c r="I187" s="296"/>
      <c r="J187" s="473">
        <f t="shared" ref="J187:Y188" si="37">J82 * (1 - J$112)</f>
        <v>0</v>
      </c>
      <c r="K187" s="473">
        <f t="shared" si="37"/>
        <v>0</v>
      </c>
      <c r="L187" s="473">
        <f t="shared" si="37"/>
        <v>0</v>
      </c>
      <c r="M187" s="473">
        <f t="shared" si="37"/>
        <v>0</v>
      </c>
      <c r="N187" s="473">
        <f t="shared" si="37"/>
        <v>0</v>
      </c>
      <c r="O187" s="473">
        <f t="shared" si="37"/>
        <v>0</v>
      </c>
      <c r="P187" s="473">
        <f t="shared" si="37"/>
        <v>0</v>
      </c>
      <c r="Q187" s="473">
        <f t="shared" si="37"/>
        <v>0</v>
      </c>
      <c r="R187" s="473">
        <f t="shared" si="37"/>
        <v>0</v>
      </c>
      <c r="S187" s="473">
        <f t="shared" si="37"/>
        <v>0</v>
      </c>
      <c r="T187" s="473">
        <f t="shared" si="37"/>
        <v>0</v>
      </c>
      <c r="U187" s="473">
        <f t="shared" si="37"/>
        <v>0</v>
      </c>
      <c r="V187" s="473">
        <f t="shared" si="37"/>
        <v>0</v>
      </c>
      <c r="W187" s="473">
        <f t="shared" si="37"/>
        <v>0</v>
      </c>
      <c r="X187" s="473">
        <f t="shared" si="37"/>
        <v>0</v>
      </c>
      <c r="Y187" s="473">
        <f t="shared" si="37"/>
        <v>0</v>
      </c>
      <c r="Z187" s="298"/>
      <c r="AA187" s="298"/>
    </row>
    <row r="188" spans="3:27" x14ac:dyDescent="0.25">
      <c r="F188" t="s">
        <v>43</v>
      </c>
      <c r="G188" t="s">
        <v>183</v>
      </c>
      <c r="H188" s="298"/>
      <c r="I188" s="298"/>
      <c r="J188" s="364">
        <f t="shared" si="37"/>
        <v>0</v>
      </c>
      <c r="K188" s="364">
        <f t="shared" si="37"/>
        <v>0</v>
      </c>
      <c r="L188" s="364">
        <f t="shared" si="37"/>
        <v>0</v>
      </c>
      <c r="M188" s="364">
        <f t="shared" si="37"/>
        <v>0</v>
      </c>
      <c r="N188" s="364">
        <f t="shared" si="37"/>
        <v>0</v>
      </c>
      <c r="O188" s="364">
        <f t="shared" si="37"/>
        <v>0</v>
      </c>
      <c r="P188" s="364">
        <f t="shared" si="37"/>
        <v>0</v>
      </c>
      <c r="Q188" s="364">
        <f t="shared" si="37"/>
        <v>0</v>
      </c>
      <c r="R188" s="364">
        <f t="shared" si="37"/>
        <v>0</v>
      </c>
      <c r="S188" s="364">
        <f t="shared" si="37"/>
        <v>0</v>
      </c>
      <c r="T188" s="364">
        <f t="shared" si="37"/>
        <v>0</v>
      </c>
      <c r="U188" s="364">
        <f t="shared" si="37"/>
        <v>0</v>
      </c>
      <c r="V188" s="364">
        <f t="shared" si="37"/>
        <v>0</v>
      </c>
      <c r="W188" s="364">
        <f t="shared" si="37"/>
        <v>0</v>
      </c>
      <c r="X188" s="364">
        <f t="shared" si="37"/>
        <v>0</v>
      </c>
      <c r="Y188" s="364">
        <f t="shared" si="37"/>
        <v>0</v>
      </c>
      <c r="Z188" s="298"/>
      <c r="AA188" s="298"/>
    </row>
    <row r="189" spans="3:27" x14ac:dyDescent="0.25">
      <c r="F189" t="s">
        <v>44</v>
      </c>
      <c r="G189" t="s">
        <v>183</v>
      </c>
      <c r="H189" s="298"/>
      <c r="I189" s="298"/>
      <c r="J189" s="364">
        <f t="shared" ref="J189:Y189" si="38">J84 * (1 - J$113)</f>
        <v>0</v>
      </c>
      <c r="K189" s="364">
        <f t="shared" si="38"/>
        <v>0</v>
      </c>
      <c r="L189" s="364">
        <f t="shared" si="38"/>
        <v>0</v>
      </c>
      <c r="M189" s="364">
        <f t="shared" si="38"/>
        <v>0</v>
      </c>
      <c r="N189" s="364">
        <f t="shared" si="38"/>
        <v>0</v>
      </c>
      <c r="O189" s="364">
        <f t="shared" si="38"/>
        <v>0</v>
      </c>
      <c r="P189" s="364">
        <f t="shared" si="38"/>
        <v>0</v>
      </c>
      <c r="Q189" s="364">
        <f t="shared" si="38"/>
        <v>0</v>
      </c>
      <c r="R189" s="364">
        <f t="shared" si="38"/>
        <v>0</v>
      </c>
      <c r="S189" s="364">
        <f t="shared" si="38"/>
        <v>0</v>
      </c>
      <c r="T189" s="364">
        <f t="shared" si="38"/>
        <v>0</v>
      </c>
      <c r="U189" s="364">
        <f t="shared" si="38"/>
        <v>0</v>
      </c>
      <c r="V189" s="364">
        <f t="shared" si="38"/>
        <v>0</v>
      </c>
      <c r="W189" s="364">
        <f t="shared" si="38"/>
        <v>0</v>
      </c>
      <c r="X189" s="364">
        <f t="shared" si="38"/>
        <v>0</v>
      </c>
      <c r="Y189" s="364">
        <f t="shared" si="38"/>
        <v>0</v>
      </c>
      <c r="Z189" s="298"/>
      <c r="AA189" s="298"/>
    </row>
    <row r="190" spans="3:27" x14ac:dyDescent="0.25">
      <c r="F190" t="s">
        <v>45</v>
      </c>
      <c r="G190" t="s">
        <v>183</v>
      </c>
      <c r="H190" s="298"/>
      <c r="I190" s="298"/>
      <c r="J190" s="364">
        <f t="shared" ref="J190:Y190" si="39">J85 * (1 - J$114)</f>
        <v>0</v>
      </c>
      <c r="K190" s="364">
        <f t="shared" si="39"/>
        <v>0</v>
      </c>
      <c r="L190" s="364">
        <f t="shared" si="39"/>
        <v>0</v>
      </c>
      <c r="M190" s="364">
        <f t="shared" si="39"/>
        <v>0</v>
      </c>
      <c r="N190" s="364">
        <f t="shared" si="39"/>
        <v>0</v>
      </c>
      <c r="O190" s="364">
        <f t="shared" si="39"/>
        <v>0</v>
      </c>
      <c r="P190" s="364">
        <f t="shared" si="39"/>
        <v>0</v>
      </c>
      <c r="Q190" s="364">
        <f t="shared" si="39"/>
        <v>0</v>
      </c>
      <c r="R190" s="364">
        <f t="shared" si="39"/>
        <v>0</v>
      </c>
      <c r="S190" s="364">
        <f t="shared" si="39"/>
        <v>0</v>
      </c>
      <c r="T190" s="364">
        <f t="shared" si="39"/>
        <v>0</v>
      </c>
      <c r="U190" s="364">
        <f t="shared" si="39"/>
        <v>0</v>
      </c>
      <c r="V190" s="364">
        <f t="shared" si="39"/>
        <v>0</v>
      </c>
      <c r="W190" s="364">
        <f t="shared" si="39"/>
        <v>0</v>
      </c>
      <c r="X190" s="364">
        <f t="shared" si="39"/>
        <v>0</v>
      </c>
      <c r="Y190" s="364">
        <f t="shared" si="39"/>
        <v>0</v>
      </c>
      <c r="Z190" s="298"/>
      <c r="AA190" s="298"/>
    </row>
    <row r="191" spans="3:27" x14ac:dyDescent="0.25">
      <c r="F191" t="s">
        <v>46</v>
      </c>
      <c r="G191" t="s">
        <v>183</v>
      </c>
      <c r="H191" s="298"/>
      <c r="I191" s="298"/>
      <c r="J191" s="364">
        <f t="shared" ref="J191:Y191" si="40">J86 * (1 - J$115)</f>
        <v>2.1669689513771889E-3</v>
      </c>
      <c r="K191" s="364">
        <f t="shared" si="40"/>
        <v>2.1669689513771889E-3</v>
      </c>
      <c r="L191" s="364">
        <f t="shared" si="40"/>
        <v>2.6154868513265455E-3</v>
      </c>
      <c r="M191" s="364">
        <f t="shared" si="40"/>
        <v>2.6154868513265455E-3</v>
      </c>
      <c r="N191" s="364">
        <f t="shared" si="40"/>
        <v>2.2089764535349219E-3</v>
      </c>
      <c r="O191" s="364">
        <f t="shared" si="40"/>
        <v>1.8292072937732985E-3</v>
      </c>
      <c r="P191" s="364">
        <f t="shared" si="40"/>
        <v>1.3904204187259875E-3</v>
      </c>
      <c r="Q191" s="364">
        <f t="shared" si="40"/>
        <v>1.9261435620907136E-3</v>
      </c>
      <c r="R191" s="364">
        <f t="shared" si="40"/>
        <v>-1.7044406577320808E-3</v>
      </c>
      <c r="S191" s="364">
        <f t="shared" si="40"/>
        <v>-1.6103493635043369E-3</v>
      </c>
      <c r="T191" s="364">
        <f t="shared" si="40"/>
        <v>-1.7044406577320808E-3</v>
      </c>
      <c r="U191" s="364">
        <f t="shared" si="40"/>
        <v>-1.7044406577320808E-3</v>
      </c>
      <c r="V191" s="364">
        <f t="shared" si="40"/>
        <v>-1.6103493635043369E-3</v>
      </c>
      <c r="W191" s="364">
        <f t="shared" si="40"/>
        <v>-1.6103493635043369E-3</v>
      </c>
      <c r="X191" s="364">
        <f t="shared" si="40"/>
        <v>-1.5303765605980829E-3</v>
      </c>
      <c r="Y191" s="364">
        <f t="shared" si="40"/>
        <v>-1.5303765605980829E-3</v>
      </c>
      <c r="Z191" s="298"/>
      <c r="AA191" s="298"/>
    </row>
    <row r="192" spans="3:27" x14ac:dyDescent="0.25">
      <c r="F192" t="s">
        <v>47</v>
      </c>
      <c r="G192" t="s">
        <v>183</v>
      </c>
      <c r="H192" s="298"/>
      <c r="I192" s="298"/>
      <c r="J192" s="364">
        <f t="shared" ref="J192:Y192" si="41">J87 * (1 - J$116)</f>
        <v>1.2334398103686305E-3</v>
      </c>
      <c r="K192" s="364">
        <f t="shared" si="41"/>
        <v>1.2334398103686305E-3</v>
      </c>
      <c r="L192" s="364">
        <f t="shared" si="41"/>
        <v>1.4887364232291328E-3</v>
      </c>
      <c r="M192" s="364">
        <f t="shared" si="41"/>
        <v>1.4887364232291328E-3</v>
      </c>
      <c r="N192" s="364">
        <f t="shared" si="41"/>
        <v>1.2573505015959156E-3</v>
      </c>
      <c r="O192" s="364">
        <f t="shared" si="41"/>
        <v>1.0411857060170357E-3</v>
      </c>
      <c r="P192" s="364">
        <f t="shared" si="41"/>
        <v>0</v>
      </c>
      <c r="Q192" s="364">
        <f t="shared" si="41"/>
        <v>1.0963618784007175E-3</v>
      </c>
      <c r="R192" s="364">
        <f t="shared" si="41"/>
        <v>-9.7016847441285957E-4</v>
      </c>
      <c r="S192" s="364">
        <f t="shared" si="41"/>
        <v>-9.1661166270319051E-4</v>
      </c>
      <c r="T192" s="364">
        <f t="shared" si="41"/>
        <v>-9.7016847441285957E-4</v>
      </c>
      <c r="U192" s="364">
        <f t="shared" si="41"/>
        <v>-9.7016847441285957E-4</v>
      </c>
      <c r="V192" s="364">
        <f t="shared" si="41"/>
        <v>-9.1661166270319051E-4</v>
      </c>
      <c r="W192" s="364">
        <f t="shared" si="41"/>
        <v>-9.1661166270319051E-4</v>
      </c>
      <c r="X192" s="364">
        <f t="shared" si="41"/>
        <v>-7.7127644274497208E-4</v>
      </c>
      <c r="Y192" s="364">
        <f t="shared" si="41"/>
        <v>-7.7127644274497208E-4</v>
      </c>
      <c r="Z192" s="298"/>
      <c r="AA192" s="298"/>
    </row>
    <row r="193" spans="4:27" x14ac:dyDescent="0.25">
      <c r="F193" t="s">
        <v>51</v>
      </c>
      <c r="G193" t="s">
        <v>183</v>
      </c>
      <c r="H193" s="298"/>
      <c r="I193" s="298"/>
      <c r="J193" s="364">
        <f t="shared" ref="J193:Y193" si="42">J88 * (1 - J$117)</f>
        <v>0</v>
      </c>
      <c r="K193" s="364">
        <f t="shared" si="42"/>
        <v>0</v>
      </c>
      <c r="L193" s="364">
        <f t="shared" si="42"/>
        <v>0</v>
      </c>
      <c r="M193" s="364">
        <f t="shared" si="42"/>
        <v>0</v>
      </c>
      <c r="N193" s="364">
        <f t="shared" si="42"/>
        <v>0</v>
      </c>
      <c r="O193" s="364">
        <f t="shared" si="42"/>
        <v>0</v>
      </c>
      <c r="P193" s="364">
        <f t="shared" si="42"/>
        <v>0</v>
      </c>
      <c r="Q193" s="364">
        <f t="shared" si="42"/>
        <v>0</v>
      </c>
      <c r="R193" s="364">
        <f t="shared" si="42"/>
        <v>0</v>
      </c>
      <c r="S193" s="364">
        <f t="shared" si="42"/>
        <v>0</v>
      </c>
      <c r="T193" s="364">
        <f t="shared" si="42"/>
        <v>0</v>
      </c>
      <c r="U193" s="364">
        <f t="shared" si="42"/>
        <v>0</v>
      </c>
      <c r="V193" s="364">
        <f t="shared" si="42"/>
        <v>0</v>
      </c>
      <c r="W193" s="364">
        <f t="shared" si="42"/>
        <v>0</v>
      </c>
      <c r="X193" s="364">
        <f t="shared" si="42"/>
        <v>0</v>
      </c>
      <c r="Y193" s="364">
        <f t="shared" si="42"/>
        <v>0</v>
      </c>
      <c r="Z193" s="298"/>
      <c r="AA193" s="298"/>
    </row>
    <row r="194" spans="4:27" x14ac:dyDescent="0.25">
      <c r="F194" t="s">
        <v>48</v>
      </c>
      <c r="G194" t="s">
        <v>183</v>
      </c>
      <c r="H194" s="298"/>
      <c r="I194" s="298"/>
      <c r="J194" s="364">
        <f t="shared" ref="J194:Y194" si="43">J89 * (1 - J$118)</f>
        <v>4.2415745065355172E-3</v>
      </c>
      <c r="K194" s="364">
        <f t="shared" si="43"/>
        <v>4.2415745065355172E-3</v>
      </c>
      <c r="L194" s="364">
        <f t="shared" si="43"/>
        <v>5.1194929875275873E-3</v>
      </c>
      <c r="M194" s="364">
        <f t="shared" si="43"/>
        <v>5.1194929875275873E-3</v>
      </c>
      <c r="N194" s="364">
        <f t="shared" si="43"/>
        <v>3.4590392095452133E-3</v>
      </c>
      <c r="O194" s="364">
        <f t="shared" si="43"/>
        <v>0</v>
      </c>
      <c r="P194" s="364">
        <f t="shared" si="43"/>
        <v>0</v>
      </c>
      <c r="Q194" s="364">
        <f t="shared" si="43"/>
        <v>3.7701885039465939E-3</v>
      </c>
      <c r="R194" s="364">
        <f t="shared" si="43"/>
        <v>-3.3362324075499107E-3</v>
      </c>
      <c r="S194" s="364">
        <f t="shared" si="43"/>
        <v>-3.1520603017937622E-3</v>
      </c>
      <c r="T194" s="364">
        <f t="shared" si="43"/>
        <v>-3.3362324075499107E-3</v>
      </c>
      <c r="U194" s="364">
        <f t="shared" si="43"/>
        <v>-3.3362324075499107E-3</v>
      </c>
      <c r="V194" s="364">
        <f t="shared" si="43"/>
        <v>-3.1520603017937622E-3</v>
      </c>
      <c r="W194" s="364">
        <f t="shared" si="43"/>
        <v>-3.1520603017937622E-3</v>
      </c>
      <c r="X194" s="364">
        <f t="shared" si="43"/>
        <v>0</v>
      </c>
      <c r="Y194" s="364">
        <f t="shared" si="43"/>
        <v>0</v>
      </c>
      <c r="Z194" s="298"/>
      <c r="AA194" s="298"/>
    </row>
    <row r="195" spans="4:27" x14ac:dyDescent="0.25">
      <c r="F195" t="s">
        <v>49</v>
      </c>
      <c r="G195" t="s">
        <v>183</v>
      </c>
      <c r="H195" s="298"/>
      <c r="I195" s="298"/>
      <c r="J195" s="364">
        <f t="shared" ref="J195:Y195" si="44">J90 * (1 - J$119)</f>
        <v>9.7396379531643044E-4</v>
      </c>
      <c r="K195" s="364">
        <f t="shared" si="44"/>
        <v>9.7396379531643044E-4</v>
      </c>
      <c r="L195" s="364">
        <f t="shared" si="44"/>
        <v>1.1755542222694341E-3</v>
      </c>
      <c r="M195" s="364">
        <f t="shared" si="44"/>
        <v>1.1755542222694341E-3</v>
      </c>
      <c r="N195" s="364">
        <f t="shared" si="44"/>
        <v>0</v>
      </c>
      <c r="O195" s="364">
        <f t="shared" si="44"/>
        <v>0</v>
      </c>
      <c r="P195" s="364">
        <f t="shared" si="44"/>
        <v>0</v>
      </c>
      <c r="Q195" s="364">
        <f t="shared" si="44"/>
        <v>8.6572264584867096E-4</v>
      </c>
      <c r="R195" s="364">
        <f t="shared" si="44"/>
        <v>-7.660762701935987E-4</v>
      </c>
      <c r="S195" s="364">
        <f t="shared" si="44"/>
        <v>0</v>
      </c>
      <c r="T195" s="364">
        <f t="shared" si="44"/>
        <v>-7.660762701935987E-4</v>
      </c>
      <c r="U195" s="364">
        <f t="shared" si="44"/>
        <v>-7.660762701935987E-4</v>
      </c>
      <c r="V195" s="364">
        <f t="shared" si="44"/>
        <v>0</v>
      </c>
      <c r="W195" s="364">
        <f t="shared" si="44"/>
        <v>0</v>
      </c>
      <c r="X195" s="364">
        <f t="shared" si="44"/>
        <v>0</v>
      </c>
      <c r="Y195" s="364">
        <f t="shared" si="44"/>
        <v>0</v>
      </c>
      <c r="Z195" s="298"/>
      <c r="AA195" s="298"/>
    </row>
    <row r="196" spans="4:27" x14ac:dyDescent="0.25">
      <c r="F196" t="s">
        <v>50</v>
      </c>
      <c r="G196" t="s">
        <v>183</v>
      </c>
      <c r="H196" s="298"/>
      <c r="I196" s="298"/>
      <c r="J196" s="364">
        <f t="shared" ref="J196:Y196" si="45">J91 * (1 - J$120)</f>
        <v>0</v>
      </c>
      <c r="K196" s="364">
        <f t="shared" si="45"/>
        <v>0</v>
      </c>
      <c r="L196" s="364">
        <f t="shared" si="45"/>
        <v>0</v>
      </c>
      <c r="M196" s="364">
        <f t="shared" si="45"/>
        <v>0</v>
      </c>
      <c r="N196" s="364">
        <f t="shared" si="45"/>
        <v>0</v>
      </c>
      <c r="O196" s="364">
        <f t="shared" si="45"/>
        <v>0</v>
      </c>
      <c r="P196" s="364">
        <f t="shared" si="45"/>
        <v>0</v>
      </c>
      <c r="Q196" s="364">
        <f t="shared" si="45"/>
        <v>1.5209897618251008E-4</v>
      </c>
      <c r="R196" s="364">
        <f t="shared" si="45"/>
        <v>0</v>
      </c>
      <c r="S196" s="364">
        <f t="shared" si="45"/>
        <v>0</v>
      </c>
      <c r="T196" s="364">
        <f t="shared" si="45"/>
        <v>0</v>
      </c>
      <c r="U196" s="364">
        <f t="shared" si="45"/>
        <v>0</v>
      </c>
      <c r="V196" s="364">
        <f t="shared" si="45"/>
        <v>0</v>
      </c>
      <c r="W196" s="364">
        <f t="shared" si="45"/>
        <v>0</v>
      </c>
      <c r="X196" s="364">
        <f t="shared" si="45"/>
        <v>0</v>
      </c>
      <c r="Y196" s="364">
        <f t="shared" si="45"/>
        <v>0</v>
      </c>
      <c r="Z196" s="298"/>
      <c r="AA196" s="298"/>
    </row>
    <row r="197" spans="4:27" x14ac:dyDescent="0.25">
      <c r="D197"/>
      <c r="F197" s="80" t="s">
        <v>124</v>
      </c>
      <c r="G197" s="80" t="s">
        <v>183</v>
      </c>
      <c r="H197" s="296"/>
      <c r="I197" s="296"/>
      <c r="J197" s="308"/>
      <c r="K197" s="308"/>
      <c r="L197" s="308"/>
      <c r="M197" s="308"/>
      <c r="N197" s="308"/>
      <c r="O197" s="308"/>
      <c r="P197" s="308"/>
      <c r="Q197" s="308"/>
      <c r="R197" s="308"/>
      <c r="S197" s="308"/>
      <c r="T197" s="308"/>
      <c r="U197" s="308"/>
      <c r="V197" s="308"/>
      <c r="W197" s="308"/>
      <c r="X197" s="308"/>
      <c r="Y197" s="308"/>
      <c r="Z197" s="298"/>
      <c r="AA197" s="298"/>
    </row>
    <row r="198" spans="4:27" x14ac:dyDescent="0.25">
      <c r="D198"/>
      <c r="F198" s="17" t="s">
        <v>123</v>
      </c>
      <c r="G198" s="17" t="s">
        <v>183</v>
      </c>
      <c r="H198" s="300"/>
      <c r="I198" s="300"/>
      <c r="J198" s="305"/>
      <c r="K198" s="305"/>
      <c r="L198" s="305"/>
      <c r="M198" s="305"/>
      <c r="N198" s="305"/>
      <c r="O198" s="305"/>
      <c r="P198" s="305"/>
      <c r="Q198" s="305"/>
      <c r="R198" s="305"/>
      <c r="S198" s="305"/>
      <c r="T198" s="305"/>
      <c r="U198" s="305"/>
      <c r="V198" s="305"/>
      <c r="W198" s="305"/>
      <c r="X198" s="305"/>
      <c r="Y198" s="305"/>
      <c r="Z198" s="298"/>
      <c r="AA198" s="298"/>
    </row>
    <row r="199" spans="4:27" x14ac:dyDescent="0.25">
      <c r="D199"/>
      <c r="J199" s="211"/>
      <c r="K199" s="211"/>
      <c r="L199" s="211"/>
      <c r="M199" s="211"/>
      <c r="N199" s="211"/>
      <c r="O199" s="211"/>
      <c r="P199" s="211"/>
      <c r="Q199" s="211"/>
      <c r="R199" s="211"/>
      <c r="S199" s="211"/>
      <c r="T199" s="211"/>
      <c r="U199" s="211"/>
      <c r="V199" s="211"/>
      <c r="W199" s="211"/>
      <c r="X199" s="211"/>
      <c r="Y199" s="211"/>
    </row>
    <row r="200" spans="4:27" x14ac:dyDescent="0.25">
      <c r="E200" s="52" t="s">
        <v>116</v>
      </c>
      <c r="J200" s="211"/>
      <c r="K200" s="211"/>
      <c r="L200" s="211"/>
      <c r="M200" s="211"/>
      <c r="N200" s="211"/>
      <c r="O200" s="211"/>
      <c r="P200" s="211"/>
      <c r="Q200" s="211"/>
      <c r="R200" s="211"/>
      <c r="S200" s="211"/>
      <c r="T200" s="211"/>
      <c r="U200" s="211"/>
      <c r="V200" s="211"/>
      <c r="W200" s="211"/>
      <c r="X200" s="211"/>
      <c r="Y200" s="211"/>
    </row>
    <row r="201" spans="4:27" x14ac:dyDescent="0.25">
      <c r="F201" s="80" t="s">
        <v>267</v>
      </c>
      <c r="G201" s="80" t="s">
        <v>183</v>
      </c>
      <c r="H201" s="296"/>
      <c r="I201" s="296"/>
      <c r="J201" s="473">
        <f t="shared" ref="J201:Y202" si="46">J96 * (1 - J$112)</f>
        <v>8.5558308133681894E-4</v>
      </c>
      <c r="K201" s="473">
        <f t="shared" si="46"/>
        <v>8.5558308133681894E-4</v>
      </c>
      <c r="L201" s="473">
        <f t="shared" si="46"/>
        <v>1.0326711409647641E-3</v>
      </c>
      <c r="M201" s="473">
        <f t="shared" si="46"/>
        <v>1.0326711409647641E-3</v>
      </c>
      <c r="N201" s="473">
        <f t="shared" si="46"/>
        <v>8.7216887879946136E-4</v>
      </c>
      <c r="O201" s="473">
        <f t="shared" si="46"/>
        <v>7.2222484397651524E-4</v>
      </c>
      <c r="P201" s="473">
        <f t="shared" si="46"/>
        <v>7.0825052934956082E-4</v>
      </c>
      <c r="Q201" s="473">
        <f t="shared" si="46"/>
        <v>7.6049813399647458E-4</v>
      </c>
      <c r="R201" s="473">
        <f t="shared" si="46"/>
        <v>-6.7296330617537027E-4</v>
      </c>
      <c r="S201" s="473">
        <f t="shared" si="46"/>
        <v>-6.3581329560822317E-4</v>
      </c>
      <c r="T201" s="473">
        <f t="shared" si="46"/>
        <v>-6.7296330617537027E-4</v>
      </c>
      <c r="U201" s="473">
        <f t="shared" si="46"/>
        <v>-6.7296330617537027E-4</v>
      </c>
      <c r="V201" s="473">
        <f t="shared" si="46"/>
        <v>-6.3581329560822317E-4</v>
      </c>
      <c r="W201" s="473">
        <f t="shared" si="46"/>
        <v>-6.3581329560822317E-4</v>
      </c>
      <c r="X201" s="473">
        <f t="shared" si="46"/>
        <v>-6.2363296427473238E-4</v>
      </c>
      <c r="Y201" s="473">
        <f t="shared" si="46"/>
        <v>-6.2363296427473238E-4</v>
      </c>
      <c r="Z201" s="298"/>
      <c r="AA201" s="298"/>
    </row>
    <row r="202" spans="4:27" x14ac:dyDescent="0.25">
      <c r="F202" t="s">
        <v>43</v>
      </c>
      <c r="G202" t="s">
        <v>183</v>
      </c>
      <c r="H202" s="298"/>
      <c r="I202" s="298"/>
      <c r="J202" s="364">
        <f t="shared" si="46"/>
        <v>0</v>
      </c>
      <c r="K202" s="364">
        <f t="shared" si="46"/>
        <v>0</v>
      </c>
      <c r="L202" s="364">
        <f t="shared" si="46"/>
        <v>0</v>
      </c>
      <c r="M202" s="364">
        <f t="shared" si="46"/>
        <v>0</v>
      </c>
      <c r="N202" s="364">
        <f t="shared" si="46"/>
        <v>0</v>
      </c>
      <c r="O202" s="364">
        <f t="shared" si="46"/>
        <v>0</v>
      </c>
      <c r="P202" s="364">
        <f t="shared" si="46"/>
        <v>0</v>
      </c>
      <c r="Q202" s="364">
        <f t="shared" si="46"/>
        <v>0</v>
      </c>
      <c r="R202" s="364">
        <f t="shared" si="46"/>
        <v>0</v>
      </c>
      <c r="S202" s="364">
        <f t="shared" si="46"/>
        <v>0</v>
      </c>
      <c r="T202" s="364">
        <f t="shared" si="46"/>
        <v>0</v>
      </c>
      <c r="U202" s="364">
        <f t="shared" si="46"/>
        <v>0</v>
      </c>
      <c r="V202" s="364">
        <f t="shared" si="46"/>
        <v>0</v>
      </c>
      <c r="W202" s="364">
        <f t="shared" si="46"/>
        <v>0</v>
      </c>
      <c r="X202" s="364">
        <f t="shared" si="46"/>
        <v>0</v>
      </c>
      <c r="Y202" s="364">
        <f t="shared" si="46"/>
        <v>0</v>
      </c>
      <c r="Z202" s="298"/>
      <c r="AA202" s="298"/>
    </row>
    <row r="203" spans="4:27" x14ac:dyDescent="0.25">
      <c r="F203" t="s">
        <v>44</v>
      </c>
      <c r="G203" t="s">
        <v>183</v>
      </c>
      <c r="H203" s="298"/>
      <c r="I203" s="298"/>
      <c r="J203" s="364">
        <f t="shared" ref="J203:Y203" si="47">J98 * (1 - J$113)</f>
        <v>0</v>
      </c>
      <c r="K203" s="364">
        <f t="shared" si="47"/>
        <v>0</v>
      </c>
      <c r="L203" s="364">
        <f t="shared" si="47"/>
        <v>0</v>
      </c>
      <c r="M203" s="364">
        <f t="shared" si="47"/>
        <v>0</v>
      </c>
      <c r="N203" s="364">
        <f t="shared" si="47"/>
        <v>0</v>
      </c>
      <c r="O203" s="364">
        <f t="shared" si="47"/>
        <v>0</v>
      </c>
      <c r="P203" s="364">
        <f t="shared" si="47"/>
        <v>0</v>
      </c>
      <c r="Q203" s="364">
        <f t="shared" si="47"/>
        <v>0</v>
      </c>
      <c r="R203" s="364">
        <f t="shared" si="47"/>
        <v>0</v>
      </c>
      <c r="S203" s="364">
        <f t="shared" si="47"/>
        <v>0</v>
      </c>
      <c r="T203" s="364">
        <f t="shared" si="47"/>
        <v>0</v>
      </c>
      <c r="U203" s="364">
        <f t="shared" si="47"/>
        <v>0</v>
      </c>
      <c r="V203" s="364">
        <f t="shared" si="47"/>
        <v>0</v>
      </c>
      <c r="W203" s="364">
        <f t="shared" si="47"/>
        <v>0</v>
      </c>
      <c r="X203" s="364">
        <f t="shared" si="47"/>
        <v>0</v>
      </c>
      <c r="Y203" s="364">
        <f t="shared" si="47"/>
        <v>0</v>
      </c>
      <c r="Z203" s="298"/>
      <c r="AA203" s="298"/>
    </row>
    <row r="204" spans="4:27" x14ac:dyDescent="0.25">
      <c r="F204" t="s">
        <v>45</v>
      </c>
      <c r="G204" t="s">
        <v>183</v>
      </c>
      <c r="H204" s="298"/>
      <c r="I204" s="298"/>
      <c r="J204" s="364">
        <f t="shared" ref="J204:Y204" si="48">J99 * (1 - J$114)</f>
        <v>0</v>
      </c>
      <c r="K204" s="364">
        <f t="shared" si="48"/>
        <v>0</v>
      </c>
      <c r="L204" s="364">
        <f t="shared" si="48"/>
        <v>0</v>
      </c>
      <c r="M204" s="364">
        <f t="shared" si="48"/>
        <v>0</v>
      </c>
      <c r="N204" s="364">
        <f t="shared" si="48"/>
        <v>0</v>
      </c>
      <c r="O204" s="364">
        <f t="shared" si="48"/>
        <v>0</v>
      </c>
      <c r="P204" s="364">
        <f t="shared" si="48"/>
        <v>0</v>
      </c>
      <c r="Q204" s="364">
        <f t="shared" si="48"/>
        <v>0</v>
      </c>
      <c r="R204" s="364">
        <f t="shared" si="48"/>
        <v>0</v>
      </c>
      <c r="S204" s="364">
        <f t="shared" si="48"/>
        <v>0</v>
      </c>
      <c r="T204" s="364">
        <f t="shared" si="48"/>
        <v>0</v>
      </c>
      <c r="U204" s="364">
        <f t="shared" si="48"/>
        <v>0</v>
      </c>
      <c r="V204" s="364">
        <f t="shared" si="48"/>
        <v>0</v>
      </c>
      <c r="W204" s="364">
        <f t="shared" si="48"/>
        <v>0</v>
      </c>
      <c r="X204" s="364">
        <f t="shared" si="48"/>
        <v>0</v>
      </c>
      <c r="Y204" s="364">
        <f t="shared" si="48"/>
        <v>0</v>
      </c>
      <c r="Z204" s="298"/>
      <c r="AA204" s="298"/>
    </row>
    <row r="205" spans="4:27" x14ac:dyDescent="0.25">
      <c r="F205" t="s">
        <v>46</v>
      </c>
      <c r="G205" t="s">
        <v>183</v>
      </c>
      <c r="H205" s="298"/>
      <c r="I205" s="298"/>
      <c r="J205" s="364">
        <f t="shared" ref="J205:Y205" si="49">J100 * (1 - J$115)</f>
        <v>1.6255428703110717E-3</v>
      </c>
      <c r="K205" s="364">
        <f t="shared" si="49"/>
        <v>1.6255428703110717E-3</v>
      </c>
      <c r="L205" s="364">
        <f t="shared" si="49"/>
        <v>1.9619967332084659E-3</v>
      </c>
      <c r="M205" s="364">
        <f t="shared" si="49"/>
        <v>1.9619967332084659E-3</v>
      </c>
      <c r="N205" s="364">
        <f t="shared" si="49"/>
        <v>1.6570546257465534E-3</v>
      </c>
      <c r="O205" s="364">
        <f t="shared" si="49"/>
        <v>1.3721723483045083E-3</v>
      </c>
      <c r="P205" s="364">
        <f t="shared" si="49"/>
        <v>1.0764977695251919E-3</v>
      </c>
      <c r="Q205" s="364">
        <f t="shared" si="49"/>
        <v>1.4448886923655486E-3</v>
      </c>
      <c r="R205" s="364">
        <f t="shared" si="49"/>
        <v>-1.2785791680512322E-3</v>
      </c>
      <c r="S205" s="364">
        <f t="shared" si="49"/>
        <v>-1.2079969696339244E-3</v>
      </c>
      <c r="T205" s="364">
        <f t="shared" si="49"/>
        <v>-1.2785791680512322E-3</v>
      </c>
      <c r="U205" s="364">
        <f t="shared" si="49"/>
        <v>-1.2785791680512322E-3</v>
      </c>
      <c r="V205" s="364">
        <f t="shared" si="49"/>
        <v>-1.2079969696339244E-3</v>
      </c>
      <c r="W205" s="364">
        <f t="shared" si="49"/>
        <v>-1.2079969696339244E-3</v>
      </c>
      <c r="X205" s="364">
        <f t="shared" si="49"/>
        <v>-1.1848552652348071E-3</v>
      </c>
      <c r="Y205" s="364">
        <f t="shared" si="49"/>
        <v>-1.1848552652348071E-3</v>
      </c>
      <c r="Z205" s="298"/>
      <c r="AA205" s="298"/>
    </row>
    <row r="206" spans="4:27" x14ac:dyDescent="0.25">
      <c r="F206" t="s">
        <v>47</v>
      </c>
      <c r="G206" t="s">
        <v>183</v>
      </c>
      <c r="H206" s="298"/>
      <c r="I206" s="298"/>
      <c r="J206" s="364">
        <f t="shared" ref="J206:Y206" si="50">J101 * (1 - J$116)</f>
        <v>9.2525981437265666E-4</v>
      </c>
      <c r="K206" s="364">
        <f t="shared" si="50"/>
        <v>9.2525981437265666E-4</v>
      </c>
      <c r="L206" s="364">
        <f t="shared" si="50"/>
        <v>1.1167695213235617E-3</v>
      </c>
      <c r="M206" s="364">
        <f t="shared" si="50"/>
        <v>1.1167695213235617E-3</v>
      </c>
      <c r="N206" s="364">
        <f t="shared" si="50"/>
        <v>9.4319632131892425E-4</v>
      </c>
      <c r="O206" s="364">
        <f t="shared" si="50"/>
        <v>7.8104118658929144E-4</v>
      </c>
      <c r="P206" s="364">
        <f t="shared" si="50"/>
        <v>0</v>
      </c>
      <c r="Q206" s="364">
        <f t="shared" si="50"/>
        <v>8.224313659789624E-4</v>
      </c>
      <c r="R206" s="364">
        <f t="shared" si="50"/>
        <v>-7.2776790160289102E-4</v>
      </c>
      <c r="S206" s="364">
        <f t="shared" si="50"/>
        <v>-6.87592478980469E-4</v>
      </c>
      <c r="T206" s="364">
        <f t="shared" si="50"/>
        <v>-7.2776790160289102E-4</v>
      </c>
      <c r="U206" s="364">
        <f t="shared" si="50"/>
        <v>-7.2776790160289102E-4</v>
      </c>
      <c r="V206" s="364">
        <f t="shared" si="50"/>
        <v>-6.87592478980469E-4</v>
      </c>
      <c r="W206" s="364">
        <f t="shared" si="50"/>
        <v>-6.87592478980469E-4</v>
      </c>
      <c r="X206" s="364">
        <f t="shared" si="50"/>
        <v>-6.7442020926819935E-4</v>
      </c>
      <c r="Y206" s="364">
        <f t="shared" si="50"/>
        <v>-6.7442020926819935E-4</v>
      </c>
      <c r="Z206" s="298"/>
      <c r="AA206" s="298"/>
    </row>
    <row r="207" spans="4:27" x14ac:dyDescent="0.25">
      <c r="F207" t="s">
        <v>51</v>
      </c>
      <c r="G207" t="s">
        <v>183</v>
      </c>
      <c r="H207" s="298"/>
      <c r="I207" s="298"/>
      <c r="J207" s="364">
        <f t="shared" ref="J207:Y207" si="51">J102 * (1 - J$117)</f>
        <v>0</v>
      </c>
      <c r="K207" s="364">
        <f t="shared" si="51"/>
        <v>0</v>
      </c>
      <c r="L207" s="364">
        <f t="shared" si="51"/>
        <v>0</v>
      </c>
      <c r="M207" s="364">
        <f t="shared" si="51"/>
        <v>0</v>
      </c>
      <c r="N207" s="364">
        <f t="shared" si="51"/>
        <v>0</v>
      </c>
      <c r="O207" s="364">
        <f t="shared" si="51"/>
        <v>0</v>
      </c>
      <c r="P207" s="364">
        <f t="shared" si="51"/>
        <v>0</v>
      </c>
      <c r="Q207" s="364">
        <f t="shared" si="51"/>
        <v>0</v>
      </c>
      <c r="R207" s="364">
        <f t="shared" si="51"/>
        <v>0</v>
      </c>
      <c r="S207" s="364">
        <f t="shared" si="51"/>
        <v>0</v>
      </c>
      <c r="T207" s="364">
        <f t="shared" si="51"/>
        <v>0</v>
      </c>
      <c r="U207" s="364">
        <f t="shared" si="51"/>
        <v>0</v>
      </c>
      <c r="V207" s="364">
        <f t="shared" si="51"/>
        <v>0</v>
      </c>
      <c r="W207" s="364">
        <f t="shared" si="51"/>
        <v>0</v>
      </c>
      <c r="X207" s="364">
        <f t="shared" si="51"/>
        <v>0</v>
      </c>
      <c r="Y207" s="364">
        <f t="shared" si="51"/>
        <v>0</v>
      </c>
      <c r="Z207" s="298"/>
      <c r="AA207" s="298"/>
    </row>
    <row r="208" spans="4:27" x14ac:dyDescent="0.25">
      <c r="F208" t="s">
        <v>48</v>
      </c>
      <c r="G208" t="s">
        <v>183</v>
      </c>
      <c r="H208" s="298"/>
      <c r="I208" s="298"/>
      <c r="J208" s="364">
        <f t="shared" ref="J208:Y208" si="52">J103 * (1 - J$118)</f>
        <v>3.9804936421917606E-3</v>
      </c>
      <c r="K208" s="364">
        <f t="shared" si="52"/>
        <v>3.9804936421917606E-3</v>
      </c>
      <c r="L208" s="364">
        <f t="shared" si="52"/>
        <v>4.8043737665576297E-3</v>
      </c>
      <c r="M208" s="364">
        <f t="shared" si="52"/>
        <v>4.8043737665576297E-3</v>
      </c>
      <c r="N208" s="364">
        <f t="shared" si="52"/>
        <v>3.2461255980465809E-3</v>
      </c>
      <c r="O208" s="364">
        <f t="shared" si="52"/>
        <v>0</v>
      </c>
      <c r="P208" s="364">
        <f t="shared" si="52"/>
        <v>0</v>
      </c>
      <c r="Q208" s="364">
        <f t="shared" si="52"/>
        <v>3.5381227765067945E-3</v>
      </c>
      <c r="R208" s="364">
        <f t="shared" si="52"/>
        <v>-3.1308779008042001E-3</v>
      </c>
      <c r="S208" s="364">
        <f t="shared" si="52"/>
        <v>-2.9580421071851446E-3</v>
      </c>
      <c r="T208" s="364">
        <f t="shared" si="52"/>
        <v>-3.1308779008042001E-3</v>
      </c>
      <c r="U208" s="364">
        <f t="shared" si="52"/>
        <v>-3.1308779008042001E-3</v>
      </c>
      <c r="V208" s="364">
        <f t="shared" si="52"/>
        <v>-2.9580421071851446E-3</v>
      </c>
      <c r="W208" s="364">
        <f t="shared" si="52"/>
        <v>-2.9580421071851446E-3</v>
      </c>
      <c r="X208" s="364">
        <f t="shared" si="52"/>
        <v>0</v>
      </c>
      <c r="Y208" s="364">
        <f t="shared" si="52"/>
        <v>0</v>
      </c>
      <c r="Z208" s="298"/>
      <c r="AA208" s="298"/>
    </row>
    <row r="209" spans="2:27" x14ac:dyDescent="0.25">
      <c r="F209" t="s">
        <v>49</v>
      </c>
      <c r="G209" t="s">
        <v>183</v>
      </c>
      <c r="H209" s="298"/>
      <c r="I209" s="298"/>
      <c r="J209" s="364">
        <f t="shared" ref="J209:Y209" si="53">J104 * (1 - J$119)</f>
        <v>1.0004107616537359E-3</v>
      </c>
      <c r="K209" s="364">
        <f t="shared" si="53"/>
        <v>1.0004107616537359E-3</v>
      </c>
      <c r="L209" s="364">
        <f t="shared" si="53"/>
        <v>1.2074751654231131E-3</v>
      </c>
      <c r="M209" s="364">
        <f t="shared" si="53"/>
        <v>1.2074751654231131E-3</v>
      </c>
      <c r="N209" s="364">
        <f t="shared" si="53"/>
        <v>0</v>
      </c>
      <c r="O209" s="364">
        <f t="shared" si="53"/>
        <v>0</v>
      </c>
      <c r="P209" s="364">
        <f t="shared" si="53"/>
        <v>0</v>
      </c>
      <c r="Q209" s="364">
        <f t="shared" si="53"/>
        <v>8.8923043718783907E-4</v>
      </c>
      <c r="R209" s="364">
        <f t="shared" si="53"/>
        <v>-7.8687826861186254E-4</v>
      </c>
      <c r="S209" s="364">
        <f t="shared" si="53"/>
        <v>0</v>
      </c>
      <c r="T209" s="364">
        <f t="shared" si="53"/>
        <v>-7.8687826861186254E-4</v>
      </c>
      <c r="U209" s="364">
        <f t="shared" si="53"/>
        <v>-7.8687826861186254E-4</v>
      </c>
      <c r="V209" s="364">
        <f t="shared" si="53"/>
        <v>0</v>
      </c>
      <c r="W209" s="364">
        <f t="shared" si="53"/>
        <v>0</v>
      </c>
      <c r="X209" s="364">
        <f t="shared" si="53"/>
        <v>0</v>
      </c>
      <c r="Y209" s="364">
        <f t="shared" si="53"/>
        <v>0</v>
      </c>
      <c r="Z209" s="298"/>
      <c r="AA209" s="298"/>
    </row>
    <row r="210" spans="2:27" x14ac:dyDescent="0.25">
      <c r="F210" t="s">
        <v>50</v>
      </c>
      <c r="G210" t="s">
        <v>183</v>
      </c>
      <c r="H210" s="298"/>
      <c r="I210" s="298"/>
      <c r="J210" s="364">
        <f t="shared" ref="J210:Y210" si="54">J105 * (1 - J$120)</f>
        <v>0</v>
      </c>
      <c r="K210" s="364">
        <f t="shared" si="54"/>
        <v>0</v>
      </c>
      <c r="L210" s="364">
        <f t="shared" si="54"/>
        <v>0</v>
      </c>
      <c r="M210" s="364">
        <f t="shared" si="54"/>
        <v>0</v>
      </c>
      <c r="N210" s="364">
        <f t="shared" si="54"/>
        <v>0</v>
      </c>
      <c r="O210" s="364">
        <f t="shared" si="54"/>
        <v>0</v>
      </c>
      <c r="P210" s="364">
        <f t="shared" si="54"/>
        <v>0</v>
      </c>
      <c r="Q210" s="364">
        <f t="shared" si="54"/>
        <v>1.4957137092115773E-3</v>
      </c>
      <c r="R210" s="364">
        <f t="shared" si="54"/>
        <v>0</v>
      </c>
      <c r="S210" s="364">
        <f t="shared" si="54"/>
        <v>0</v>
      </c>
      <c r="T210" s="364">
        <f t="shared" si="54"/>
        <v>0</v>
      </c>
      <c r="U210" s="364">
        <f t="shared" si="54"/>
        <v>0</v>
      </c>
      <c r="V210" s="364">
        <f t="shared" si="54"/>
        <v>0</v>
      </c>
      <c r="W210" s="364">
        <f t="shared" si="54"/>
        <v>0</v>
      </c>
      <c r="X210" s="364">
        <f t="shared" si="54"/>
        <v>0</v>
      </c>
      <c r="Y210" s="364">
        <f t="shared" si="54"/>
        <v>0</v>
      </c>
      <c r="Z210" s="298"/>
      <c r="AA210" s="298"/>
    </row>
    <row r="211" spans="2:27" x14ac:dyDescent="0.25">
      <c r="D211"/>
      <c r="F211" s="80" t="s">
        <v>124</v>
      </c>
      <c r="G211" s="80" t="s">
        <v>183</v>
      </c>
      <c r="H211" s="296"/>
      <c r="I211" s="296" t="s">
        <v>359</v>
      </c>
      <c r="J211" s="308"/>
      <c r="K211" s="308"/>
      <c r="L211" s="308"/>
      <c r="M211" s="308"/>
      <c r="N211" s="308"/>
      <c r="O211" s="308"/>
      <c r="P211" s="308"/>
      <c r="Q211" s="309">
        <f>Q106</f>
        <v>0.4392137814844751</v>
      </c>
      <c r="R211" s="308"/>
      <c r="S211" s="308"/>
      <c r="T211" s="308"/>
      <c r="U211" s="308"/>
      <c r="V211" s="308"/>
      <c r="W211" s="308"/>
      <c r="X211" s="308"/>
      <c r="Y211" s="308"/>
      <c r="Z211" s="298"/>
      <c r="AA211" s="298" t="s">
        <v>728</v>
      </c>
    </row>
    <row r="212" spans="2:27" x14ac:dyDescent="0.25">
      <c r="D212"/>
      <c r="F212" s="17" t="s">
        <v>123</v>
      </c>
      <c r="G212" s="17" t="s">
        <v>183</v>
      </c>
      <c r="H212" s="300"/>
      <c r="I212" s="300"/>
      <c r="J212" s="305"/>
      <c r="K212" s="305"/>
      <c r="L212" s="305"/>
      <c r="M212" s="305"/>
      <c r="N212" s="305"/>
      <c r="O212" s="305"/>
      <c r="P212" s="305"/>
      <c r="Q212" s="305"/>
      <c r="R212" s="305"/>
      <c r="S212" s="305"/>
      <c r="T212" s="305"/>
      <c r="U212" s="305"/>
      <c r="V212" s="305"/>
      <c r="W212" s="305"/>
      <c r="X212" s="305"/>
      <c r="Y212" s="305"/>
      <c r="Z212" s="298"/>
      <c r="AA212" s="298"/>
    </row>
    <row r="213" spans="2:27" x14ac:dyDescent="0.25">
      <c r="J213" s="211"/>
      <c r="K213" s="211"/>
      <c r="L213" s="211"/>
      <c r="M213" s="211"/>
      <c r="N213" s="211"/>
      <c r="O213" s="211"/>
      <c r="P213" s="211"/>
      <c r="Q213" s="211"/>
      <c r="R213" s="211"/>
      <c r="S213" s="211"/>
      <c r="T213" s="211"/>
      <c r="U213" s="211"/>
      <c r="V213" s="211"/>
      <c r="W213" s="211"/>
      <c r="X213" s="211"/>
      <c r="Y213" s="211"/>
    </row>
    <row r="214" spans="2:27" x14ac:dyDescent="0.25">
      <c r="C214" s="5" t="str">
        <f ca="1">INDEX('Version control'!$H$36:$H$62,MATCH($A$1,'Version control'!$F$36:$F$62,0),1)&amp;"-H: Unit rates, post application of standing charges"</f>
        <v>Section 514-H: Unit rates, post application of standing charges</v>
      </c>
      <c r="D214" s="5"/>
      <c r="E214" s="5"/>
      <c r="F214" s="5"/>
      <c r="G214" s="5"/>
      <c r="H214" s="5"/>
      <c r="I214" s="5"/>
      <c r="J214" s="205"/>
      <c r="K214" s="205"/>
      <c r="L214" s="205"/>
      <c r="M214" s="205"/>
      <c r="N214" s="205"/>
      <c r="O214" s="205"/>
      <c r="P214" s="205"/>
      <c r="Q214" s="205"/>
      <c r="R214" s="205"/>
      <c r="S214" s="205"/>
      <c r="T214" s="205"/>
      <c r="U214" s="205"/>
      <c r="V214" s="205"/>
      <c r="W214" s="205"/>
      <c r="X214" s="205"/>
      <c r="Y214" s="205"/>
      <c r="Z214" s="5"/>
      <c r="AA214" s="5"/>
    </row>
    <row r="215" spans="2:27" x14ac:dyDescent="0.25">
      <c r="J215" s="211"/>
      <c r="K215" s="211"/>
      <c r="L215" s="211"/>
      <c r="M215" s="211"/>
      <c r="N215" s="211"/>
      <c r="O215" s="211"/>
      <c r="P215" s="211"/>
      <c r="Q215" s="211"/>
      <c r="R215" s="211"/>
      <c r="S215" s="211"/>
      <c r="T215" s="211"/>
      <c r="U215" s="211"/>
      <c r="V215" s="211"/>
      <c r="W215" s="211"/>
      <c r="X215" s="211"/>
      <c r="Y215" s="211"/>
      <c r="AA215" s="19"/>
    </row>
    <row r="216" spans="2:27" x14ac:dyDescent="0.25">
      <c r="D216"/>
      <c r="E216" s="52" t="s">
        <v>235</v>
      </c>
      <c r="F216" s="84"/>
      <c r="J216" s="211"/>
      <c r="K216" s="211"/>
      <c r="L216" s="211"/>
      <c r="M216" s="211"/>
      <c r="N216" s="211"/>
      <c r="O216" s="211"/>
      <c r="P216" s="211"/>
      <c r="Q216" s="211"/>
      <c r="R216" s="211"/>
      <c r="S216" s="211"/>
      <c r="T216" s="211"/>
      <c r="U216" s="211"/>
      <c r="V216" s="211"/>
      <c r="W216" s="211"/>
      <c r="X216" s="211"/>
      <c r="Y216" s="211"/>
      <c r="AA216" s="19"/>
    </row>
    <row r="217" spans="2:27" x14ac:dyDescent="0.25">
      <c r="D217"/>
      <c r="F217" s="80" t="s">
        <v>296</v>
      </c>
      <c r="G217" s="80" t="s">
        <v>183</v>
      </c>
      <c r="H217" s="296"/>
      <c r="I217" s="296"/>
      <c r="J217" s="474">
        <f t="shared" ref="J217:Y217" si="55">SUM(J127:J138,J141:J152)</f>
        <v>8.299709774288182</v>
      </c>
      <c r="K217" s="474">
        <f t="shared" si="55"/>
        <v>8.299709774288182</v>
      </c>
      <c r="L217" s="474">
        <f t="shared" si="55"/>
        <v>10.017578595522124</v>
      </c>
      <c r="M217" s="474">
        <f t="shared" si="55"/>
        <v>10.017578595522124</v>
      </c>
      <c r="N217" s="474">
        <f t="shared" si="55"/>
        <v>7.2441646887714617</v>
      </c>
      <c r="O217" s="474">
        <f t="shared" si="55"/>
        <v>4.1678200402601213</v>
      </c>
      <c r="P217" s="474">
        <f t="shared" si="55"/>
        <v>2.8865352453672846</v>
      </c>
      <c r="Q217" s="474">
        <f t="shared" si="55"/>
        <v>22.750664930150901</v>
      </c>
      <c r="R217" s="474">
        <f t="shared" si="55"/>
        <v>-6.5281797312705345</v>
      </c>
      <c r="S217" s="474">
        <f t="shared" si="55"/>
        <v>-5.6839788146925212</v>
      </c>
      <c r="T217" s="474">
        <f t="shared" si="55"/>
        <v>-6.5281797312705345</v>
      </c>
      <c r="U217" s="474">
        <f t="shared" si="55"/>
        <v>-6.5281797312705345</v>
      </c>
      <c r="V217" s="474">
        <f t="shared" si="55"/>
        <v>-5.6839788146925212</v>
      </c>
      <c r="W217" s="474">
        <f t="shared" si="55"/>
        <v>-5.6839788146925212</v>
      </c>
      <c r="X217" s="474">
        <f t="shared" si="55"/>
        <v>-3.5120732557973353</v>
      </c>
      <c r="Y217" s="474">
        <f t="shared" si="55"/>
        <v>-3.5120732557973353</v>
      </c>
      <c r="Z217" s="298"/>
      <c r="AA217" s="298"/>
    </row>
    <row r="218" spans="2:27" x14ac:dyDescent="0.25">
      <c r="D218"/>
      <c r="F218" t="s">
        <v>297</v>
      </c>
      <c r="G218" t="s">
        <v>183</v>
      </c>
      <c r="H218" s="298"/>
      <c r="I218" s="298"/>
      <c r="J218" s="474">
        <f t="shared" ref="J218:Y218" si="56">SUM(J157:J168,J171:J182)</f>
        <v>0.95313219533521953</v>
      </c>
      <c r="K218" s="474">
        <f t="shared" si="56"/>
        <v>0.95313219533521953</v>
      </c>
      <c r="L218" s="474">
        <f t="shared" si="56"/>
        <v>1.150410910544398</v>
      </c>
      <c r="M218" s="474">
        <f t="shared" si="56"/>
        <v>1.150410910544398</v>
      </c>
      <c r="N218" s="474">
        <f t="shared" si="56"/>
        <v>0.78722064913810097</v>
      </c>
      <c r="O218" s="474">
        <f t="shared" si="56"/>
        <v>0.37434886539562695</v>
      </c>
      <c r="P218" s="474">
        <f t="shared" si="56"/>
        <v>0.22923280291328646</v>
      </c>
      <c r="Q218" s="474">
        <f t="shared" si="56"/>
        <v>1.3580108270601396</v>
      </c>
      <c r="R218" s="474">
        <f t="shared" si="56"/>
        <v>-0.74969106728101365</v>
      </c>
      <c r="S218" s="474">
        <f t="shared" si="56"/>
        <v>-0.63496742960815677</v>
      </c>
      <c r="T218" s="474">
        <f t="shared" si="56"/>
        <v>-0.74969106728101365</v>
      </c>
      <c r="U218" s="474">
        <f t="shared" si="56"/>
        <v>-0.74969106728101365</v>
      </c>
      <c r="V218" s="474">
        <f t="shared" si="56"/>
        <v>-0.63496742960815677</v>
      </c>
      <c r="W218" s="474">
        <f t="shared" si="56"/>
        <v>-0.63496742960815677</v>
      </c>
      <c r="X218" s="474">
        <f t="shared" si="56"/>
        <v>-0.31331277837518495</v>
      </c>
      <c r="Y218" s="474">
        <f t="shared" si="56"/>
        <v>-0.31331277837518495</v>
      </c>
      <c r="Z218" s="298"/>
      <c r="AA218" s="298"/>
    </row>
    <row r="219" spans="2:27" x14ac:dyDescent="0.25">
      <c r="D219"/>
      <c r="F219" s="17" t="s">
        <v>298</v>
      </c>
      <c r="G219" s="17" t="s">
        <v>183</v>
      </c>
      <c r="H219" s="300"/>
      <c r="I219" s="300"/>
      <c r="J219" s="301">
        <f t="shared" ref="J219:Y219" si="57">SUM(J187:J198,J201:J212)</f>
        <v>1.7003237233463812E-2</v>
      </c>
      <c r="K219" s="301">
        <f t="shared" si="57"/>
        <v>1.7003237233463812E-2</v>
      </c>
      <c r="L219" s="301">
        <f t="shared" si="57"/>
        <v>2.0522556811830232E-2</v>
      </c>
      <c r="M219" s="301">
        <f t="shared" si="57"/>
        <v>2.0522556811830232E-2</v>
      </c>
      <c r="N219" s="301">
        <f t="shared" si="57"/>
        <v>1.3643911588587573E-2</v>
      </c>
      <c r="O219" s="301">
        <f t="shared" si="57"/>
        <v>5.7458313786606487E-3</v>
      </c>
      <c r="P219" s="301">
        <f t="shared" si="57"/>
        <v>3.17516871760074E-3</v>
      </c>
      <c r="Q219" s="301">
        <f t="shared" si="57"/>
        <v>0.45597518216619148</v>
      </c>
      <c r="R219" s="301">
        <f t="shared" si="57"/>
        <v>-1.3373984355134004E-2</v>
      </c>
      <c r="S219" s="301">
        <f t="shared" si="57"/>
        <v>-1.1168466179409052E-2</v>
      </c>
      <c r="T219" s="301">
        <f t="shared" si="57"/>
        <v>-1.3373984355134004E-2</v>
      </c>
      <c r="U219" s="301">
        <f t="shared" si="57"/>
        <v>-1.3373984355134004E-2</v>
      </c>
      <c r="V219" s="301">
        <f t="shared" si="57"/>
        <v>-1.1168466179409052E-2</v>
      </c>
      <c r="W219" s="301">
        <f t="shared" si="57"/>
        <v>-1.1168466179409052E-2</v>
      </c>
      <c r="X219" s="301">
        <f t="shared" si="57"/>
        <v>-4.7845614421207936E-3</v>
      </c>
      <c r="Y219" s="301">
        <f t="shared" si="57"/>
        <v>-4.7845614421207936E-3</v>
      </c>
      <c r="Z219" s="298"/>
      <c r="AA219" s="298"/>
    </row>
    <row r="221" spans="2:27" x14ac:dyDescent="0.25">
      <c r="B221" s="82" t="s">
        <v>109</v>
      </c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  <c r="AA221" s="82"/>
    </row>
    <row r="222" spans="2:27" x14ac:dyDescent="0.25">
      <c r="AA222" s="19"/>
    </row>
    <row r="223" spans="2:27" x14ac:dyDescent="0.25">
      <c r="E223" t="s">
        <v>415</v>
      </c>
      <c r="G223" s="46" t="s">
        <v>588</v>
      </c>
      <c r="H223" s="263">
        <f t="array" ref="H223">SUM(IF(ISERROR(H22:Y219), 1))</f>
        <v>0</v>
      </c>
      <c r="AA223" s="19"/>
    </row>
    <row r="225" spans="2:27" x14ac:dyDescent="0.25">
      <c r="B225" s="82" t="s">
        <v>110</v>
      </c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Capacity charges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H295 &amp; IF(H295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AA4" s="367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D9" s="73" t="s">
        <v>396</v>
      </c>
      <c r="E9"/>
    </row>
    <row r="10" spans="1:27" x14ac:dyDescent="0.25">
      <c r="D10" s="73" t="s">
        <v>734</v>
      </c>
      <c r="E10"/>
    </row>
    <row r="11" spans="1:27" x14ac:dyDescent="0.25">
      <c r="D11" s="73" t="s">
        <v>819</v>
      </c>
      <c r="E11"/>
    </row>
    <row r="12" spans="1:27" x14ac:dyDescent="0.25">
      <c r="D12" s="73" t="s">
        <v>764</v>
      </c>
      <c r="E12"/>
    </row>
    <row r="13" spans="1:27" x14ac:dyDescent="0.25">
      <c r="D13" s="73" t="s">
        <v>536</v>
      </c>
      <c r="E13"/>
    </row>
    <row r="14" spans="1:27" x14ac:dyDescent="0.25">
      <c r="D14" s="73" t="s">
        <v>765</v>
      </c>
      <c r="E14"/>
    </row>
    <row r="15" spans="1:27" x14ac:dyDescent="0.25">
      <c r="D15" s="73" t="s">
        <v>735</v>
      </c>
    </row>
    <row r="17" spans="2:27" x14ac:dyDescent="0.25">
      <c r="B17" s="82" t="s">
        <v>655</v>
      </c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</row>
    <row r="18" spans="2:27" x14ac:dyDescent="0.25">
      <c r="D18"/>
      <c r="E18"/>
    </row>
    <row r="19" spans="2:27" x14ac:dyDescent="0.25">
      <c r="C19" s="5" t="str">
        <f ca="1">INDEX('Version control'!$H$36:$H$62,MATCH($A$1,'Version control'!$F$36:$F$62,0),1)&amp;"-A: Inputs to capacity charge calculations"</f>
        <v>Section 515-A: Inputs to capacity charge calculations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</row>
    <row r="21" spans="2:27" x14ac:dyDescent="0.25">
      <c r="E21" s="52" t="s">
        <v>266</v>
      </c>
      <c r="F21" s="84"/>
    </row>
    <row r="22" spans="2:27" x14ac:dyDescent="0.25">
      <c r="D22"/>
      <c r="E22" s="73" t="s">
        <v>736</v>
      </c>
      <c r="F22" s="84"/>
    </row>
    <row r="23" spans="2:27" x14ac:dyDescent="0.25">
      <c r="C23" s="76"/>
      <c r="F23" s="66" t="s">
        <v>267</v>
      </c>
      <c r="G23" s="66" t="s">
        <v>94</v>
      </c>
      <c r="H23" s="368">
        <f>'System peak demand'!H226</f>
        <v>0.1160000000000001</v>
      </c>
    </row>
    <row r="24" spans="2:27" x14ac:dyDescent="0.25">
      <c r="C24" s="76"/>
      <c r="F24" t="s">
        <v>43</v>
      </c>
      <c r="G24" t="s">
        <v>94</v>
      </c>
      <c r="H24" s="120">
        <f>'System peak demand'!H226</f>
        <v>0.1160000000000001</v>
      </c>
    </row>
    <row r="25" spans="2:27" x14ac:dyDescent="0.25">
      <c r="C25" s="76"/>
      <c r="F25" t="s">
        <v>44</v>
      </c>
      <c r="G25" t="s">
        <v>94</v>
      </c>
      <c r="H25" s="120">
        <f>'System peak demand'!H227</f>
        <v>0.1160000000000001</v>
      </c>
    </row>
    <row r="26" spans="2:27" x14ac:dyDescent="0.25">
      <c r="C26" s="76"/>
      <c r="F26" t="s">
        <v>45</v>
      </c>
      <c r="G26" t="s">
        <v>94</v>
      </c>
      <c r="H26" s="120">
        <f>'System peak demand'!H228</f>
        <v>0.1160000000000001</v>
      </c>
    </row>
    <row r="27" spans="2:27" x14ac:dyDescent="0.25">
      <c r="C27" s="76"/>
      <c r="F27" t="s">
        <v>46</v>
      </c>
      <c r="G27" t="s">
        <v>94</v>
      </c>
      <c r="H27" s="120">
        <f>'System peak demand'!H229</f>
        <v>0.26107999999999998</v>
      </c>
    </row>
    <row r="28" spans="2:27" x14ac:dyDescent="0.25">
      <c r="C28" s="76"/>
      <c r="F28" t="s">
        <v>47</v>
      </c>
      <c r="G28" t="s">
        <v>94</v>
      </c>
      <c r="H28" s="120">
        <f>'System peak demand'!H230</f>
        <v>0.26107999999999998</v>
      </c>
    </row>
    <row r="29" spans="2:27" x14ac:dyDescent="0.25">
      <c r="C29" s="76"/>
      <c r="F29" t="s">
        <v>51</v>
      </c>
      <c r="G29" t="s">
        <v>94</v>
      </c>
      <c r="H29" s="120">
        <f>'System peak demand'!H231</f>
        <v>0.1160000000000001</v>
      </c>
    </row>
    <row r="30" spans="2:27" x14ac:dyDescent="0.25">
      <c r="C30" s="76"/>
      <c r="F30" t="s">
        <v>48</v>
      </c>
      <c r="G30" t="s">
        <v>94</v>
      </c>
      <c r="H30" s="120">
        <f>'System peak demand'!H232</f>
        <v>0.57634999999999992</v>
      </c>
    </row>
    <row r="31" spans="2:27" x14ac:dyDescent="0.25">
      <c r="C31" s="76"/>
      <c r="F31" t="s">
        <v>49</v>
      </c>
      <c r="G31" t="s">
        <v>94</v>
      </c>
      <c r="H31" s="120">
        <f>'System peak demand'!H233</f>
        <v>0.57634999999999992</v>
      </c>
    </row>
    <row r="32" spans="2:27" x14ac:dyDescent="0.25">
      <c r="C32" s="76"/>
      <c r="F32" t="s">
        <v>50</v>
      </c>
      <c r="G32" t="s">
        <v>94</v>
      </c>
      <c r="H32" s="120">
        <f>'System peak demand'!H234</f>
        <v>0.82272379471633905</v>
      </c>
    </row>
    <row r="33" spans="3:8" x14ac:dyDescent="0.25">
      <c r="C33" s="76"/>
      <c r="F33" t="s">
        <v>124</v>
      </c>
      <c r="G33" t="s">
        <v>94</v>
      </c>
      <c r="H33" s="71"/>
    </row>
    <row r="34" spans="3:8" x14ac:dyDescent="0.25">
      <c r="C34" s="76"/>
      <c r="F34" s="17" t="s">
        <v>123</v>
      </c>
      <c r="G34" s="17" t="s">
        <v>94</v>
      </c>
      <c r="H34" s="86"/>
    </row>
    <row r="35" spans="3:8" x14ac:dyDescent="0.25">
      <c r="C35" s="76"/>
      <c r="F35" s="84"/>
    </row>
    <row r="36" spans="3:8" x14ac:dyDescent="0.25">
      <c r="E36" s="76" t="s">
        <v>100</v>
      </c>
      <c r="F36" s="84"/>
    </row>
    <row r="37" spans="3:8" x14ac:dyDescent="0.25">
      <c r="C37" s="76"/>
      <c r="F37" s="80" t="s">
        <v>267</v>
      </c>
      <c r="G37" s="14" t="s">
        <v>427</v>
      </c>
      <c r="H37" s="228">
        <f t="array" ref="H37:H46">TRANSPOSE('Load &amp; loss characteristics'!J29:S29)</f>
        <v>1</v>
      </c>
    </row>
    <row r="38" spans="3:8" x14ac:dyDescent="0.25">
      <c r="C38" s="76"/>
      <c r="F38" t="s">
        <v>43</v>
      </c>
      <c r="G38" s="12" t="s">
        <v>427</v>
      </c>
      <c r="H38" s="229">
        <v>1</v>
      </c>
    </row>
    <row r="39" spans="3:8" x14ac:dyDescent="0.25">
      <c r="C39" s="76"/>
      <c r="F39" t="s">
        <v>44</v>
      </c>
      <c r="G39" s="12" t="s">
        <v>427</v>
      </c>
      <c r="H39" s="229">
        <v>1</v>
      </c>
    </row>
    <row r="40" spans="3:8" x14ac:dyDescent="0.25">
      <c r="C40" s="76"/>
      <c r="F40" t="s">
        <v>45</v>
      </c>
      <c r="G40" s="12" t="s">
        <v>427</v>
      </c>
      <c r="H40" s="229">
        <v>1</v>
      </c>
    </row>
    <row r="41" spans="3:8" x14ac:dyDescent="0.25">
      <c r="C41" s="76"/>
      <c r="F41" t="s">
        <v>46</v>
      </c>
      <c r="G41" s="12" t="s">
        <v>427</v>
      </c>
      <c r="H41" s="229">
        <v>1.002</v>
      </c>
    </row>
    <row r="42" spans="3:8" x14ac:dyDescent="0.25">
      <c r="C42" s="76"/>
      <c r="F42" t="s">
        <v>47</v>
      </c>
      <c r="G42" s="12" t="s">
        <v>427</v>
      </c>
      <c r="H42" s="229">
        <v>1.0129999999999999</v>
      </c>
    </row>
    <row r="43" spans="3:8" x14ac:dyDescent="0.25">
      <c r="C43" s="76"/>
      <c r="F43" t="s">
        <v>51</v>
      </c>
      <c r="G43" s="12" t="s">
        <v>427</v>
      </c>
      <c r="H43" s="229">
        <v>1.0129999999999999</v>
      </c>
    </row>
    <row r="44" spans="3:8" x14ac:dyDescent="0.25">
      <c r="C44" s="76"/>
      <c r="F44" t="s">
        <v>48</v>
      </c>
      <c r="G44" s="12" t="s">
        <v>427</v>
      </c>
      <c r="H44" s="229">
        <v>1.024</v>
      </c>
    </row>
    <row r="45" spans="3:8" x14ac:dyDescent="0.25">
      <c r="C45" s="76"/>
      <c r="F45" t="s">
        <v>49</v>
      </c>
      <c r="G45" s="12" t="s">
        <v>427</v>
      </c>
      <c r="H45" s="229">
        <v>1.044</v>
      </c>
    </row>
    <row r="46" spans="3:8" x14ac:dyDescent="0.25">
      <c r="C46" s="76"/>
      <c r="F46" t="s">
        <v>50</v>
      </c>
      <c r="G46" s="12" t="s">
        <v>427</v>
      </c>
      <c r="H46" s="229">
        <v>1.105</v>
      </c>
    </row>
    <row r="47" spans="3:8" x14ac:dyDescent="0.25">
      <c r="C47" s="76"/>
      <c r="F47" t="s">
        <v>124</v>
      </c>
      <c r="G47" s="12" t="s">
        <v>427</v>
      </c>
      <c r="H47" s="234"/>
    </row>
    <row r="48" spans="3:8" x14ac:dyDescent="0.25">
      <c r="C48" s="76"/>
      <c r="F48" s="17" t="s">
        <v>123</v>
      </c>
      <c r="G48" s="13" t="s">
        <v>427</v>
      </c>
      <c r="H48" s="203"/>
    </row>
    <row r="49" spans="3:8" x14ac:dyDescent="0.25">
      <c r="C49" s="76"/>
      <c r="F49" s="84"/>
      <c r="H49" s="211"/>
    </row>
    <row r="50" spans="3:8" x14ac:dyDescent="0.25">
      <c r="C50" s="76"/>
      <c r="E50" s="76" t="s">
        <v>126</v>
      </c>
      <c r="H50" s="211"/>
    </row>
    <row r="51" spans="3:8" x14ac:dyDescent="0.25">
      <c r="C51" s="76"/>
      <c r="E51" s="73"/>
      <c r="F51" s="80" t="s">
        <v>267</v>
      </c>
      <c r="G51" s="80" t="s">
        <v>108</v>
      </c>
      <c r="H51" s="201"/>
    </row>
    <row r="52" spans="3:8" x14ac:dyDescent="0.25">
      <c r="C52" s="76"/>
      <c r="E52" s="73"/>
      <c r="F52" t="s">
        <v>43</v>
      </c>
      <c r="G52" t="s">
        <v>108</v>
      </c>
      <c r="H52" s="234"/>
    </row>
    <row r="53" spans="3:8" x14ac:dyDescent="0.25">
      <c r="C53" s="76"/>
      <c r="E53" s="73"/>
      <c r="F53" t="s">
        <v>44</v>
      </c>
      <c r="G53" t="s">
        <v>108</v>
      </c>
      <c r="H53" s="229">
        <f t="array" ref="H53:H60">TRANSPOSE('Unit costs'!L114:S114)</f>
        <v>0</v>
      </c>
    </row>
    <row r="54" spans="3:8" x14ac:dyDescent="0.25">
      <c r="C54" s="76"/>
      <c r="E54" s="73"/>
      <c r="F54" t="s">
        <v>45</v>
      </c>
      <c r="G54" t="s">
        <v>108</v>
      </c>
      <c r="H54" s="229">
        <v>0</v>
      </c>
    </row>
    <row r="55" spans="3:8" x14ac:dyDescent="0.25">
      <c r="C55" s="76"/>
      <c r="E55" s="73"/>
      <c r="F55" t="s">
        <v>46</v>
      </c>
      <c r="G55" t="s">
        <v>108</v>
      </c>
      <c r="H55" s="229">
        <v>14.885491864002836</v>
      </c>
    </row>
    <row r="56" spans="3:8" x14ac:dyDescent="0.25">
      <c r="C56" s="76"/>
      <c r="E56" s="73"/>
      <c r="F56" t="s">
        <v>47</v>
      </c>
      <c r="G56" t="s">
        <v>108</v>
      </c>
      <c r="H56" s="229">
        <v>3.8562054713520277</v>
      </c>
    </row>
    <row r="57" spans="3:8" x14ac:dyDescent="0.25">
      <c r="C57" s="76"/>
      <c r="E57" s="73"/>
      <c r="F57" t="s">
        <v>51</v>
      </c>
      <c r="G57" t="s">
        <v>108</v>
      </c>
      <c r="H57" s="229">
        <v>0</v>
      </c>
    </row>
    <row r="58" spans="3:8" x14ac:dyDescent="0.25">
      <c r="C58" s="76"/>
      <c r="E58" s="73"/>
      <c r="F58" t="s">
        <v>48</v>
      </c>
      <c r="G58" t="s">
        <v>108</v>
      </c>
      <c r="H58" s="229">
        <v>16.76964665640622</v>
      </c>
    </row>
    <row r="59" spans="3:8" x14ac:dyDescent="0.25">
      <c r="C59" s="76"/>
      <c r="E59" s="73"/>
      <c r="F59" t="s">
        <v>49</v>
      </c>
      <c r="G59" t="s">
        <v>108</v>
      </c>
      <c r="H59" s="229">
        <v>4.2970051507710743</v>
      </c>
    </row>
    <row r="60" spans="3:8" x14ac:dyDescent="0.25">
      <c r="C60" s="76"/>
      <c r="E60" s="73"/>
      <c r="F60" t="s">
        <v>50</v>
      </c>
      <c r="G60" t="s">
        <v>108</v>
      </c>
      <c r="H60" s="229">
        <v>7.6500065726206188</v>
      </c>
    </row>
    <row r="61" spans="3:8" x14ac:dyDescent="0.25">
      <c r="C61" s="76"/>
      <c r="E61" s="73"/>
      <c r="F61" t="s">
        <v>124</v>
      </c>
      <c r="G61" t="s">
        <v>108</v>
      </c>
      <c r="H61" s="234"/>
    </row>
    <row r="62" spans="3:8" x14ac:dyDescent="0.25">
      <c r="C62" s="76"/>
      <c r="E62" s="73"/>
      <c r="F62" s="17" t="s">
        <v>123</v>
      </c>
      <c r="G62" s="17" t="s">
        <v>108</v>
      </c>
      <c r="H62" s="203"/>
    </row>
    <row r="63" spans="3:8" x14ac:dyDescent="0.25">
      <c r="C63" s="76"/>
      <c r="D63"/>
      <c r="E63" s="73"/>
      <c r="H63" s="211"/>
    </row>
    <row r="64" spans="3:8" x14ac:dyDescent="0.25">
      <c r="C64" s="76"/>
      <c r="E64" s="76" t="s">
        <v>127</v>
      </c>
      <c r="H64" s="211"/>
    </row>
    <row r="65" spans="3:25" x14ac:dyDescent="0.25">
      <c r="C65" s="76"/>
      <c r="F65" s="80" t="s">
        <v>267</v>
      </c>
      <c r="G65" s="80" t="s">
        <v>108</v>
      </c>
      <c r="H65" s="228">
        <f t="array" ref="H65:H74">TRANSPOSE('Unit costs'!J115:S115)</f>
        <v>5.8654990324455332</v>
      </c>
    </row>
    <row r="66" spans="3:25" x14ac:dyDescent="0.25">
      <c r="C66" s="76"/>
      <c r="F66" t="s">
        <v>43</v>
      </c>
      <c r="G66" t="s">
        <v>108</v>
      </c>
      <c r="H66" s="229">
        <v>0</v>
      </c>
    </row>
    <row r="67" spans="3:25" x14ac:dyDescent="0.25">
      <c r="C67" s="76"/>
      <c r="F67" t="s">
        <v>44</v>
      </c>
      <c r="G67" t="s">
        <v>108</v>
      </c>
      <c r="H67" s="229">
        <v>0</v>
      </c>
    </row>
    <row r="68" spans="3:25" x14ac:dyDescent="0.25">
      <c r="C68" s="76"/>
      <c r="F68" t="s">
        <v>45</v>
      </c>
      <c r="G68" t="s">
        <v>108</v>
      </c>
      <c r="H68" s="229">
        <v>0</v>
      </c>
    </row>
    <row r="69" spans="3:25" x14ac:dyDescent="0.25">
      <c r="C69" s="76"/>
      <c r="F69" t="s">
        <v>46</v>
      </c>
      <c r="G69" t="s">
        <v>108</v>
      </c>
      <c r="H69" s="229">
        <v>11.16629066384416</v>
      </c>
    </row>
    <row r="70" spans="3:25" x14ac:dyDescent="0.25">
      <c r="C70" s="76"/>
      <c r="F70" t="s">
        <v>47</v>
      </c>
      <c r="G70" t="s">
        <v>108</v>
      </c>
      <c r="H70" s="229">
        <v>2.8927167167886827</v>
      </c>
    </row>
    <row r="71" spans="3:25" x14ac:dyDescent="0.25">
      <c r="C71" s="76"/>
      <c r="F71" t="s">
        <v>51</v>
      </c>
      <c r="G71" t="s">
        <v>108</v>
      </c>
      <c r="H71" s="229">
        <v>0</v>
      </c>
    </row>
    <row r="72" spans="3:25" x14ac:dyDescent="0.25">
      <c r="C72" s="76"/>
      <c r="F72" t="s">
        <v>48</v>
      </c>
      <c r="G72" t="s">
        <v>108</v>
      </c>
      <c r="H72" s="229">
        <v>12.579681652860062</v>
      </c>
    </row>
    <row r="73" spans="3:25" x14ac:dyDescent="0.25">
      <c r="C73" s="76"/>
      <c r="F73" t="s">
        <v>49</v>
      </c>
      <c r="G73" t="s">
        <v>108</v>
      </c>
      <c r="H73" s="229">
        <v>3.2233807882141874</v>
      </c>
    </row>
    <row r="74" spans="3:25" x14ac:dyDescent="0.25">
      <c r="C74" s="76"/>
      <c r="F74" t="s">
        <v>50</v>
      </c>
      <c r="G74" t="s">
        <v>108</v>
      </c>
      <c r="H74" s="229">
        <v>5.7386210513321467</v>
      </c>
    </row>
    <row r="75" spans="3:25" x14ac:dyDescent="0.25">
      <c r="C75" s="76"/>
      <c r="F75" t="s">
        <v>124</v>
      </c>
      <c r="G75" t="s">
        <v>108</v>
      </c>
      <c r="H75" s="234"/>
    </row>
    <row r="76" spans="3:25" x14ac:dyDescent="0.25">
      <c r="C76" s="76"/>
      <c r="F76" s="17" t="s">
        <v>123</v>
      </c>
      <c r="G76" s="17" t="s">
        <v>108</v>
      </c>
      <c r="H76" s="203"/>
    </row>
    <row r="77" spans="3:25" x14ac:dyDescent="0.25">
      <c r="C77" s="76"/>
      <c r="F77" s="84"/>
    </row>
    <row r="78" spans="3:25" x14ac:dyDescent="0.25">
      <c r="E78" s="52" t="s">
        <v>334</v>
      </c>
      <c r="F78" s="84"/>
    </row>
    <row r="79" spans="3:25" x14ac:dyDescent="0.25">
      <c r="E79" s="73" t="s">
        <v>325</v>
      </c>
    </row>
    <row r="80" spans="3:25" x14ac:dyDescent="0.25">
      <c r="C80" s="76"/>
      <c r="F80" s="80" t="s">
        <v>267</v>
      </c>
      <c r="G80" s="14" t="s">
        <v>427</v>
      </c>
      <c r="H80" s="31"/>
      <c r="I80" s="31"/>
      <c r="J80" s="228">
        <f t="array" ref="J80:Y89">TRANSPOSE('Load &amp; loss characteristics'!J145:S160)</f>
        <v>1.105</v>
      </c>
      <c r="K80" s="228">
        <v>1.105</v>
      </c>
      <c r="L80" s="228">
        <v>1.105</v>
      </c>
      <c r="M80" s="228">
        <v>1.105</v>
      </c>
      <c r="N80" s="228">
        <v>1.105</v>
      </c>
      <c r="O80" s="228">
        <v>1.044</v>
      </c>
      <c r="P80" s="228">
        <v>1.024</v>
      </c>
      <c r="Q80" s="228">
        <v>1.105</v>
      </c>
      <c r="R80" s="228">
        <v>-1.105</v>
      </c>
      <c r="S80" s="228">
        <v>-1.044</v>
      </c>
      <c r="T80" s="228">
        <v>-1.105</v>
      </c>
      <c r="U80" s="228">
        <v>-1.105</v>
      </c>
      <c r="V80" s="228">
        <v>-1.044</v>
      </c>
      <c r="W80" s="228">
        <v>-1.044</v>
      </c>
      <c r="X80" s="228">
        <v>-1.024</v>
      </c>
      <c r="Y80" s="228">
        <v>-1.024</v>
      </c>
    </row>
    <row r="81" spans="3:42" x14ac:dyDescent="0.25">
      <c r="C81" s="76"/>
      <c r="F81" t="s">
        <v>43</v>
      </c>
      <c r="G81" s="12" t="s">
        <v>427</v>
      </c>
      <c r="H81" s="119"/>
      <c r="I81" s="119"/>
      <c r="J81" s="229">
        <v>1.105</v>
      </c>
      <c r="K81" s="229">
        <v>1.105</v>
      </c>
      <c r="L81" s="229">
        <v>1.105</v>
      </c>
      <c r="M81" s="229">
        <v>1.105</v>
      </c>
      <c r="N81" s="229">
        <v>1.105</v>
      </c>
      <c r="O81" s="229">
        <v>1.044</v>
      </c>
      <c r="P81" s="229">
        <v>1.024</v>
      </c>
      <c r="Q81" s="229">
        <v>1.105</v>
      </c>
      <c r="R81" s="229">
        <v>-1.105</v>
      </c>
      <c r="S81" s="229">
        <v>-1.044</v>
      </c>
      <c r="T81" s="229">
        <v>-1.105</v>
      </c>
      <c r="U81" s="229">
        <v>-1.105</v>
      </c>
      <c r="V81" s="229">
        <v>-1.044</v>
      </c>
      <c r="W81" s="229">
        <v>-1.044</v>
      </c>
      <c r="X81" s="229">
        <v>-1.024</v>
      </c>
      <c r="Y81" s="229">
        <v>-1.024</v>
      </c>
    </row>
    <row r="82" spans="3:42" x14ac:dyDescent="0.25">
      <c r="C82" s="76"/>
      <c r="F82" t="s">
        <v>44</v>
      </c>
      <c r="G82" s="12" t="s">
        <v>427</v>
      </c>
      <c r="H82" s="119"/>
      <c r="I82" s="119"/>
      <c r="J82" s="229">
        <v>1.105</v>
      </c>
      <c r="K82" s="229">
        <v>1.105</v>
      </c>
      <c r="L82" s="229">
        <v>1.105</v>
      </c>
      <c r="M82" s="229">
        <v>1.105</v>
      </c>
      <c r="N82" s="229">
        <v>1.105</v>
      </c>
      <c r="O82" s="229">
        <v>1.044</v>
      </c>
      <c r="P82" s="229">
        <v>1.024</v>
      </c>
      <c r="Q82" s="229">
        <v>1.105</v>
      </c>
      <c r="R82" s="229">
        <v>-1.105</v>
      </c>
      <c r="S82" s="229">
        <v>-1.044</v>
      </c>
      <c r="T82" s="229">
        <v>-1.105</v>
      </c>
      <c r="U82" s="229">
        <v>-1.105</v>
      </c>
      <c r="V82" s="229">
        <v>-1.044</v>
      </c>
      <c r="W82" s="229">
        <v>-1.044</v>
      </c>
      <c r="X82" s="229">
        <v>-1.024</v>
      </c>
      <c r="Y82" s="229">
        <v>-1.024</v>
      </c>
    </row>
    <row r="83" spans="3:42" x14ac:dyDescent="0.25">
      <c r="C83" s="76"/>
      <c r="F83" t="s">
        <v>45</v>
      </c>
      <c r="G83" s="12" t="s">
        <v>427</v>
      </c>
      <c r="H83" s="119"/>
      <c r="I83" s="119"/>
      <c r="J83" s="229">
        <v>1.105</v>
      </c>
      <c r="K83" s="229">
        <v>1.105</v>
      </c>
      <c r="L83" s="229">
        <v>1.105</v>
      </c>
      <c r="M83" s="229">
        <v>1.105</v>
      </c>
      <c r="N83" s="229">
        <v>1.105</v>
      </c>
      <c r="O83" s="229">
        <v>1.044</v>
      </c>
      <c r="P83" s="229">
        <v>1.024</v>
      </c>
      <c r="Q83" s="229">
        <v>1.105</v>
      </c>
      <c r="R83" s="229">
        <v>-1.105</v>
      </c>
      <c r="S83" s="229">
        <v>-1.044</v>
      </c>
      <c r="T83" s="229">
        <v>-1.105</v>
      </c>
      <c r="U83" s="229">
        <v>-1.105</v>
      </c>
      <c r="V83" s="229">
        <v>-1.044</v>
      </c>
      <c r="W83" s="229">
        <v>-1.044</v>
      </c>
      <c r="X83" s="229">
        <v>-1.024</v>
      </c>
      <c r="Y83" s="229">
        <v>-1.024</v>
      </c>
    </row>
    <row r="84" spans="3:42" x14ac:dyDescent="0.25">
      <c r="C84" s="76"/>
      <c r="F84" t="s">
        <v>46</v>
      </c>
      <c r="G84" s="12" t="s">
        <v>427</v>
      </c>
      <c r="H84" s="119"/>
      <c r="I84" s="119"/>
      <c r="J84" s="229">
        <v>1.105</v>
      </c>
      <c r="K84" s="229">
        <v>1.105</v>
      </c>
      <c r="L84" s="229">
        <v>1.105</v>
      </c>
      <c r="M84" s="229">
        <v>1.105</v>
      </c>
      <c r="N84" s="229">
        <v>1.105</v>
      </c>
      <c r="O84" s="229">
        <v>1.044</v>
      </c>
      <c r="P84" s="229">
        <v>1.024</v>
      </c>
      <c r="Q84" s="229">
        <v>1.105</v>
      </c>
      <c r="R84" s="229">
        <v>-1.105</v>
      </c>
      <c r="S84" s="229">
        <v>-1.044</v>
      </c>
      <c r="T84" s="229">
        <v>-1.105</v>
      </c>
      <c r="U84" s="229">
        <v>-1.105</v>
      </c>
      <c r="V84" s="229">
        <v>-1.044</v>
      </c>
      <c r="W84" s="229">
        <v>-1.044</v>
      </c>
      <c r="X84" s="229">
        <v>-1.024</v>
      </c>
      <c r="Y84" s="229">
        <v>-1.024</v>
      </c>
    </row>
    <row r="85" spans="3:42" x14ac:dyDescent="0.25">
      <c r="C85" s="76"/>
      <c r="F85" t="s">
        <v>47</v>
      </c>
      <c r="G85" s="12" t="s">
        <v>427</v>
      </c>
      <c r="H85" s="119"/>
      <c r="I85" s="119"/>
      <c r="J85" s="229">
        <v>1.105</v>
      </c>
      <c r="K85" s="229">
        <v>1.105</v>
      </c>
      <c r="L85" s="229">
        <v>1.105</v>
      </c>
      <c r="M85" s="229">
        <v>1.105</v>
      </c>
      <c r="N85" s="229">
        <v>1.105</v>
      </c>
      <c r="O85" s="229">
        <v>1.044</v>
      </c>
      <c r="P85" s="229">
        <v>1.024</v>
      </c>
      <c r="Q85" s="229">
        <v>1.105</v>
      </c>
      <c r="R85" s="229">
        <v>-1.105</v>
      </c>
      <c r="S85" s="229">
        <v>-1.044</v>
      </c>
      <c r="T85" s="229">
        <v>-1.105</v>
      </c>
      <c r="U85" s="229">
        <v>-1.105</v>
      </c>
      <c r="V85" s="229">
        <v>-1.044</v>
      </c>
      <c r="W85" s="229">
        <v>-1.044</v>
      </c>
      <c r="X85" s="229">
        <v>-1.024</v>
      </c>
      <c r="Y85" s="229">
        <v>-1.024</v>
      </c>
    </row>
    <row r="86" spans="3:42" x14ac:dyDescent="0.25">
      <c r="C86" s="76"/>
      <c r="F86" t="s">
        <v>51</v>
      </c>
      <c r="G86" s="12" t="s">
        <v>427</v>
      </c>
      <c r="H86" s="119"/>
      <c r="I86" s="119"/>
      <c r="J86" s="229">
        <v>0</v>
      </c>
      <c r="K86" s="229">
        <v>0</v>
      </c>
      <c r="L86" s="229">
        <v>0</v>
      </c>
      <c r="M86" s="229">
        <v>0</v>
      </c>
      <c r="N86" s="229">
        <v>0</v>
      </c>
      <c r="O86" s="229">
        <v>0</v>
      </c>
      <c r="P86" s="229">
        <v>0</v>
      </c>
      <c r="Q86" s="229">
        <v>0</v>
      </c>
      <c r="R86" s="229">
        <v>0</v>
      </c>
      <c r="S86" s="229">
        <v>0</v>
      </c>
      <c r="T86" s="229">
        <v>0</v>
      </c>
      <c r="U86" s="229">
        <v>0</v>
      </c>
      <c r="V86" s="229">
        <v>0</v>
      </c>
      <c r="W86" s="229">
        <v>0</v>
      </c>
      <c r="X86" s="229">
        <v>0</v>
      </c>
      <c r="Y86" s="229">
        <v>0</v>
      </c>
    </row>
    <row r="87" spans="3:42" x14ac:dyDescent="0.25">
      <c r="C87" s="76"/>
      <c r="F87" t="s">
        <v>48</v>
      </c>
      <c r="G87" s="12" t="s">
        <v>427</v>
      </c>
      <c r="H87" s="119"/>
      <c r="I87" s="119"/>
      <c r="J87" s="229">
        <v>1.105</v>
      </c>
      <c r="K87" s="229">
        <v>1.105</v>
      </c>
      <c r="L87" s="229">
        <v>1.105</v>
      </c>
      <c r="M87" s="229">
        <v>1.105</v>
      </c>
      <c r="N87" s="229">
        <v>1.105</v>
      </c>
      <c r="O87" s="229">
        <v>1.044</v>
      </c>
      <c r="P87" s="229">
        <v>1.024</v>
      </c>
      <c r="Q87" s="229">
        <v>1.105</v>
      </c>
      <c r="R87" s="229">
        <v>-1.105</v>
      </c>
      <c r="S87" s="229">
        <v>-1.044</v>
      </c>
      <c r="T87" s="229">
        <v>-1.105</v>
      </c>
      <c r="U87" s="229">
        <v>-1.105</v>
      </c>
      <c r="V87" s="229">
        <v>-1.044</v>
      </c>
      <c r="W87" s="229">
        <v>-1.044</v>
      </c>
      <c r="X87" s="229">
        <v>0</v>
      </c>
      <c r="Y87" s="229">
        <v>0</v>
      </c>
    </row>
    <row r="88" spans="3:42" x14ac:dyDescent="0.25">
      <c r="C88" s="76"/>
      <c r="F88" t="s">
        <v>49</v>
      </c>
      <c r="G88" s="12" t="s">
        <v>427</v>
      </c>
      <c r="H88" s="119"/>
      <c r="I88" s="119"/>
      <c r="J88" s="229">
        <v>1.105</v>
      </c>
      <c r="K88" s="229">
        <v>1.105</v>
      </c>
      <c r="L88" s="229">
        <v>1.105</v>
      </c>
      <c r="M88" s="229">
        <v>1.105</v>
      </c>
      <c r="N88" s="229">
        <v>1.105</v>
      </c>
      <c r="O88" s="229">
        <v>1.044</v>
      </c>
      <c r="P88" s="229">
        <v>0</v>
      </c>
      <c r="Q88" s="229">
        <v>1.105</v>
      </c>
      <c r="R88" s="229">
        <v>-1.105</v>
      </c>
      <c r="S88" s="229">
        <v>0</v>
      </c>
      <c r="T88" s="229">
        <v>-1.105</v>
      </c>
      <c r="U88" s="229">
        <v>-1.105</v>
      </c>
      <c r="V88" s="229">
        <v>0</v>
      </c>
      <c r="W88" s="229">
        <v>0</v>
      </c>
      <c r="X88" s="229">
        <v>0</v>
      </c>
      <c r="Y88" s="229">
        <v>0</v>
      </c>
    </row>
    <row r="89" spans="3:42" x14ac:dyDescent="0.25">
      <c r="C89" s="76"/>
      <c r="F89" t="s">
        <v>50</v>
      </c>
      <c r="G89" s="12" t="s">
        <v>427</v>
      </c>
      <c r="H89" s="119"/>
      <c r="I89" s="119"/>
      <c r="J89" s="229">
        <v>1.105</v>
      </c>
      <c r="K89" s="229">
        <v>1.105</v>
      </c>
      <c r="L89" s="229">
        <v>1.105</v>
      </c>
      <c r="M89" s="229">
        <v>1.105</v>
      </c>
      <c r="N89" s="229">
        <v>1.105</v>
      </c>
      <c r="O89" s="229">
        <v>0</v>
      </c>
      <c r="P89" s="229">
        <v>0</v>
      </c>
      <c r="Q89" s="229">
        <v>1.105</v>
      </c>
      <c r="R89" s="229">
        <v>0</v>
      </c>
      <c r="S89" s="229">
        <v>0</v>
      </c>
      <c r="T89" s="229">
        <v>0</v>
      </c>
      <c r="U89" s="229">
        <v>0</v>
      </c>
      <c r="V89" s="229">
        <v>0</v>
      </c>
      <c r="W89" s="229">
        <v>0</v>
      </c>
      <c r="X89" s="229">
        <v>0</v>
      </c>
      <c r="Y89" s="229">
        <v>0</v>
      </c>
    </row>
    <row r="90" spans="3:42" x14ac:dyDescent="0.25">
      <c r="C90" s="76"/>
      <c r="F90" t="s">
        <v>124</v>
      </c>
      <c r="G90" s="12" t="s">
        <v>427</v>
      </c>
      <c r="J90" s="234"/>
      <c r="K90" s="234"/>
      <c r="L90" s="234"/>
      <c r="M90" s="234"/>
      <c r="N90" s="234"/>
      <c r="O90" s="234"/>
      <c r="P90" s="234"/>
      <c r="Q90" s="234"/>
      <c r="R90" s="234"/>
      <c r="S90" s="234"/>
      <c r="T90" s="234"/>
      <c r="U90" s="234"/>
      <c r="V90" s="234"/>
      <c r="W90" s="234"/>
      <c r="X90" s="234"/>
      <c r="Y90" s="234"/>
    </row>
    <row r="91" spans="3:42" x14ac:dyDescent="0.25">
      <c r="C91" s="76"/>
      <c r="F91" s="17" t="s">
        <v>123</v>
      </c>
      <c r="G91" s="13" t="s">
        <v>427</v>
      </c>
      <c r="H91" s="17"/>
      <c r="I91" s="17"/>
      <c r="J91" s="203"/>
      <c r="K91" s="203"/>
      <c r="L91" s="203"/>
      <c r="M91" s="203"/>
      <c r="N91" s="203"/>
      <c r="O91" s="203"/>
      <c r="P91" s="203"/>
      <c r="Q91" s="203"/>
      <c r="R91" s="203"/>
      <c r="S91" s="203"/>
      <c r="T91" s="203"/>
      <c r="U91" s="203"/>
      <c r="V91" s="203"/>
      <c r="W91" s="203"/>
      <c r="X91" s="203"/>
      <c r="Y91" s="203"/>
    </row>
    <row r="92" spans="3:42" x14ac:dyDescent="0.25">
      <c r="C92" s="76"/>
      <c r="F92" s="84"/>
    </row>
    <row r="93" spans="3:42" x14ac:dyDescent="0.25">
      <c r="D93"/>
      <c r="E93" s="52" t="s">
        <v>263</v>
      </c>
      <c r="H93" s="59"/>
      <c r="J93" s="79"/>
      <c r="L93" s="79"/>
      <c r="AP93" s="19"/>
    </row>
    <row r="94" spans="3:42" x14ac:dyDescent="0.25">
      <c r="C94" s="52"/>
      <c r="D94"/>
      <c r="E94"/>
      <c r="F94" s="80" t="s">
        <v>43</v>
      </c>
      <c r="G94" s="80" t="s">
        <v>94</v>
      </c>
      <c r="H94" s="67"/>
      <c r="I94" s="80"/>
      <c r="J94" s="114">
        <f>'Standing charge factors'!J44</f>
        <v>0</v>
      </c>
      <c r="K94" s="114">
        <f>'Standing charge factors'!K44</f>
        <v>0</v>
      </c>
      <c r="L94" s="114">
        <f>'Standing charge factors'!L44</f>
        <v>0</v>
      </c>
      <c r="M94" s="114">
        <f>'Standing charge factors'!M44</f>
        <v>0</v>
      </c>
      <c r="N94" s="114">
        <f>'Standing charge factors'!N44</f>
        <v>0</v>
      </c>
      <c r="O94" s="114">
        <f>'Standing charge factors'!O44</f>
        <v>0</v>
      </c>
      <c r="P94" s="114">
        <f>'Standing charge factors'!P44</f>
        <v>0</v>
      </c>
      <c r="Q94" s="114">
        <f>'Standing charge factors'!Q44</f>
        <v>0</v>
      </c>
      <c r="R94" s="114">
        <f>'Standing charge factors'!R44</f>
        <v>0</v>
      </c>
      <c r="S94" s="114">
        <f>'Standing charge factors'!S44</f>
        <v>0</v>
      </c>
      <c r="T94" s="114">
        <f>'Standing charge factors'!T44</f>
        <v>0</v>
      </c>
      <c r="U94" s="114">
        <f>'Standing charge factors'!U44</f>
        <v>0</v>
      </c>
      <c r="V94" s="114">
        <f>'Standing charge factors'!V44</f>
        <v>0</v>
      </c>
      <c r="W94" s="114">
        <f>'Standing charge factors'!W44</f>
        <v>0</v>
      </c>
      <c r="X94" s="114">
        <f>'Standing charge factors'!X44</f>
        <v>0</v>
      </c>
      <c r="Y94" s="114">
        <f>'Standing charge factors'!Y44</f>
        <v>0</v>
      </c>
      <c r="AP94" s="19"/>
    </row>
    <row r="95" spans="3:42" x14ac:dyDescent="0.25">
      <c r="C95" s="52"/>
      <c r="D95"/>
      <c r="E95"/>
      <c r="F95" t="s">
        <v>44</v>
      </c>
      <c r="G95" t="s">
        <v>94</v>
      </c>
      <c r="H95" s="79"/>
      <c r="J95" s="120">
        <f>'Standing charge factors'!J45</f>
        <v>0</v>
      </c>
      <c r="K95" s="120">
        <f>'Standing charge factors'!K45</f>
        <v>0</v>
      </c>
      <c r="L95" s="120">
        <f>'Standing charge factors'!L45</f>
        <v>0</v>
      </c>
      <c r="M95" s="120">
        <f>'Standing charge factors'!M45</f>
        <v>0</v>
      </c>
      <c r="N95" s="120">
        <f>'Standing charge factors'!N45</f>
        <v>0</v>
      </c>
      <c r="O95" s="120">
        <f>'Standing charge factors'!O45</f>
        <v>0</v>
      </c>
      <c r="P95" s="120">
        <f>'Standing charge factors'!P45</f>
        <v>0</v>
      </c>
      <c r="Q95" s="120">
        <f>'Standing charge factors'!Q45</f>
        <v>0</v>
      </c>
      <c r="R95" s="120">
        <f>'Standing charge factors'!R45</f>
        <v>0</v>
      </c>
      <c r="S95" s="120">
        <f>'Standing charge factors'!S45</f>
        <v>0</v>
      </c>
      <c r="T95" s="120">
        <f>'Standing charge factors'!T45</f>
        <v>0</v>
      </c>
      <c r="U95" s="120">
        <f>'Standing charge factors'!U45</f>
        <v>0</v>
      </c>
      <c r="V95" s="120">
        <f>'Standing charge factors'!V45</f>
        <v>0</v>
      </c>
      <c r="W95" s="120">
        <f>'Standing charge factors'!W45</f>
        <v>0</v>
      </c>
      <c r="X95" s="120">
        <f>'Standing charge factors'!X45</f>
        <v>0</v>
      </c>
      <c r="Y95" s="120">
        <f>'Standing charge factors'!Y45</f>
        <v>0</v>
      </c>
      <c r="AP95" s="19"/>
    </row>
    <row r="96" spans="3:42" x14ac:dyDescent="0.25">
      <c r="C96" s="52"/>
      <c r="D96"/>
      <c r="E96"/>
      <c r="F96" t="s">
        <v>45</v>
      </c>
      <c r="G96" t="s">
        <v>94</v>
      </c>
      <c r="H96" s="79"/>
      <c r="J96" s="120">
        <f>'Standing charge factors'!J46</f>
        <v>0</v>
      </c>
      <c r="K96" s="120">
        <f>'Standing charge factors'!K46</f>
        <v>0</v>
      </c>
      <c r="L96" s="120">
        <f>'Standing charge factors'!L46</f>
        <v>0</v>
      </c>
      <c r="M96" s="120">
        <f>'Standing charge factors'!M46</f>
        <v>0</v>
      </c>
      <c r="N96" s="120">
        <f>'Standing charge factors'!N46</f>
        <v>0</v>
      </c>
      <c r="O96" s="120">
        <f>'Standing charge factors'!O46</f>
        <v>0</v>
      </c>
      <c r="P96" s="120">
        <f>'Standing charge factors'!P46</f>
        <v>0</v>
      </c>
      <c r="Q96" s="120">
        <f>'Standing charge factors'!Q46</f>
        <v>0</v>
      </c>
      <c r="R96" s="120">
        <f>'Standing charge factors'!R46</f>
        <v>0</v>
      </c>
      <c r="S96" s="120">
        <f>'Standing charge factors'!S46</f>
        <v>0</v>
      </c>
      <c r="T96" s="120">
        <f>'Standing charge factors'!T46</f>
        <v>0</v>
      </c>
      <c r="U96" s="120">
        <f>'Standing charge factors'!U46</f>
        <v>0</v>
      </c>
      <c r="V96" s="120">
        <f>'Standing charge factors'!V46</f>
        <v>0</v>
      </c>
      <c r="W96" s="120">
        <f>'Standing charge factors'!W46</f>
        <v>0</v>
      </c>
      <c r="X96" s="120">
        <f>'Standing charge factors'!X46</f>
        <v>0</v>
      </c>
      <c r="Y96" s="120">
        <f>'Standing charge factors'!Y46</f>
        <v>0</v>
      </c>
      <c r="AP96" s="19"/>
    </row>
    <row r="97" spans="3:42" x14ac:dyDescent="0.25">
      <c r="C97" s="52"/>
      <c r="D97"/>
      <c r="E97"/>
      <c r="F97" t="s">
        <v>46</v>
      </c>
      <c r="G97" t="s">
        <v>94</v>
      </c>
      <c r="H97" s="79"/>
      <c r="J97" s="120">
        <f>'Standing charge factors'!J47</f>
        <v>0</v>
      </c>
      <c r="K97" s="120">
        <f>'Standing charge factors'!K47</f>
        <v>0</v>
      </c>
      <c r="L97" s="120">
        <f>'Standing charge factors'!L47</f>
        <v>0</v>
      </c>
      <c r="M97" s="120">
        <f>'Standing charge factors'!M47</f>
        <v>0</v>
      </c>
      <c r="N97" s="120">
        <f>'Standing charge factors'!N47</f>
        <v>0</v>
      </c>
      <c r="O97" s="120">
        <f>'Standing charge factors'!O47</f>
        <v>0</v>
      </c>
      <c r="P97" s="120">
        <f>'Standing charge factors'!P47</f>
        <v>0.2</v>
      </c>
      <c r="Q97" s="120">
        <f>'Standing charge factors'!Q47</f>
        <v>0</v>
      </c>
      <c r="R97" s="120">
        <f>'Standing charge factors'!R47</f>
        <v>0</v>
      </c>
      <c r="S97" s="120">
        <f>'Standing charge factors'!S47</f>
        <v>0</v>
      </c>
      <c r="T97" s="120">
        <f>'Standing charge factors'!T47</f>
        <v>0</v>
      </c>
      <c r="U97" s="120">
        <f>'Standing charge factors'!U47</f>
        <v>0</v>
      </c>
      <c r="V97" s="120">
        <f>'Standing charge factors'!V47</f>
        <v>0</v>
      </c>
      <c r="W97" s="120">
        <f>'Standing charge factors'!W47</f>
        <v>0</v>
      </c>
      <c r="X97" s="120">
        <f>'Standing charge factors'!X47</f>
        <v>0</v>
      </c>
      <c r="Y97" s="120">
        <f>'Standing charge factors'!Y47</f>
        <v>0</v>
      </c>
      <c r="AP97" s="19"/>
    </row>
    <row r="98" spans="3:42" x14ac:dyDescent="0.25">
      <c r="C98" s="52"/>
      <c r="D98"/>
      <c r="E98"/>
      <c r="F98" t="s">
        <v>47</v>
      </c>
      <c r="G98" t="s">
        <v>94</v>
      </c>
      <c r="H98" s="79"/>
      <c r="J98" s="120">
        <f>'Standing charge factors'!J48</f>
        <v>0</v>
      </c>
      <c r="K98" s="120">
        <f>'Standing charge factors'!K48</f>
        <v>0</v>
      </c>
      <c r="L98" s="120">
        <f>'Standing charge factors'!L48</f>
        <v>0</v>
      </c>
      <c r="M98" s="120">
        <f>'Standing charge factors'!M48</f>
        <v>0</v>
      </c>
      <c r="N98" s="120">
        <f>'Standing charge factors'!N48</f>
        <v>0</v>
      </c>
      <c r="O98" s="120">
        <f>'Standing charge factors'!O48</f>
        <v>0</v>
      </c>
      <c r="P98" s="120">
        <f>'Standing charge factors'!P48</f>
        <v>1</v>
      </c>
      <c r="Q98" s="120">
        <f>'Standing charge factors'!Q48</f>
        <v>0</v>
      </c>
      <c r="R98" s="120">
        <f>'Standing charge factors'!R48</f>
        <v>0</v>
      </c>
      <c r="S98" s="120">
        <f>'Standing charge factors'!S48</f>
        <v>0</v>
      </c>
      <c r="T98" s="120">
        <f>'Standing charge factors'!T48</f>
        <v>0</v>
      </c>
      <c r="U98" s="120">
        <f>'Standing charge factors'!U48</f>
        <v>0</v>
      </c>
      <c r="V98" s="120">
        <f>'Standing charge factors'!V48</f>
        <v>0</v>
      </c>
      <c r="W98" s="120">
        <f>'Standing charge factors'!W48</f>
        <v>0</v>
      </c>
      <c r="X98" s="120">
        <f>'Standing charge factors'!X48</f>
        <v>0</v>
      </c>
      <c r="Y98" s="120">
        <f>'Standing charge factors'!Y48</f>
        <v>0</v>
      </c>
      <c r="AP98" s="19"/>
    </row>
    <row r="99" spans="3:42" x14ac:dyDescent="0.25">
      <c r="C99" s="52"/>
      <c r="D99"/>
      <c r="E99"/>
      <c r="F99" t="s">
        <v>51</v>
      </c>
      <c r="G99" t="s">
        <v>94</v>
      </c>
      <c r="H99" s="79"/>
      <c r="J99" s="120">
        <f>'Standing charge factors'!J49</f>
        <v>0</v>
      </c>
      <c r="K99" s="120">
        <f>'Standing charge factors'!K49</f>
        <v>0</v>
      </c>
      <c r="L99" s="120">
        <f>'Standing charge factors'!L49</f>
        <v>0</v>
      </c>
      <c r="M99" s="120">
        <f>'Standing charge factors'!M49</f>
        <v>0</v>
      </c>
      <c r="N99" s="120">
        <f>'Standing charge factors'!N49</f>
        <v>0</v>
      </c>
      <c r="O99" s="120">
        <f>'Standing charge factors'!O49</f>
        <v>0</v>
      </c>
      <c r="P99" s="120">
        <f>'Standing charge factors'!P49</f>
        <v>1</v>
      </c>
      <c r="Q99" s="120">
        <f>'Standing charge factors'!Q49</f>
        <v>0</v>
      </c>
      <c r="R99" s="120">
        <f>'Standing charge factors'!R49</f>
        <v>0</v>
      </c>
      <c r="S99" s="120">
        <f>'Standing charge factors'!S49</f>
        <v>0</v>
      </c>
      <c r="T99" s="120">
        <f>'Standing charge factors'!T49</f>
        <v>0</v>
      </c>
      <c r="U99" s="120">
        <f>'Standing charge factors'!U49</f>
        <v>0</v>
      </c>
      <c r="V99" s="120">
        <f>'Standing charge factors'!V49</f>
        <v>0</v>
      </c>
      <c r="W99" s="120">
        <f>'Standing charge factors'!W49</f>
        <v>0</v>
      </c>
      <c r="X99" s="120">
        <f>'Standing charge factors'!X49</f>
        <v>0</v>
      </c>
      <c r="Y99" s="120">
        <f>'Standing charge factors'!Y49</f>
        <v>0</v>
      </c>
      <c r="AP99" s="19"/>
    </row>
    <row r="100" spans="3:42" x14ac:dyDescent="0.25">
      <c r="C100" s="52"/>
      <c r="D100"/>
      <c r="E100"/>
      <c r="F100" t="s">
        <v>48</v>
      </c>
      <c r="G100" t="s">
        <v>94</v>
      </c>
      <c r="H100" s="79"/>
      <c r="J100" s="120">
        <f>'Standing charge factors'!J50</f>
        <v>0</v>
      </c>
      <c r="K100" s="120">
        <f>'Standing charge factors'!K50</f>
        <v>0</v>
      </c>
      <c r="L100" s="120">
        <f>'Standing charge factors'!L50</f>
        <v>0</v>
      </c>
      <c r="M100" s="120">
        <f>'Standing charge factors'!M50</f>
        <v>0</v>
      </c>
      <c r="N100" s="120">
        <f>'Standing charge factors'!N50</f>
        <v>0.2</v>
      </c>
      <c r="O100" s="120">
        <f>'Standing charge factors'!O50</f>
        <v>1</v>
      </c>
      <c r="P100" s="120">
        <f>'Standing charge factors'!P50</f>
        <v>1</v>
      </c>
      <c r="Q100" s="120">
        <f>'Standing charge factors'!Q50</f>
        <v>0</v>
      </c>
      <c r="R100" s="120">
        <f>'Standing charge factors'!R50</f>
        <v>0</v>
      </c>
      <c r="S100" s="120">
        <f>'Standing charge factors'!S50</f>
        <v>0</v>
      </c>
      <c r="T100" s="120">
        <f>'Standing charge factors'!T50</f>
        <v>0</v>
      </c>
      <c r="U100" s="120">
        <f>'Standing charge factors'!U50</f>
        <v>0</v>
      </c>
      <c r="V100" s="120">
        <f>'Standing charge factors'!V50</f>
        <v>0</v>
      </c>
      <c r="W100" s="120">
        <f>'Standing charge factors'!W50</f>
        <v>0</v>
      </c>
      <c r="X100" s="120">
        <f>'Standing charge factors'!X50</f>
        <v>0</v>
      </c>
      <c r="Y100" s="120">
        <f>'Standing charge factors'!Y50</f>
        <v>0</v>
      </c>
      <c r="AP100" s="19"/>
    </row>
    <row r="101" spans="3:42" x14ac:dyDescent="0.25">
      <c r="C101" s="52"/>
      <c r="D101"/>
      <c r="E101"/>
      <c r="F101" t="s">
        <v>49</v>
      </c>
      <c r="G101" t="s">
        <v>94</v>
      </c>
      <c r="H101" s="79"/>
      <c r="J101" s="120">
        <f>'Standing charge factors'!J51</f>
        <v>0</v>
      </c>
      <c r="K101" s="120">
        <f>'Standing charge factors'!K51</f>
        <v>0</v>
      </c>
      <c r="L101" s="120">
        <f>'Standing charge factors'!L51</f>
        <v>0</v>
      </c>
      <c r="M101" s="120">
        <f>'Standing charge factors'!M51</f>
        <v>0</v>
      </c>
      <c r="N101" s="120">
        <f>'Standing charge factors'!N51</f>
        <v>1</v>
      </c>
      <c r="O101" s="120">
        <f>'Standing charge factors'!O51</f>
        <v>1</v>
      </c>
      <c r="P101" s="120">
        <f>'Standing charge factors'!P51</f>
        <v>0</v>
      </c>
      <c r="Q101" s="120">
        <f>'Standing charge factors'!Q51</f>
        <v>0</v>
      </c>
      <c r="R101" s="120">
        <f>'Standing charge factors'!R51</f>
        <v>0</v>
      </c>
      <c r="S101" s="120">
        <f>'Standing charge factors'!S51</f>
        <v>0</v>
      </c>
      <c r="T101" s="120">
        <f>'Standing charge factors'!T51</f>
        <v>0</v>
      </c>
      <c r="U101" s="120">
        <f>'Standing charge factors'!U51</f>
        <v>0</v>
      </c>
      <c r="V101" s="120">
        <f>'Standing charge factors'!V51</f>
        <v>0</v>
      </c>
      <c r="W101" s="120">
        <f>'Standing charge factors'!W51</f>
        <v>0</v>
      </c>
      <c r="X101" s="120">
        <f>'Standing charge factors'!X51</f>
        <v>0</v>
      </c>
      <c r="Y101" s="120">
        <f>'Standing charge factors'!Y51</f>
        <v>0</v>
      </c>
      <c r="AP101" s="19"/>
    </row>
    <row r="102" spans="3:42" x14ac:dyDescent="0.25">
      <c r="C102" s="52"/>
      <c r="D102"/>
      <c r="E102"/>
      <c r="F102" s="17" t="s">
        <v>50</v>
      </c>
      <c r="G102" s="17" t="s">
        <v>94</v>
      </c>
      <c r="H102" s="159"/>
      <c r="I102" s="17"/>
      <c r="J102" s="337">
        <f>'Standing charge factors'!J52</f>
        <v>1</v>
      </c>
      <c r="K102" s="337">
        <f>'Standing charge factors'!K52</f>
        <v>1</v>
      </c>
      <c r="L102" s="337">
        <f>'Standing charge factors'!L52</f>
        <v>1</v>
      </c>
      <c r="M102" s="337">
        <f>'Standing charge factors'!M52</f>
        <v>1</v>
      </c>
      <c r="N102" s="337">
        <f>'Standing charge factors'!N52</f>
        <v>1</v>
      </c>
      <c r="O102" s="337">
        <f>'Standing charge factors'!O52</f>
        <v>0</v>
      </c>
      <c r="P102" s="337">
        <f>'Standing charge factors'!P52</f>
        <v>0</v>
      </c>
      <c r="Q102" s="337">
        <f>'Standing charge factors'!Q52</f>
        <v>0</v>
      </c>
      <c r="R102" s="337">
        <f>'Standing charge factors'!R52</f>
        <v>0</v>
      </c>
      <c r="S102" s="337">
        <f>'Standing charge factors'!S52</f>
        <v>0</v>
      </c>
      <c r="T102" s="337">
        <f>'Standing charge factors'!T52</f>
        <v>0</v>
      </c>
      <c r="U102" s="337">
        <f>'Standing charge factors'!U52</f>
        <v>0</v>
      </c>
      <c r="V102" s="337">
        <f>'Standing charge factors'!V52</f>
        <v>0</v>
      </c>
      <c r="W102" s="337">
        <f>'Standing charge factors'!W52</f>
        <v>0</v>
      </c>
      <c r="X102" s="337">
        <f>'Standing charge factors'!X52</f>
        <v>0</v>
      </c>
      <c r="Y102" s="337">
        <f>'Standing charge factors'!Y52</f>
        <v>0</v>
      </c>
      <c r="AP102" s="19"/>
    </row>
    <row r="103" spans="3:42" x14ac:dyDescent="0.25">
      <c r="C103" s="76"/>
      <c r="D103"/>
      <c r="F103" s="84"/>
    </row>
    <row r="104" spans="3:42" x14ac:dyDescent="0.25">
      <c r="E104" s="52" t="s">
        <v>154</v>
      </c>
    </row>
    <row r="105" spans="3:42" x14ac:dyDescent="0.25">
      <c r="C105" s="76"/>
      <c r="F105" s="80" t="s">
        <v>267</v>
      </c>
      <c r="G105" s="80" t="s">
        <v>94</v>
      </c>
      <c r="H105" s="31"/>
      <c r="I105" s="31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</row>
    <row r="106" spans="3:42" x14ac:dyDescent="0.25">
      <c r="C106" s="76"/>
      <c r="F106" t="s">
        <v>43</v>
      </c>
      <c r="G106" t="s">
        <v>94</v>
      </c>
      <c r="H106" s="119"/>
      <c r="I106" s="119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</row>
    <row r="107" spans="3:42" x14ac:dyDescent="0.25">
      <c r="C107" s="76"/>
      <c r="F107" t="s">
        <v>44</v>
      </c>
      <c r="G107" t="s">
        <v>94</v>
      </c>
      <c r="H107" s="119"/>
      <c r="I107" s="119"/>
      <c r="J107" s="120">
        <f t="array" ref="J107:Y114">TRANSPOSE('Customer contributions'!L51:S66)</f>
        <v>0</v>
      </c>
      <c r="K107" s="120">
        <v>0</v>
      </c>
      <c r="L107" s="120">
        <v>0</v>
      </c>
      <c r="M107" s="120">
        <v>0</v>
      </c>
      <c r="N107" s="120">
        <v>0</v>
      </c>
      <c r="O107" s="120">
        <v>0</v>
      </c>
      <c r="P107" s="120">
        <v>0</v>
      </c>
      <c r="Q107" s="120">
        <v>0</v>
      </c>
      <c r="R107" s="120">
        <v>0</v>
      </c>
      <c r="S107" s="120">
        <v>0</v>
      </c>
      <c r="T107" s="120">
        <v>0</v>
      </c>
      <c r="U107" s="120">
        <v>0</v>
      </c>
      <c r="V107" s="120">
        <v>0</v>
      </c>
      <c r="W107" s="120">
        <v>0</v>
      </c>
      <c r="X107" s="120">
        <v>0</v>
      </c>
      <c r="Y107" s="120">
        <v>0</v>
      </c>
    </row>
    <row r="108" spans="3:42" x14ac:dyDescent="0.25">
      <c r="C108" s="76"/>
      <c r="F108" t="s">
        <v>45</v>
      </c>
      <c r="G108" t="s">
        <v>94</v>
      </c>
      <c r="H108" s="119"/>
      <c r="I108" s="119"/>
      <c r="J108" s="120">
        <v>0</v>
      </c>
      <c r="K108" s="120">
        <v>0</v>
      </c>
      <c r="L108" s="120">
        <v>0</v>
      </c>
      <c r="M108" s="120">
        <v>0</v>
      </c>
      <c r="N108" s="120">
        <v>0</v>
      </c>
      <c r="O108" s="120">
        <v>0</v>
      </c>
      <c r="P108" s="120">
        <v>0</v>
      </c>
      <c r="Q108" s="120">
        <v>0</v>
      </c>
      <c r="R108" s="120">
        <v>0</v>
      </c>
      <c r="S108" s="120">
        <v>0</v>
      </c>
      <c r="T108" s="120">
        <v>0</v>
      </c>
      <c r="U108" s="120">
        <v>0</v>
      </c>
      <c r="V108" s="120">
        <v>0</v>
      </c>
      <c r="W108" s="120">
        <v>0</v>
      </c>
      <c r="X108" s="120">
        <v>0</v>
      </c>
      <c r="Y108" s="120">
        <v>0</v>
      </c>
    </row>
    <row r="109" spans="3:42" x14ac:dyDescent="0.25">
      <c r="C109" s="76"/>
      <c r="F109" t="s">
        <v>46</v>
      </c>
      <c r="G109" t="s">
        <v>94</v>
      </c>
      <c r="H109" s="119"/>
      <c r="I109" s="119"/>
      <c r="J109" s="120">
        <v>0</v>
      </c>
      <c r="K109" s="120">
        <v>0</v>
      </c>
      <c r="L109" s="120">
        <v>0</v>
      </c>
      <c r="M109" s="120">
        <v>0</v>
      </c>
      <c r="N109" s="120">
        <v>0</v>
      </c>
      <c r="O109" s="120">
        <v>0</v>
      </c>
      <c r="P109" s="120">
        <v>3.11004784688995E-2</v>
      </c>
      <c r="Q109" s="120">
        <v>0</v>
      </c>
      <c r="R109" s="120">
        <v>0</v>
      </c>
      <c r="S109" s="120">
        <v>0</v>
      </c>
      <c r="T109" s="120">
        <v>0</v>
      </c>
      <c r="U109" s="120">
        <v>0</v>
      </c>
      <c r="V109" s="120">
        <v>0</v>
      </c>
      <c r="W109" s="120">
        <v>0</v>
      </c>
      <c r="X109" s="120">
        <v>3.11004784688995E-2</v>
      </c>
      <c r="Y109" s="120">
        <v>3.11004784688995E-2</v>
      </c>
    </row>
    <row r="110" spans="3:42" x14ac:dyDescent="0.25">
      <c r="C110" s="76"/>
      <c r="F110" t="s">
        <v>47</v>
      </c>
      <c r="G110" t="s">
        <v>94</v>
      </c>
      <c r="H110" s="119"/>
      <c r="I110" s="119"/>
      <c r="J110" s="120">
        <v>0</v>
      </c>
      <c r="K110" s="120">
        <v>0</v>
      </c>
      <c r="L110" s="120">
        <v>0</v>
      </c>
      <c r="M110" s="120">
        <v>0</v>
      </c>
      <c r="N110" s="120">
        <v>0</v>
      </c>
      <c r="O110" s="120">
        <v>0</v>
      </c>
      <c r="P110" s="120">
        <v>0.14212259371833799</v>
      </c>
      <c r="Q110" s="120">
        <v>0</v>
      </c>
      <c r="R110" s="120">
        <v>0</v>
      </c>
      <c r="S110" s="120">
        <v>0</v>
      </c>
      <c r="T110" s="120">
        <v>0</v>
      </c>
      <c r="U110" s="120">
        <v>0</v>
      </c>
      <c r="V110" s="120">
        <v>0</v>
      </c>
      <c r="W110" s="120">
        <v>0</v>
      </c>
      <c r="X110" s="120">
        <v>0.14212259371833799</v>
      </c>
      <c r="Y110" s="120">
        <v>0.14212259371833799</v>
      </c>
    </row>
    <row r="111" spans="3:42" x14ac:dyDescent="0.25">
      <c r="C111" s="76"/>
      <c r="F111" t="s">
        <v>51</v>
      </c>
      <c r="G111" t="s">
        <v>94</v>
      </c>
      <c r="H111" s="119"/>
      <c r="I111" s="119"/>
      <c r="J111" s="120">
        <v>0</v>
      </c>
      <c r="K111" s="120">
        <v>0</v>
      </c>
      <c r="L111" s="120">
        <v>0</v>
      </c>
      <c r="M111" s="120">
        <v>0</v>
      </c>
      <c r="N111" s="120">
        <v>0</v>
      </c>
      <c r="O111" s="120">
        <v>0</v>
      </c>
      <c r="P111" s="120">
        <v>0</v>
      </c>
      <c r="Q111" s="120">
        <v>0</v>
      </c>
      <c r="R111" s="120">
        <v>0</v>
      </c>
      <c r="S111" s="120">
        <v>0</v>
      </c>
      <c r="T111" s="120">
        <v>0</v>
      </c>
      <c r="U111" s="120">
        <v>0</v>
      </c>
      <c r="V111" s="120">
        <v>0</v>
      </c>
      <c r="W111" s="120">
        <v>0</v>
      </c>
      <c r="X111" s="120">
        <v>0</v>
      </c>
      <c r="Y111" s="120">
        <v>0</v>
      </c>
    </row>
    <row r="112" spans="3:42" x14ac:dyDescent="0.25">
      <c r="C112" s="76"/>
      <c r="F112" t="s">
        <v>48</v>
      </c>
      <c r="G112" t="s">
        <v>94</v>
      </c>
      <c r="H112" s="119"/>
      <c r="I112" s="119"/>
      <c r="J112" s="120">
        <v>0.20065197841726601</v>
      </c>
      <c r="K112" s="120">
        <v>0.20065197841726601</v>
      </c>
      <c r="L112" s="120">
        <v>0.20065197841726601</v>
      </c>
      <c r="M112" s="120">
        <v>0.20065197841726601</v>
      </c>
      <c r="N112" s="120">
        <v>0.20065197841726601</v>
      </c>
      <c r="O112" s="120">
        <v>0.20065197841726601</v>
      </c>
      <c r="P112" s="120">
        <v>0.45146695143884902</v>
      </c>
      <c r="Q112" s="120">
        <v>0.20065197841726601</v>
      </c>
      <c r="R112" s="120">
        <v>0.20065197841726601</v>
      </c>
      <c r="S112" s="120">
        <v>0.20065197841726601</v>
      </c>
      <c r="T112" s="120">
        <v>0.20065197841726601</v>
      </c>
      <c r="U112" s="120">
        <v>0.20065197841726601</v>
      </c>
      <c r="V112" s="120">
        <v>0.20065197841726601</v>
      </c>
      <c r="W112" s="120">
        <v>0.20065197841726601</v>
      </c>
      <c r="X112" s="120">
        <v>0.45146695143884902</v>
      </c>
      <c r="Y112" s="120">
        <v>0.45146695143884902</v>
      </c>
    </row>
    <row r="113" spans="2:27" x14ac:dyDescent="0.25">
      <c r="C113" s="76"/>
      <c r="F113" t="s">
        <v>49</v>
      </c>
      <c r="G113" t="s">
        <v>94</v>
      </c>
      <c r="H113" s="119"/>
      <c r="I113" s="119"/>
      <c r="J113" s="120">
        <v>0.26968503937007898</v>
      </c>
      <c r="K113" s="120">
        <v>0.26968503937007898</v>
      </c>
      <c r="L113" s="120">
        <v>0.26968503937007898</v>
      </c>
      <c r="M113" s="120">
        <v>0.26968503937007898</v>
      </c>
      <c r="N113" s="120">
        <v>0.26968503937007898</v>
      </c>
      <c r="O113" s="120">
        <v>0.26968503937007898</v>
      </c>
      <c r="P113" s="120">
        <v>0</v>
      </c>
      <c r="Q113" s="120">
        <v>0.26968503937007898</v>
      </c>
      <c r="R113" s="120">
        <v>0.26968503937007898</v>
      </c>
      <c r="S113" s="120">
        <v>0.26968503937007898</v>
      </c>
      <c r="T113" s="120">
        <v>0.26968503937007898</v>
      </c>
      <c r="U113" s="120">
        <v>0.26968503937007898</v>
      </c>
      <c r="V113" s="120">
        <v>0.26968503937007898</v>
      </c>
      <c r="W113" s="120">
        <v>0.26968503937007898</v>
      </c>
      <c r="X113" s="120">
        <v>0</v>
      </c>
      <c r="Y113" s="120">
        <v>0</v>
      </c>
    </row>
    <row r="114" spans="2:27" x14ac:dyDescent="0.25">
      <c r="C114" s="76"/>
      <c r="F114" t="s">
        <v>50</v>
      </c>
      <c r="G114" t="s">
        <v>94</v>
      </c>
      <c r="H114" s="119"/>
      <c r="I114" s="119"/>
      <c r="J114" s="120">
        <v>0.92371773930088197</v>
      </c>
      <c r="K114" s="120">
        <v>0.92371773930088197</v>
      </c>
      <c r="L114" s="120">
        <v>0.92371773930088197</v>
      </c>
      <c r="M114" s="120">
        <v>0.92371773930088197</v>
      </c>
      <c r="N114" s="120">
        <v>0.92371773930088197</v>
      </c>
      <c r="O114" s="120">
        <v>0</v>
      </c>
      <c r="P114" s="120">
        <v>0</v>
      </c>
      <c r="Q114" s="120">
        <v>0.92371773930088197</v>
      </c>
      <c r="R114" s="120">
        <v>0.92371773930088197</v>
      </c>
      <c r="S114" s="120">
        <v>0</v>
      </c>
      <c r="T114" s="120">
        <v>0.92371773930088197</v>
      </c>
      <c r="U114" s="120">
        <v>0.92371773930088197</v>
      </c>
      <c r="V114" s="120">
        <v>0</v>
      </c>
      <c r="W114" s="120">
        <v>0</v>
      </c>
      <c r="X114" s="120">
        <v>0</v>
      </c>
      <c r="Y114" s="120">
        <v>0</v>
      </c>
    </row>
    <row r="115" spans="2:27" x14ac:dyDescent="0.25">
      <c r="C115" s="76"/>
      <c r="F115" t="s">
        <v>124</v>
      </c>
      <c r="G115" t="s">
        <v>94</v>
      </c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</row>
    <row r="116" spans="2:27" x14ac:dyDescent="0.25">
      <c r="C116" s="76"/>
      <c r="F116" s="17" t="s">
        <v>123</v>
      </c>
      <c r="G116" s="17" t="s">
        <v>94</v>
      </c>
      <c r="H116" s="17"/>
      <c r="I116" s="17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</row>
    <row r="117" spans="2:27" x14ac:dyDescent="0.25">
      <c r="C117" s="76"/>
      <c r="D117"/>
      <c r="F117" s="84"/>
    </row>
    <row r="118" spans="2:27" x14ac:dyDescent="0.25">
      <c r="D118"/>
      <c r="E118" s="52" t="s">
        <v>305</v>
      </c>
      <c r="F118" s="84"/>
      <c r="I118" t="s">
        <v>359</v>
      </c>
      <c r="AA118" t="s">
        <v>820</v>
      </c>
    </row>
    <row r="119" spans="2:27" x14ac:dyDescent="0.25">
      <c r="D119"/>
      <c r="E119" s="73" t="s">
        <v>397</v>
      </c>
      <c r="F119" s="84"/>
    </row>
    <row r="120" spans="2:27" x14ac:dyDescent="0.25">
      <c r="D120"/>
      <c r="E120" s="73" t="s">
        <v>398</v>
      </c>
      <c r="F120" s="84"/>
    </row>
    <row r="121" spans="2:27" x14ac:dyDescent="0.25">
      <c r="D121"/>
      <c r="F121" s="80" t="s">
        <v>306</v>
      </c>
      <c r="G121" s="80" t="s">
        <v>155</v>
      </c>
      <c r="H121" s="80"/>
      <c r="I121" s="80"/>
      <c r="J121" s="169">
        <f>'Fixed inputs'!J136</f>
        <v>0</v>
      </c>
      <c r="K121" s="169">
        <f>'Fixed inputs'!K136</f>
        <v>0</v>
      </c>
      <c r="L121" s="169">
        <f>'Fixed inputs'!L136</f>
        <v>0</v>
      </c>
      <c r="M121" s="169">
        <f>'Fixed inputs'!M136</f>
        <v>0</v>
      </c>
      <c r="N121" s="169">
        <f>'Fixed inputs'!N136</f>
        <v>1</v>
      </c>
      <c r="O121" s="169">
        <f>'Fixed inputs'!O136</f>
        <v>1</v>
      </c>
      <c r="P121" s="169">
        <f>'Fixed inputs'!P136</f>
        <v>1</v>
      </c>
      <c r="Q121" s="169">
        <f>'Fixed inputs'!Q136</f>
        <v>0</v>
      </c>
      <c r="R121" s="169">
        <f>'Fixed inputs'!R136</f>
        <v>0</v>
      </c>
      <c r="S121" s="169">
        <f>'Fixed inputs'!S136</f>
        <v>0</v>
      </c>
      <c r="T121" s="169">
        <f>'Fixed inputs'!T136</f>
        <v>0</v>
      </c>
      <c r="U121" s="169">
        <f>'Fixed inputs'!U136</f>
        <v>0</v>
      </c>
      <c r="V121" s="169">
        <f>'Fixed inputs'!V136</f>
        <v>0</v>
      </c>
      <c r="W121" s="169">
        <f>'Fixed inputs'!W136</f>
        <v>0</v>
      </c>
      <c r="X121" s="169">
        <f>'Fixed inputs'!X136</f>
        <v>0</v>
      </c>
      <c r="Y121" s="169">
        <f>'Fixed inputs'!Y136</f>
        <v>0</v>
      </c>
    </row>
    <row r="122" spans="2:27" x14ac:dyDescent="0.25">
      <c r="D122"/>
      <c r="F122" t="s">
        <v>307</v>
      </c>
      <c r="G122" t="s">
        <v>155</v>
      </c>
      <c r="J122" s="344">
        <f>'Fixed inputs'!J137</f>
        <v>0</v>
      </c>
      <c r="K122" s="344">
        <f>'Fixed inputs'!K137</f>
        <v>0</v>
      </c>
      <c r="L122" s="344">
        <f>'Fixed inputs'!L137</f>
        <v>0</v>
      </c>
      <c r="M122" s="344">
        <f>'Fixed inputs'!M137</f>
        <v>0</v>
      </c>
      <c r="N122" s="344">
        <f>'Fixed inputs'!N137</f>
        <v>1</v>
      </c>
      <c r="O122" s="344">
        <f>'Fixed inputs'!O137</f>
        <v>1</v>
      </c>
      <c r="P122" s="344">
        <f>'Fixed inputs'!P137</f>
        <v>1</v>
      </c>
      <c r="Q122" s="344">
        <f>'Fixed inputs'!Q137</f>
        <v>0</v>
      </c>
      <c r="R122" s="344">
        <f>'Fixed inputs'!R137</f>
        <v>0</v>
      </c>
      <c r="S122" s="344">
        <f>'Fixed inputs'!S137</f>
        <v>0</v>
      </c>
      <c r="T122" s="344">
        <f>'Fixed inputs'!T137</f>
        <v>0</v>
      </c>
      <c r="U122" s="344">
        <f>'Fixed inputs'!U137</f>
        <v>0</v>
      </c>
      <c r="V122" s="344">
        <f>'Fixed inputs'!V137</f>
        <v>0</v>
      </c>
      <c r="W122" s="344">
        <f>'Fixed inputs'!W137</f>
        <v>0</v>
      </c>
      <c r="X122" s="344">
        <f>'Fixed inputs'!X137</f>
        <v>0</v>
      </c>
      <c r="Y122" s="344">
        <f>'Fixed inputs'!Y137</f>
        <v>0</v>
      </c>
    </row>
    <row r="123" spans="2:27" x14ac:dyDescent="0.25">
      <c r="D123"/>
      <c r="F123" s="17" t="s">
        <v>308</v>
      </c>
      <c r="G123" s="17" t="s">
        <v>155</v>
      </c>
      <c r="H123" s="17"/>
      <c r="I123" s="17"/>
      <c r="J123" s="475">
        <f>'Fixed inputs'!J139</f>
        <v>1</v>
      </c>
      <c r="K123" s="475">
        <f>'Fixed inputs'!K139</f>
        <v>0</v>
      </c>
      <c r="L123" s="475">
        <f>'Fixed inputs'!L139</f>
        <v>1</v>
      </c>
      <c r="M123" s="475">
        <f>'Fixed inputs'!M139</f>
        <v>0</v>
      </c>
      <c r="N123" s="475">
        <f>'Fixed inputs'!N139</f>
        <v>0</v>
      </c>
      <c r="O123" s="475">
        <f>'Fixed inputs'!O139</f>
        <v>0</v>
      </c>
      <c r="P123" s="475">
        <f>'Fixed inputs'!P139</f>
        <v>0</v>
      </c>
      <c r="Q123" s="475">
        <f>'Fixed inputs'!Q139</f>
        <v>0</v>
      </c>
      <c r="R123" s="475">
        <f>'Fixed inputs'!R139</f>
        <v>0</v>
      </c>
      <c r="S123" s="475">
        <f>'Fixed inputs'!S139</f>
        <v>0</v>
      </c>
      <c r="T123" s="475">
        <f>'Fixed inputs'!T139</f>
        <v>0</v>
      </c>
      <c r="U123" s="475">
        <f>'Fixed inputs'!U139</f>
        <v>0</v>
      </c>
      <c r="V123" s="475">
        <f>'Fixed inputs'!V139</f>
        <v>0</v>
      </c>
      <c r="W123" s="475">
        <f>'Fixed inputs'!W139</f>
        <v>0</v>
      </c>
      <c r="X123" s="475">
        <f>'Fixed inputs'!X139</f>
        <v>0</v>
      </c>
      <c r="Y123" s="475">
        <f>'Fixed inputs'!Y139</f>
        <v>0</v>
      </c>
    </row>
    <row r="124" spans="2:27" x14ac:dyDescent="0.25">
      <c r="C124" s="76"/>
    </row>
    <row r="125" spans="2:27" x14ac:dyDescent="0.25">
      <c r="B125" s="82" t="s">
        <v>399</v>
      </c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</row>
    <row r="126" spans="2:27" x14ac:dyDescent="0.25">
      <c r="C126" s="76"/>
    </row>
    <row r="127" spans="2:27" x14ac:dyDescent="0.25">
      <c r="B127" s="60"/>
      <c r="C127" s="73" t="s">
        <v>737</v>
      </c>
      <c r="D127"/>
      <c r="E127"/>
    </row>
    <row r="128" spans="2:27" x14ac:dyDescent="0.25">
      <c r="C128" s="76"/>
    </row>
    <row r="129" spans="3:27" x14ac:dyDescent="0.25">
      <c r="C129" s="5" t="str">
        <f ca="1">INDEX('Version control'!$H$36:$H$62,MATCH($A$1,'Version control'!$F$36:$F$62,0),1)&amp;"-B: Capacity-based charge elements (to be split between capacity &amp; fixed charges)"</f>
        <v>Section 515-B: Capacity-based charge elements (to be split between capacity &amp; fixed charges)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</row>
    <row r="131" spans="3:27" x14ac:dyDescent="0.25">
      <c r="C131" s="76"/>
      <c r="E131" s="52" t="s">
        <v>139</v>
      </c>
      <c r="I131" t="s">
        <v>359</v>
      </c>
      <c r="AA131" t="s">
        <v>738</v>
      </c>
    </row>
    <row r="132" spans="3:27" x14ac:dyDescent="0.25">
      <c r="C132" s="76"/>
      <c r="F132" s="80" t="s">
        <v>267</v>
      </c>
      <c r="G132" s="80" t="s">
        <v>251</v>
      </c>
      <c r="H132" s="80"/>
      <c r="I132" s="80"/>
      <c r="J132" s="201"/>
      <c r="K132" s="201"/>
      <c r="L132" s="201"/>
      <c r="M132" s="201"/>
      <c r="N132" s="201"/>
      <c r="O132" s="201"/>
      <c r="P132" s="201"/>
      <c r="Q132" s="201"/>
      <c r="R132" s="201"/>
      <c r="S132" s="201"/>
      <c r="T132" s="201"/>
      <c r="U132" s="201"/>
      <c r="V132" s="201"/>
      <c r="W132" s="201"/>
      <c r="X132" s="201"/>
      <c r="Y132" s="201"/>
    </row>
    <row r="133" spans="3:27" x14ac:dyDescent="0.25">
      <c r="C133" s="76"/>
      <c r="F133" t="s">
        <v>43</v>
      </c>
      <c r="G133" t="s">
        <v>251</v>
      </c>
      <c r="J133" s="234"/>
      <c r="K133" s="234"/>
      <c r="L133" s="234"/>
      <c r="M133" s="234"/>
      <c r="N133" s="234"/>
      <c r="O133" s="234"/>
      <c r="P133" s="234"/>
      <c r="Q133" s="234"/>
      <c r="R133" s="234"/>
      <c r="S133" s="234"/>
      <c r="T133" s="234"/>
      <c r="U133" s="234"/>
      <c r="V133" s="234"/>
      <c r="W133" s="234"/>
      <c r="X133" s="234"/>
      <c r="Y133" s="234"/>
    </row>
    <row r="134" spans="3:27" x14ac:dyDescent="0.25">
      <c r="C134" s="76"/>
      <c r="F134" t="s">
        <v>44</v>
      </c>
      <c r="G134" t="s">
        <v>251</v>
      </c>
      <c r="J134" s="231">
        <f t="shared" ref="J134:K134" si="0">hundred*J95*$H53*J82/$H39*(1-J107)/days_in_year/(1+$H25)*PowerFactor</f>
        <v>0</v>
      </c>
      <c r="K134" s="231">
        <f t="shared" si="0"/>
        <v>0</v>
      </c>
      <c r="L134" s="231">
        <f t="shared" ref="L134:M134" si="1">hundred*L95*$H53*L82/$H39*(1-L107)/days_in_year/(1+$H25)*PowerFactor</f>
        <v>0</v>
      </c>
      <c r="M134" s="231">
        <f t="shared" si="1"/>
        <v>0</v>
      </c>
      <c r="N134" s="231">
        <f t="shared" ref="N134:P134" si="2">hundred*N95*$H53*N82/$H39*(1-N107)/days_in_year/(1+$H25)*PowerFactor</f>
        <v>0</v>
      </c>
      <c r="O134" s="231">
        <f t="shared" si="2"/>
        <v>0</v>
      </c>
      <c r="P134" s="231">
        <f t="shared" si="2"/>
        <v>0</v>
      </c>
      <c r="Q134" s="231">
        <f t="shared" ref="Q134" si="3">hundred*Q95*$H53*Q82/$H39*(1-Q107)/days_in_year/(1+$H25)*PowerFactor</f>
        <v>0</v>
      </c>
      <c r="R134" s="234"/>
      <c r="S134" s="234"/>
      <c r="T134" s="234"/>
      <c r="U134" s="234"/>
      <c r="V134" s="234"/>
      <c r="W134" s="234"/>
      <c r="X134" s="234"/>
      <c r="Y134" s="234"/>
    </row>
    <row r="135" spans="3:27" x14ac:dyDescent="0.25">
      <c r="C135" s="76"/>
      <c r="F135" t="s">
        <v>45</v>
      </c>
      <c r="G135" t="s">
        <v>251</v>
      </c>
      <c r="J135" s="231">
        <f t="shared" ref="J135:K135" si="4">hundred*J96*$H54*J83/$H40*(1-J108)/days_in_year/(1+$H26)*PowerFactor</f>
        <v>0</v>
      </c>
      <c r="K135" s="231">
        <f t="shared" si="4"/>
        <v>0</v>
      </c>
      <c r="L135" s="231">
        <f t="shared" ref="L135:M135" si="5">hundred*L96*$H54*L83/$H40*(1-L108)/days_in_year/(1+$H26)*PowerFactor</f>
        <v>0</v>
      </c>
      <c r="M135" s="231">
        <f t="shared" si="5"/>
        <v>0</v>
      </c>
      <c r="N135" s="231">
        <f t="shared" ref="N135:P135" si="6">hundred*N96*$H54*N83/$H40*(1-N108)/days_in_year/(1+$H26)*PowerFactor</f>
        <v>0</v>
      </c>
      <c r="O135" s="231">
        <f t="shared" si="6"/>
        <v>0</v>
      </c>
      <c r="P135" s="231">
        <f t="shared" si="6"/>
        <v>0</v>
      </c>
      <c r="Q135" s="231">
        <f t="shared" ref="Q135" si="7">hundred*Q96*$H54*Q83/$H40*(1-Q108)/days_in_year/(1+$H26)*PowerFactor</f>
        <v>0</v>
      </c>
      <c r="R135" s="234"/>
      <c r="S135" s="234"/>
      <c r="T135" s="234"/>
      <c r="U135" s="234"/>
      <c r="V135" s="234"/>
      <c r="W135" s="234"/>
      <c r="X135" s="234"/>
      <c r="Y135" s="234"/>
    </row>
    <row r="136" spans="3:27" x14ac:dyDescent="0.25">
      <c r="C136" s="76"/>
      <c r="F136" t="s">
        <v>46</v>
      </c>
      <c r="G136" t="s">
        <v>251</v>
      </c>
      <c r="J136" s="231">
        <f t="shared" ref="J136:K136" si="8">hundred*J97*$H55*J84/$H41*(1-J109)/days_in_year/(1+$H27)*PowerFactor</f>
        <v>0</v>
      </c>
      <c r="K136" s="231">
        <f t="shared" si="8"/>
        <v>0</v>
      </c>
      <c r="L136" s="231">
        <f t="shared" ref="L136:M136" si="9">hundred*L97*$H55*L84/$H41*(1-L109)/days_in_year/(1+$H27)*PowerFactor</f>
        <v>0</v>
      </c>
      <c r="M136" s="231">
        <f t="shared" si="9"/>
        <v>0</v>
      </c>
      <c r="N136" s="231">
        <f t="shared" ref="N136:P136" si="10">hundred*N97*$H55*N84/$H41*(1-N109)/days_in_year/(1+$H27)*PowerFactor</f>
        <v>0</v>
      </c>
      <c r="O136" s="231">
        <f t="shared" si="10"/>
        <v>0</v>
      </c>
      <c r="P136" s="231">
        <f t="shared" si="10"/>
        <v>0.60840428572386251</v>
      </c>
      <c r="Q136" s="231">
        <f t="shared" ref="Q136" si="11">hundred*Q97*$H55*Q84/$H41*(1-Q109)/days_in_year/(1+$H27)*PowerFactor</f>
        <v>0</v>
      </c>
      <c r="R136" s="234"/>
      <c r="S136" s="234"/>
      <c r="T136" s="234"/>
      <c r="U136" s="234"/>
      <c r="V136" s="234"/>
      <c r="W136" s="234"/>
      <c r="X136" s="234"/>
      <c r="Y136" s="234"/>
    </row>
    <row r="137" spans="3:27" x14ac:dyDescent="0.25">
      <c r="C137" s="76"/>
      <c r="F137" t="s">
        <v>47</v>
      </c>
      <c r="G137" t="s">
        <v>251</v>
      </c>
      <c r="J137" s="231">
        <f t="shared" ref="J137:K137" si="12">hundred*J98*$H56*J85/$H42*(1-J110)/days_in_year/(1+$H28)*PowerFactor</f>
        <v>0</v>
      </c>
      <c r="K137" s="231">
        <f t="shared" si="12"/>
        <v>0</v>
      </c>
      <c r="L137" s="231">
        <f t="shared" ref="L137:M137" si="13">hundred*L98*$H56*L85/$H42*(1-L110)/days_in_year/(1+$H28)*PowerFactor</f>
        <v>0</v>
      </c>
      <c r="M137" s="231">
        <f t="shared" si="13"/>
        <v>0</v>
      </c>
      <c r="N137" s="231">
        <f t="shared" ref="N137:P137" si="14">hundred*N98*$H56*N85/$H42*(1-N110)/days_in_year/(1+$H28)*PowerFactor</f>
        <v>0</v>
      </c>
      <c r="O137" s="231">
        <f t="shared" si="14"/>
        <v>0</v>
      </c>
      <c r="P137" s="231">
        <f t="shared" si="14"/>
        <v>0.69018260693537314</v>
      </c>
      <c r="Q137" s="231">
        <f t="shared" ref="Q137" si="15">hundred*Q98*$H56*Q85/$H42*(1-Q110)/days_in_year/(1+$H28)*PowerFactor</f>
        <v>0</v>
      </c>
      <c r="R137" s="234"/>
      <c r="S137" s="234"/>
      <c r="T137" s="234"/>
      <c r="U137" s="234"/>
      <c r="V137" s="234"/>
      <c r="W137" s="234"/>
      <c r="X137" s="234"/>
      <c r="Y137" s="234"/>
    </row>
    <row r="138" spans="3:27" x14ac:dyDescent="0.25">
      <c r="C138" s="76"/>
      <c r="F138" t="s">
        <v>51</v>
      </c>
      <c r="G138" t="s">
        <v>251</v>
      </c>
      <c r="J138" s="231">
        <f t="shared" ref="J138:K138" si="16">hundred*J99*$H57*J86/$H43*(1-J111)/days_in_year/(1+$H29)*PowerFactor</f>
        <v>0</v>
      </c>
      <c r="K138" s="231">
        <f t="shared" si="16"/>
        <v>0</v>
      </c>
      <c r="L138" s="231">
        <f t="shared" ref="L138:M138" si="17">hundred*L99*$H57*L86/$H43*(1-L111)/days_in_year/(1+$H29)*PowerFactor</f>
        <v>0</v>
      </c>
      <c r="M138" s="231">
        <f t="shared" si="17"/>
        <v>0</v>
      </c>
      <c r="N138" s="231">
        <f t="shared" ref="N138:P138" si="18">hundred*N99*$H57*N86/$H43*(1-N111)/days_in_year/(1+$H29)*PowerFactor</f>
        <v>0</v>
      </c>
      <c r="O138" s="231">
        <f t="shared" si="18"/>
        <v>0</v>
      </c>
      <c r="P138" s="231">
        <f t="shared" si="18"/>
        <v>0</v>
      </c>
      <c r="Q138" s="231">
        <f t="shared" ref="Q138" si="19">hundred*Q99*$H57*Q86/$H43*(1-Q111)/days_in_year/(1+$H29)*PowerFactor</f>
        <v>0</v>
      </c>
      <c r="R138" s="234"/>
      <c r="S138" s="234"/>
      <c r="T138" s="234"/>
      <c r="U138" s="234"/>
      <c r="V138" s="234"/>
      <c r="W138" s="234"/>
      <c r="X138" s="234"/>
      <c r="Y138" s="234"/>
    </row>
    <row r="139" spans="3:27" x14ac:dyDescent="0.25">
      <c r="C139" s="76"/>
      <c r="F139" t="s">
        <v>48</v>
      </c>
      <c r="G139" t="s">
        <v>251</v>
      </c>
      <c r="J139" s="231">
        <f t="shared" ref="J139:K139" si="20">hundred*J100*$H58*J87/$H44*(1-J112)/days_in_year/(1+$H30)*PowerFactor</f>
        <v>0</v>
      </c>
      <c r="K139" s="231">
        <f t="shared" si="20"/>
        <v>0</v>
      </c>
      <c r="L139" s="231">
        <f t="shared" ref="L139:M139" si="21">hundred*L100*$H58*L87/$H44*(1-L112)/days_in_year/(1+$H30)*PowerFactor</f>
        <v>0</v>
      </c>
      <c r="M139" s="231">
        <f t="shared" si="21"/>
        <v>0</v>
      </c>
      <c r="N139" s="231">
        <f t="shared" ref="N139:P139" si="22">hundred*N100*$H58*N87/$H44*(1-N112)/days_in_year/(1+$H30)*PowerFactor</f>
        <v>0.47767248219122854</v>
      </c>
      <c r="O139" s="231">
        <f t="shared" si="22"/>
        <v>2.2565161602155781</v>
      </c>
      <c r="P139" s="231">
        <f t="shared" si="22"/>
        <v>1.5188147291093788</v>
      </c>
      <c r="Q139" s="231">
        <f t="shared" ref="Q139" si="23">hundred*Q100*$H58*Q87/$H44*(1-Q112)/days_in_year/(1+$H30)*PowerFactor</f>
        <v>0</v>
      </c>
      <c r="R139" s="234"/>
      <c r="S139" s="234"/>
      <c r="T139" s="234"/>
      <c r="U139" s="234"/>
      <c r="V139" s="234"/>
      <c r="W139" s="234"/>
      <c r="X139" s="234"/>
      <c r="Y139" s="234"/>
    </row>
    <row r="140" spans="3:27" x14ac:dyDescent="0.25">
      <c r="C140" s="76"/>
      <c r="F140" t="s">
        <v>49</v>
      </c>
      <c r="G140" t="s">
        <v>251</v>
      </c>
      <c r="J140" s="231">
        <f t="shared" ref="J140:K140" si="24">hundred*J101*$H59*J88/$H45*(1-J113)/days_in_year/(1+$H31)*PowerFactor</f>
        <v>0</v>
      </c>
      <c r="K140" s="231">
        <f t="shared" si="24"/>
        <v>0</v>
      </c>
      <c r="L140" s="231">
        <f t="shared" ref="L140:M140" si="25">hundred*L101*$H59*L88/$H45*(1-L113)/days_in_year/(1+$H31)*PowerFactor</f>
        <v>0</v>
      </c>
      <c r="M140" s="231">
        <f t="shared" si="25"/>
        <v>0</v>
      </c>
      <c r="N140" s="231">
        <f t="shared" ref="N140:P140" si="26">hundred*N101*$H59*N88/$H45*(1-N113)/days_in_year/(1+$H31)*PowerFactor</f>
        <v>0.5484233542949003</v>
      </c>
      <c r="O140" s="231">
        <f t="shared" si="26"/>
        <v>0.51814839989491035</v>
      </c>
      <c r="P140" s="231">
        <f t="shared" si="26"/>
        <v>0</v>
      </c>
      <c r="Q140" s="231">
        <f t="shared" ref="Q140" si="27">hundred*Q101*$H59*Q88/$H45*(1-Q113)/days_in_year/(1+$H31)*PowerFactor</f>
        <v>0</v>
      </c>
      <c r="R140" s="234"/>
      <c r="S140" s="234"/>
      <c r="T140" s="234"/>
      <c r="U140" s="234"/>
      <c r="V140" s="234"/>
      <c r="W140" s="234"/>
      <c r="X140" s="234"/>
      <c r="Y140" s="234"/>
    </row>
    <row r="141" spans="3:27" x14ac:dyDescent="0.25">
      <c r="C141" s="76"/>
      <c r="F141" t="s">
        <v>50</v>
      </c>
      <c r="G141" t="s">
        <v>251</v>
      </c>
      <c r="J141" s="231">
        <f t="shared" ref="J141:K141" si="28">hundred*J102*$H60*J89/$H46*(1-J114)/days_in_year/(1+$H32)*PowerFactor</f>
        <v>8.3328821801881808E-2</v>
      </c>
      <c r="K141" s="231">
        <f t="shared" si="28"/>
        <v>8.3328821801881808E-2</v>
      </c>
      <c r="L141" s="231">
        <f t="shared" ref="L141:M141" si="29">hundred*L102*$H60*L89/$H46*(1-L114)/days_in_year/(1+$H32)*PowerFactor</f>
        <v>8.3328821801881808E-2</v>
      </c>
      <c r="M141" s="231">
        <f t="shared" si="29"/>
        <v>8.3328821801881808E-2</v>
      </c>
      <c r="N141" s="231">
        <f t="shared" ref="N141:P141" si="30">hundred*N102*$H60*N89/$H46*(1-N114)/days_in_year/(1+$H32)*PowerFactor</f>
        <v>8.3328821801881808E-2</v>
      </c>
      <c r="O141" s="231">
        <f t="shared" si="30"/>
        <v>0</v>
      </c>
      <c r="P141" s="231">
        <f t="shared" si="30"/>
        <v>0</v>
      </c>
      <c r="Q141" s="231">
        <f t="shared" ref="Q141" si="31">hundred*Q102*$H60*Q89/$H46*(1-Q114)/days_in_year/(1+$H32)*PowerFactor</f>
        <v>0</v>
      </c>
      <c r="R141" s="234"/>
      <c r="S141" s="234"/>
      <c r="T141" s="234"/>
      <c r="U141" s="234"/>
      <c r="V141" s="234"/>
      <c r="W141" s="234"/>
      <c r="X141" s="234"/>
      <c r="Y141" s="234"/>
    </row>
    <row r="142" spans="3:27" x14ac:dyDescent="0.25">
      <c r="C142" s="76"/>
      <c r="D142"/>
      <c r="F142" t="s">
        <v>124</v>
      </c>
      <c r="G142" t="s">
        <v>251</v>
      </c>
      <c r="J142" s="234"/>
      <c r="K142" s="234"/>
      <c r="L142" s="234"/>
      <c r="M142" s="234"/>
      <c r="N142" s="234"/>
      <c r="O142" s="234"/>
      <c r="P142" s="234"/>
      <c r="Q142" s="234"/>
      <c r="R142" s="234"/>
      <c r="S142" s="234"/>
      <c r="T142" s="234"/>
      <c r="U142" s="234"/>
      <c r="V142" s="234"/>
      <c r="W142" s="234"/>
      <c r="X142" s="234"/>
      <c r="Y142" s="234"/>
    </row>
    <row r="143" spans="3:27" x14ac:dyDescent="0.25">
      <c r="C143" s="76"/>
      <c r="D143"/>
      <c r="F143" s="17" t="s">
        <v>123</v>
      </c>
      <c r="G143" s="17" t="s">
        <v>251</v>
      </c>
      <c r="H143" s="17"/>
      <c r="I143" s="17"/>
      <c r="J143" s="203"/>
      <c r="K143" s="203"/>
      <c r="L143" s="203"/>
      <c r="M143" s="203"/>
      <c r="N143" s="203"/>
      <c r="O143" s="203"/>
      <c r="P143" s="203"/>
      <c r="Q143" s="203"/>
      <c r="R143" s="203"/>
      <c r="S143" s="203"/>
      <c r="T143" s="203"/>
      <c r="U143" s="203"/>
      <c r="V143" s="203"/>
      <c r="W143" s="203"/>
      <c r="X143" s="203"/>
      <c r="Y143" s="203"/>
    </row>
    <row r="144" spans="3:27" x14ac:dyDescent="0.25">
      <c r="C144" s="76"/>
      <c r="D144"/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  <c r="U144" s="231"/>
      <c r="V144" s="231"/>
      <c r="W144" s="231"/>
      <c r="X144" s="231"/>
      <c r="Y144" s="231"/>
    </row>
    <row r="145" spans="3:27" x14ac:dyDescent="0.25">
      <c r="C145" s="76"/>
      <c r="E145" s="52" t="s">
        <v>116</v>
      </c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  <c r="U145" s="231"/>
      <c r="V145" s="231"/>
      <c r="W145" s="231"/>
      <c r="X145" s="231"/>
      <c r="Y145" s="231"/>
    </row>
    <row r="146" spans="3:27" x14ac:dyDescent="0.25">
      <c r="C146" s="76"/>
      <c r="F146" s="80" t="s">
        <v>267</v>
      </c>
      <c r="G146" s="80" t="s">
        <v>251</v>
      </c>
      <c r="H146" s="80"/>
      <c r="I146" s="80"/>
      <c r="J146" s="227">
        <f t="shared" ref="J146:K146" si="32">hundred*J94*$H65*J80/$H37/days_in_year/(1+$H23)*PowerFactor</f>
        <v>0</v>
      </c>
      <c r="K146" s="227">
        <f t="shared" si="32"/>
        <v>0</v>
      </c>
      <c r="L146" s="227">
        <f t="shared" ref="L146:M146" si="33">hundred*L94*$H65*L80/$H37/days_in_year/(1+$H23)*PowerFactor</f>
        <v>0</v>
      </c>
      <c r="M146" s="227">
        <f t="shared" si="33"/>
        <v>0</v>
      </c>
      <c r="N146" s="227">
        <f t="shared" ref="N146:P146" si="34">hundred*N94*$H65*N80/$H37/days_in_year/(1+$H23)*PowerFactor</f>
        <v>0</v>
      </c>
      <c r="O146" s="227">
        <f t="shared" si="34"/>
        <v>0</v>
      </c>
      <c r="P146" s="227">
        <f t="shared" si="34"/>
        <v>0</v>
      </c>
      <c r="Q146" s="227">
        <f t="shared" ref="Q146" si="35">hundred*Q94*$H65*Q80/$H37/days_in_year/(1+$H23)*PowerFactor</f>
        <v>0</v>
      </c>
      <c r="R146" s="201"/>
      <c r="S146" s="201"/>
      <c r="T146" s="201"/>
      <c r="U146" s="201"/>
      <c r="V146" s="201"/>
      <c r="W146" s="201"/>
      <c r="X146" s="201"/>
      <c r="Y146" s="201"/>
    </row>
    <row r="147" spans="3:27" x14ac:dyDescent="0.25">
      <c r="C147" s="76"/>
      <c r="F147" t="s">
        <v>43</v>
      </c>
      <c r="G147" t="s">
        <v>251</v>
      </c>
      <c r="J147" s="231">
        <f t="shared" ref="J147:K147" si="36">hundred*J94*$H66*J81/$H38/days_in_year/(1+$H24)*PowerFactor</f>
        <v>0</v>
      </c>
      <c r="K147" s="231">
        <f t="shared" si="36"/>
        <v>0</v>
      </c>
      <c r="L147" s="231">
        <f t="shared" ref="L147:M147" si="37">hundred*L94*$H66*L81/$H38/days_in_year/(1+$H24)*PowerFactor</f>
        <v>0</v>
      </c>
      <c r="M147" s="231">
        <f t="shared" si="37"/>
        <v>0</v>
      </c>
      <c r="N147" s="231">
        <f t="shared" ref="N147:P147" si="38">hundred*N94*$H66*N81/$H38/days_in_year/(1+$H24)*PowerFactor</f>
        <v>0</v>
      </c>
      <c r="O147" s="231">
        <f t="shared" si="38"/>
        <v>0</v>
      </c>
      <c r="P147" s="231">
        <f t="shared" si="38"/>
        <v>0</v>
      </c>
      <c r="Q147" s="231">
        <f t="shared" ref="Q147" si="39">hundred*Q94*$H66*Q81/$H38/days_in_year/(1+$H24)*PowerFactor</f>
        <v>0</v>
      </c>
      <c r="R147" s="234"/>
      <c r="S147" s="234"/>
      <c r="T147" s="234"/>
      <c r="U147" s="234"/>
      <c r="V147" s="234"/>
      <c r="W147" s="234"/>
      <c r="X147" s="234"/>
      <c r="Y147" s="234"/>
    </row>
    <row r="148" spans="3:27" x14ac:dyDescent="0.25">
      <c r="C148" s="76"/>
      <c r="F148" t="s">
        <v>44</v>
      </c>
      <c r="G148" t="s">
        <v>251</v>
      </c>
      <c r="J148" s="231">
        <f t="shared" ref="J148:K148" si="40">hundred*J95*$H67*J82/$H39/days_in_year/(1+$H25)*PowerFactor</f>
        <v>0</v>
      </c>
      <c r="K148" s="231">
        <f t="shared" si="40"/>
        <v>0</v>
      </c>
      <c r="L148" s="231">
        <f t="shared" ref="L148:M148" si="41">hundred*L95*$H67*L82/$H39/days_in_year/(1+$H25)*PowerFactor</f>
        <v>0</v>
      </c>
      <c r="M148" s="231">
        <f t="shared" si="41"/>
        <v>0</v>
      </c>
      <c r="N148" s="231">
        <f t="shared" ref="N148:P148" si="42">hundred*N95*$H67*N82/$H39/days_in_year/(1+$H25)*PowerFactor</f>
        <v>0</v>
      </c>
      <c r="O148" s="231">
        <f t="shared" si="42"/>
        <v>0</v>
      </c>
      <c r="P148" s="231">
        <f t="shared" si="42"/>
        <v>0</v>
      </c>
      <c r="Q148" s="231">
        <f t="shared" ref="Q148" si="43">hundred*Q95*$H67*Q82/$H39/days_in_year/(1+$H25)*PowerFactor</f>
        <v>0</v>
      </c>
      <c r="R148" s="234"/>
      <c r="S148" s="234"/>
      <c r="T148" s="234"/>
      <c r="U148" s="234"/>
      <c r="V148" s="234"/>
      <c r="W148" s="234"/>
      <c r="X148" s="234"/>
      <c r="Y148" s="234"/>
    </row>
    <row r="149" spans="3:27" x14ac:dyDescent="0.25">
      <c r="C149" s="76"/>
      <c r="F149" t="s">
        <v>45</v>
      </c>
      <c r="G149" t="s">
        <v>251</v>
      </c>
      <c r="J149" s="231">
        <f t="shared" ref="J149:K149" si="44">hundred*J96*$H68*J83/$H40/days_in_year/(1+$H26)*PowerFactor</f>
        <v>0</v>
      </c>
      <c r="K149" s="231">
        <f t="shared" si="44"/>
        <v>0</v>
      </c>
      <c r="L149" s="231">
        <f t="shared" ref="L149:M149" si="45">hundred*L96*$H68*L83/$H40/days_in_year/(1+$H26)*PowerFactor</f>
        <v>0</v>
      </c>
      <c r="M149" s="231">
        <f t="shared" si="45"/>
        <v>0</v>
      </c>
      <c r="N149" s="231">
        <f t="shared" ref="N149:P149" si="46">hundred*N96*$H68*N83/$H40/days_in_year/(1+$H26)*PowerFactor</f>
        <v>0</v>
      </c>
      <c r="O149" s="231">
        <f t="shared" si="46"/>
        <v>0</v>
      </c>
      <c r="P149" s="231">
        <f t="shared" si="46"/>
        <v>0</v>
      </c>
      <c r="Q149" s="231">
        <f t="shared" ref="Q149" si="47">hundred*Q96*$H68*Q83/$H40/days_in_year/(1+$H26)*PowerFactor</f>
        <v>0</v>
      </c>
      <c r="R149" s="234"/>
      <c r="S149" s="234"/>
      <c r="T149" s="234"/>
      <c r="U149" s="234"/>
      <c r="V149" s="234"/>
      <c r="W149" s="234"/>
      <c r="X149" s="234"/>
      <c r="Y149" s="234"/>
    </row>
    <row r="150" spans="3:27" x14ac:dyDescent="0.25">
      <c r="C150" s="76"/>
      <c r="F150" t="s">
        <v>46</v>
      </c>
      <c r="G150" t="s">
        <v>251</v>
      </c>
      <c r="J150" s="231">
        <f t="shared" ref="J150:K150" si="48">hundred*J97*$H69*J84/$H41/days_in_year/(1+$H27)*PowerFactor</f>
        <v>0</v>
      </c>
      <c r="K150" s="231">
        <f t="shared" si="48"/>
        <v>0</v>
      </c>
      <c r="L150" s="231">
        <f t="shared" ref="L150:M150" si="49">hundred*L97*$H69*L84/$H41/days_in_year/(1+$H27)*PowerFactor</f>
        <v>0</v>
      </c>
      <c r="M150" s="231">
        <f t="shared" si="49"/>
        <v>0</v>
      </c>
      <c r="N150" s="231">
        <f t="shared" ref="N150:P150" si="50">hundred*N97*$H69*N84/$H41/days_in_year/(1+$H27)*PowerFactor</f>
        <v>0</v>
      </c>
      <c r="O150" s="231">
        <f t="shared" si="50"/>
        <v>0</v>
      </c>
      <c r="P150" s="231">
        <f t="shared" si="50"/>
        <v>0.47104159844791305</v>
      </c>
      <c r="Q150" s="231">
        <f t="shared" ref="Q150" si="51">hundred*Q97*$H69*Q84/$H41/days_in_year/(1+$H27)*PowerFactor</f>
        <v>0</v>
      </c>
      <c r="R150" s="234"/>
      <c r="S150" s="234"/>
      <c r="T150" s="234"/>
      <c r="U150" s="234"/>
      <c r="V150" s="234"/>
      <c r="W150" s="234"/>
      <c r="X150" s="234"/>
      <c r="Y150" s="234"/>
    </row>
    <row r="151" spans="3:27" x14ac:dyDescent="0.25">
      <c r="C151" s="76"/>
      <c r="F151" t="s">
        <v>47</v>
      </c>
      <c r="G151" t="s">
        <v>251</v>
      </c>
      <c r="J151" s="231">
        <f t="shared" ref="J151:K151" si="52">hundred*J98*$H70*J85/$H42/days_in_year/(1+$H28)*PowerFactor</f>
        <v>0</v>
      </c>
      <c r="K151" s="231">
        <f t="shared" si="52"/>
        <v>0</v>
      </c>
      <c r="L151" s="231">
        <f t="shared" ref="L151:M151" si="53">hundred*L98*$H70*L85/$H42/days_in_year/(1+$H28)*PowerFactor</f>
        <v>0</v>
      </c>
      <c r="M151" s="231">
        <f t="shared" si="53"/>
        <v>0</v>
      </c>
      <c r="N151" s="231">
        <f t="shared" ref="N151:P151" si="54">hundred*N98*$H70*N85/$H42/days_in_year/(1+$H28)*PowerFactor</f>
        <v>0</v>
      </c>
      <c r="O151" s="231">
        <f t="shared" si="54"/>
        <v>0</v>
      </c>
      <c r="P151" s="231">
        <f t="shared" si="54"/>
        <v>0.60351006773395999</v>
      </c>
      <c r="Q151" s="231">
        <f t="shared" ref="Q151" si="55">hundred*Q98*$H70*Q85/$H42/days_in_year/(1+$H28)*PowerFactor</f>
        <v>0</v>
      </c>
      <c r="R151" s="234"/>
      <c r="S151" s="234"/>
      <c r="T151" s="234"/>
      <c r="U151" s="234"/>
      <c r="V151" s="234"/>
      <c r="W151" s="234"/>
      <c r="X151" s="234"/>
      <c r="Y151" s="234"/>
    </row>
    <row r="152" spans="3:27" x14ac:dyDescent="0.25">
      <c r="C152" s="76"/>
      <c r="F152" t="s">
        <v>51</v>
      </c>
      <c r="G152" t="s">
        <v>251</v>
      </c>
      <c r="J152" s="231">
        <f t="shared" ref="J152:K152" si="56">hundred*J99*$H71*J86/$H43/days_in_year/(1+$H29)*PowerFactor</f>
        <v>0</v>
      </c>
      <c r="K152" s="231">
        <f t="shared" si="56"/>
        <v>0</v>
      </c>
      <c r="L152" s="231">
        <f t="shared" ref="L152:M152" si="57">hundred*L99*$H71*L86/$H43/days_in_year/(1+$H29)*PowerFactor</f>
        <v>0</v>
      </c>
      <c r="M152" s="231">
        <f t="shared" si="57"/>
        <v>0</v>
      </c>
      <c r="N152" s="231">
        <f t="shared" ref="N152:P152" si="58">hundred*N99*$H71*N86/$H43/days_in_year/(1+$H29)*PowerFactor</f>
        <v>0</v>
      </c>
      <c r="O152" s="231">
        <f t="shared" si="58"/>
        <v>0</v>
      </c>
      <c r="P152" s="231">
        <f t="shared" si="58"/>
        <v>0</v>
      </c>
      <c r="Q152" s="231">
        <f t="shared" ref="Q152" si="59">hundred*Q99*$H71*Q86/$H43/days_in_year/(1+$H29)*PowerFactor</f>
        <v>0</v>
      </c>
      <c r="R152" s="234"/>
      <c r="S152" s="234"/>
      <c r="T152" s="234"/>
      <c r="U152" s="234"/>
      <c r="V152" s="234"/>
      <c r="W152" s="234"/>
      <c r="X152" s="234"/>
      <c r="Y152" s="234"/>
    </row>
    <row r="153" spans="3:27" x14ac:dyDescent="0.25">
      <c r="C153" s="76"/>
      <c r="F153" t="s">
        <v>48</v>
      </c>
      <c r="G153" t="s">
        <v>251</v>
      </c>
      <c r="J153" s="231">
        <f t="shared" ref="J153:K153" si="60">hundred*J100*$H72*J87/$H44/days_in_year/(1+$H30)*PowerFactor</f>
        <v>0</v>
      </c>
      <c r="K153" s="231">
        <f t="shared" si="60"/>
        <v>0</v>
      </c>
      <c r="L153" s="231">
        <f t="shared" ref="L153:M153" si="61">hundred*L100*$H72*L87/$H44/days_in_year/(1+$H30)*PowerFactor</f>
        <v>0</v>
      </c>
      <c r="M153" s="231">
        <f t="shared" si="61"/>
        <v>0</v>
      </c>
      <c r="N153" s="231">
        <f t="shared" ref="N153:P153" si="62">hundred*N100*$H72*N87/$H44/days_in_year/(1+$H30)*PowerFactor</f>
        <v>0.44827039475139796</v>
      </c>
      <c r="O153" s="231">
        <f t="shared" si="62"/>
        <v>2.1176212313142959</v>
      </c>
      <c r="P153" s="231">
        <f t="shared" si="62"/>
        <v>2.0770537747757079</v>
      </c>
      <c r="Q153" s="231">
        <f t="shared" ref="Q153" si="63">hundred*Q100*$H72*Q87/$H44/days_in_year/(1+$H30)*PowerFactor</f>
        <v>0</v>
      </c>
      <c r="R153" s="234"/>
      <c r="S153" s="234"/>
      <c r="T153" s="234"/>
      <c r="U153" s="234"/>
      <c r="V153" s="234"/>
      <c r="W153" s="234"/>
      <c r="X153" s="234"/>
      <c r="Y153" s="234"/>
    </row>
    <row r="154" spans="3:27" x14ac:dyDescent="0.25">
      <c r="C154" s="76"/>
      <c r="F154" t="s">
        <v>49</v>
      </c>
      <c r="G154" t="s">
        <v>251</v>
      </c>
      <c r="J154" s="231">
        <f t="shared" ref="J154:K154" si="64">hundred*J101*$H73*J88/$H45/days_in_year/(1+$H31)*PowerFactor</f>
        <v>0</v>
      </c>
      <c r="K154" s="231">
        <f t="shared" si="64"/>
        <v>0</v>
      </c>
      <c r="L154" s="231">
        <f t="shared" ref="L154:M154" si="65">hundred*L101*$H73*L88/$H45/days_in_year/(1+$H31)*PowerFactor</f>
        <v>0</v>
      </c>
      <c r="M154" s="231">
        <f t="shared" si="65"/>
        <v>0</v>
      </c>
      <c r="N154" s="231">
        <f t="shared" ref="N154:P154" si="66">hundred*N101*$H73*N88/$H45/days_in_year/(1+$H31)*PowerFactor</f>
        <v>0.56331521583983291</v>
      </c>
      <c r="O154" s="231">
        <f t="shared" si="66"/>
        <v>0.53221817677537153</v>
      </c>
      <c r="P154" s="231">
        <f t="shared" si="66"/>
        <v>0</v>
      </c>
      <c r="Q154" s="231">
        <f t="shared" ref="Q154" si="67">hundred*Q101*$H73*Q88/$H45/days_in_year/(1+$H31)*PowerFactor</f>
        <v>0</v>
      </c>
      <c r="R154" s="234"/>
      <c r="S154" s="234"/>
      <c r="T154" s="234"/>
      <c r="U154" s="234"/>
      <c r="V154" s="234"/>
      <c r="W154" s="234"/>
      <c r="X154" s="234"/>
      <c r="Y154" s="234"/>
    </row>
    <row r="155" spans="3:27" x14ac:dyDescent="0.25">
      <c r="C155" s="76"/>
      <c r="F155" t="s">
        <v>50</v>
      </c>
      <c r="G155" t="s">
        <v>251</v>
      </c>
      <c r="J155" s="231">
        <f t="shared" ref="J155:K155" si="68">hundred*J102*$H74*J89/$H46/days_in_year/(1+$H32)*PowerFactor</f>
        <v>0.81944050032241544</v>
      </c>
      <c r="K155" s="231">
        <f t="shared" si="68"/>
        <v>0.81944050032241544</v>
      </c>
      <c r="L155" s="231">
        <f t="shared" ref="L155:M155" si="69">hundred*L102*$H74*L89/$H46/days_in_year/(1+$H32)*PowerFactor</f>
        <v>0.81944050032241544</v>
      </c>
      <c r="M155" s="231">
        <f t="shared" si="69"/>
        <v>0.81944050032241544</v>
      </c>
      <c r="N155" s="231">
        <f t="shared" ref="N155:P155" si="70">hundred*N102*$H74*N89/$H46/days_in_year/(1+$H32)*PowerFactor</f>
        <v>0.81944050032241544</v>
      </c>
      <c r="O155" s="231">
        <f t="shared" si="70"/>
        <v>0</v>
      </c>
      <c r="P155" s="231">
        <f t="shared" si="70"/>
        <v>0</v>
      </c>
      <c r="Q155" s="231">
        <f t="shared" ref="Q155" si="71">hundred*Q102*$H74*Q89/$H46/days_in_year/(1+$H32)*PowerFactor</f>
        <v>0</v>
      </c>
      <c r="R155" s="234"/>
      <c r="S155" s="234"/>
      <c r="T155" s="234"/>
      <c r="U155" s="234"/>
      <c r="V155" s="234"/>
      <c r="W155" s="234"/>
      <c r="X155" s="234"/>
      <c r="Y155" s="234"/>
    </row>
    <row r="156" spans="3:27" x14ac:dyDescent="0.25">
      <c r="C156" s="76"/>
      <c r="D156"/>
      <c r="F156" t="s">
        <v>124</v>
      </c>
      <c r="G156" t="s">
        <v>251</v>
      </c>
      <c r="J156" s="234"/>
      <c r="K156" s="234"/>
      <c r="L156" s="234"/>
      <c r="M156" s="234"/>
      <c r="N156" s="234"/>
      <c r="O156" s="234"/>
      <c r="P156" s="234"/>
      <c r="Q156" s="234"/>
      <c r="R156" s="234"/>
      <c r="S156" s="234"/>
      <c r="T156" s="234"/>
      <c r="U156" s="234"/>
      <c r="V156" s="234"/>
      <c r="W156" s="234"/>
      <c r="X156" s="234"/>
      <c r="Y156" s="234"/>
    </row>
    <row r="157" spans="3:27" x14ac:dyDescent="0.25">
      <c r="C157" s="76"/>
      <c r="D157"/>
      <c r="F157" s="17" t="s">
        <v>123</v>
      </c>
      <c r="G157" s="17" t="s">
        <v>251</v>
      </c>
      <c r="H157" s="17"/>
      <c r="I157" s="17"/>
      <c r="J157" s="203"/>
      <c r="K157" s="203"/>
      <c r="L157" s="203"/>
      <c r="M157" s="203"/>
      <c r="N157" s="203"/>
      <c r="O157" s="203"/>
      <c r="P157" s="203"/>
      <c r="Q157" s="203"/>
      <c r="R157" s="203"/>
      <c r="S157" s="203"/>
      <c r="T157" s="203"/>
      <c r="U157" s="203"/>
      <c r="V157" s="203"/>
      <c r="W157" s="203"/>
      <c r="X157" s="203"/>
      <c r="Y157" s="203"/>
    </row>
    <row r="158" spans="3:27" x14ac:dyDescent="0.25">
      <c r="C158" s="76"/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  <c r="U158" s="231"/>
      <c r="V158" s="231"/>
      <c r="W158" s="231"/>
      <c r="X158" s="231"/>
      <c r="Y158" s="231"/>
    </row>
    <row r="159" spans="3:27" x14ac:dyDescent="0.25">
      <c r="C159" s="5" t="str">
        <f ca="1">INDEX('Version control'!$H$36:$H$62,MATCH($A$1,'Version control'!$F$36:$F$62,0),1)&amp;"-C: Exceeded capacity-based charge elements"</f>
        <v>Section 515-C: Exceeded capacity-based charge elements</v>
      </c>
      <c r="D159" s="5"/>
      <c r="E159" s="5"/>
      <c r="F159" s="5"/>
      <c r="G159" s="5"/>
      <c r="H159" s="5"/>
      <c r="I159" s="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5"/>
      <c r="AA159" s="5"/>
    </row>
    <row r="160" spans="3:27" x14ac:dyDescent="0.25"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</row>
    <row r="161" spans="3:25" x14ac:dyDescent="0.25">
      <c r="C161" s="76"/>
      <c r="E161" s="52" t="s">
        <v>139</v>
      </c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</row>
    <row r="162" spans="3:25" x14ac:dyDescent="0.25">
      <c r="C162" s="76"/>
      <c r="F162" s="80" t="s">
        <v>267</v>
      </c>
      <c r="G162" s="80" t="s">
        <v>251</v>
      </c>
      <c r="H162" s="80"/>
      <c r="I162" s="80"/>
      <c r="J162" s="201"/>
      <c r="K162" s="201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1"/>
      <c r="W162" s="201"/>
      <c r="X162" s="201"/>
      <c r="Y162" s="201"/>
    </row>
    <row r="163" spans="3:25" x14ac:dyDescent="0.25">
      <c r="C163" s="76"/>
      <c r="F163" t="s">
        <v>43</v>
      </c>
      <c r="G163" t="s">
        <v>251</v>
      </c>
      <c r="J163" s="234"/>
      <c r="K163" s="234"/>
      <c r="L163" s="234"/>
      <c r="M163" s="234"/>
      <c r="N163" s="234"/>
      <c r="O163" s="234"/>
      <c r="P163" s="234"/>
      <c r="Q163" s="234"/>
      <c r="R163" s="234"/>
      <c r="S163" s="234"/>
      <c r="T163" s="234"/>
      <c r="U163" s="234"/>
      <c r="V163" s="234"/>
      <c r="W163" s="234"/>
      <c r="X163" s="234"/>
      <c r="Y163" s="234"/>
    </row>
    <row r="164" spans="3:25" x14ac:dyDescent="0.25">
      <c r="C164" s="76"/>
      <c r="F164" t="s">
        <v>44</v>
      </c>
      <c r="G164" t="s">
        <v>251</v>
      </c>
      <c r="J164" s="231">
        <f t="shared" ref="J164:K164" si="72">hundred*J95*$H53*J82/$H39/days_in_year/(1+$H25)*PowerFactor</f>
        <v>0</v>
      </c>
      <c r="K164" s="231">
        <f t="shared" si="72"/>
        <v>0</v>
      </c>
      <c r="L164" s="231">
        <f t="shared" ref="L164:M164" si="73">hundred*L95*$H53*L82/$H39/days_in_year/(1+$H25)*PowerFactor</f>
        <v>0</v>
      </c>
      <c r="M164" s="231">
        <f t="shared" si="73"/>
        <v>0</v>
      </c>
      <c r="N164" s="231">
        <f t="shared" ref="N164:P164" si="74">hundred*N95*$H53*N82/$H39/days_in_year/(1+$H25)*PowerFactor</f>
        <v>0</v>
      </c>
      <c r="O164" s="231">
        <f t="shared" si="74"/>
        <v>0</v>
      </c>
      <c r="P164" s="231">
        <f t="shared" si="74"/>
        <v>0</v>
      </c>
      <c r="Q164" s="231">
        <f t="shared" ref="Q164" si="75">hundred*Q95*$H53*Q82/$H39/days_in_year/(1+$H25)*PowerFactor</f>
        <v>0</v>
      </c>
      <c r="R164" s="234"/>
      <c r="S164" s="234"/>
      <c r="T164" s="234"/>
      <c r="U164" s="234"/>
      <c r="V164" s="234"/>
      <c r="W164" s="234"/>
      <c r="X164" s="234"/>
      <c r="Y164" s="234"/>
    </row>
    <row r="165" spans="3:25" x14ac:dyDescent="0.25">
      <c r="C165" s="76"/>
      <c r="F165" t="s">
        <v>45</v>
      </c>
      <c r="G165" t="s">
        <v>251</v>
      </c>
      <c r="J165" s="231">
        <f t="shared" ref="J165:K165" si="76">hundred*J96*$H54*J83/$H40/days_in_year/(1+$H26)*PowerFactor</f>
        <v>0</v>
      </c>
      <c r="K165" s="231">
        <f t="shared" si="76"/>
        <v>0</v>
      </c>
      <c r="L165" s="231">
        <f t="shared" ref="L165:M165" si="77">hundred*L96*$H54*L83/$H40/days_in_year/(1+$H26)*PowerFactor</f>
        <v>0</v>
      </c>
      <c r="M165" s="231">
        <f t="shared" si="77"/>
        <v>0</v>
      </c>
      <c r="N165" s="231">
        <f t="shared" ref="N165:P165" si="78">hundred*N96*$H54*N83/$H40/days_in_year/(1+$H26)*PowerFactor</f>
        <v>0</v>
      </c>
      <c r="O165" s="231">
        <f t="shared" si="78"/>
        <v>0</v>
      </c>
      <c r="P165" s="231">
        <f t="shared" si="78"/>
        <v>0</v>
      </c>
      <c r="Q165" s="231">
        <f t="shared" ref="Q165" si="79">hundred*Q96*$H54*Q83/$H40/days_in_year/(1+$H26)*PowerFactor</f>
        <v>0</v>
      </c>
      <c r="R165" s="234"/>
      <c r="S165" s="234"/>
      <c r="T165" s="234"/>
      <c r="U165" s="234"/>
      <c r="V165" s="234"/>
      <c r="W165" s="234"/>
      <c r="X165" s="234"/>
      <c r="Y165" s="234"/>
    </row>
    <row r="166" spans="3:25" x14ac:dyDescent="0.25">
      <c r="C166" s="76"/>
      <c r="F166" t="s">
        <v>46</v>
      </c>
      <c r="G166" t="s">
        <v>251</v>
      </c>
      <c r="J166" s="231">
        <f t="shared" ref="J166:K166" si="80">hundred*J97*$H55*J84/$H41/days_in_year/(1+$H27)*PowerFactor</f>
        <v>0</v>
      </c>
      <c r="K166" s="231">
        <f t="shared" si="80"/>
        <v>0</v>
      </c>
      <c r="L166" s="231">
        <f t="shared" ref="L166:M166" si="81">hundred*L97*$H55*L84/$H41/days_in_year/(1+$H27)*PowerFactor</f>
        <v>0</v>
      </c>
      <c r="M166" s="231">
        <f t="shared" si="81"/>
        <v>0</v>
      </c>
      <c r="N166" s="231">
        <f t="shared" ref="N166:P166" si="82">hundred*N97*$H55*N84/$H41/days_in_year/(1+$H27)*PowerFactor</f>
        <v>0</v>
      </c>
      <c r="O166" s="231">
        <f t="shared" si="82"/>
        <v>0</v>
      </c>
      <c r="P166" s="231">
        <f t="shared" si="82"/>
        <v>0.62793331217919635</v>
      </c>
      <c r="Q166" s="231">
        <f t="shared" ref="Q166" si="83">hundred*Q97*$H55*Q84/$H41/days_in_year/(1+$H27)*PowerFactor</f>
        <v>0</v>
      </c>
      <c r="R166" s="234"/>
      <c r="S166" s="234"/>
      <c r="T166" s="234"/>
      <c r="U166" s="234"/>
      <c r="V166" s="234"/>
      <c r="W166" s="234"/>
      <c r="X166" s="234"/>
      <c r="Y166" s="234"/>
    </row>
    <row r="167" spans="3:25" x14ac:dyDescent="0.25">
      <c r="C167" s="76"/>
      <c r="F167" t="s">
        <v>47</v>
      </c>
      <c r="G167" t="s">
        <v>251</v>
      </c>
      <c r="J167" s="231">
        <f t="shared" ref="J167:K167" si="84">hundred*J98*$H56*J85/$H42/days_in_year/(1+$H28)*PowerFactor</f>
        <v>0</v>
      </c>
      <c r="K167" s="231">
        <f t="shared" si="84"/>
        <v>0</v>
      </c>
      <c r="L167" s="231">
        <f t="shared" ref="L167:M167" si="85">hundred*L98*$H56*L85/$H42/days_in_year/(1+$H28)*PowerFactor</f>
        <v>0</v>
      </c>
      <c r="M167" s="231">
        <f t="shared" si="85"/>
        <v>0</v>
      </c>
      <c r="N167" s="231">
        <f t="shared" ref="N167:P167" si="86">hundred*N98*$H56*N85/$H42/days_in_year/(1+$H28)*PowerFactor</f>
        <v>0</v>
      </c>
      <c r="O167" s="231">
        <f t="shared" si="86"/>
        <v>0</v>
      </c>
      <c r="P167" s="231">
        <f t="shared" si="86"/>
        <v>0.80452358563313109</v>
      </c>
      <c r="Q167" s="231">
        <f t="shared" ref="Q167" si="87">hundred*Q98*$H56*Q85/$H42/days_in_year/(1+$H28)*PowerFactor</f>
        <v>0</v>
      </c>
      <c r="R167" s="234"/>
      <c r="S167" s="234"/>
      <c r="T167" s="234"/>
      <c r="U167" s="234"/>
      <c r="V167" s="234"/>
      <c r="W167" s="234"/>
      <c r="X167" s="234"/>
      <c r="Y167" s="234"/>
    </row>
    <row r="168" spans="3:25" x14ac:dyDescent="0.25">
      <c r="C168" s="76"/>
      <c r="F168" t="s">
        <v>51</v>
      </c>
      <c r="G168" t="s">
        <v>251</v>
      </c>
      <c r="J168" s="231">
        <f t="shared" ref="J168:K168" si="88">hundred*J99*$H57*J86/$H43/days_in_year/(1+$H29)*PowerFactor</f>
        <v>0</v>
      </c>
      <c r="K168" s="231">
        <f t="shared" si="88"/>
        <v>0</v>
      </c>
      <c r="L168" s="231">
        <f t="shared" ref="L168:M168" si="89">hundred*L99*$H57*L86/$H43/days_in_year/(1+$H29)*PowerFactor</f>
        <v>0</v>
      </c>
      <c r="M168" s="231">
        <f t="shared" si="89"/>
        <v>0</v>
      </c>
      <c r="N168" s="231">
        <f t="shared" ref="N168:P168" si="90">hundred*N99*$H57*N86/$H43/days_in_year/(1+$H29)*PowerFactor</f>
        <v>0</v>
      </c>
      <c r="O168" s="231">
        <f t="shared" si="90"/>
        <v>0</v>
      </c>
      <c r="P168" s="231">
        <f t="shared" si="90"/>
        <v>0</v>
      </c>
      <c r="Q168" s="231">
        <f t="shared" ref="Q168" si="91">hundred*Q99*$H57*Q86/$H43/days_in_year/(1+$H29)*PowerFactor</f>
        <v>0</v>
      </c>
      <c r="R168" s="234"/>
      <c r="S168" s="234"/>
      <c r="T168" s="234"/>
      <c r="U168" s="234"/>
      <c r="V168" s="234"/>
      <c r="W168" s="234"/>
      <c r="X168" s="234"/>
      <c r="Y168" s="234"/>
    </row>
    <row r="169" spans="3:25" x14ac:dyDescent="0.25">
      <c r="C169" s="76"/>
      <c r="F169" t="s">
        <v>48</v>
      </c>
      <c r="G169" t="s">
        <v>251</v>
      </c>
      <c r="J169" s="231">
        <f t="shared" ref="J169:K169" si="92">hundred*J100*$H58*J87/$H44/days_in_year/(1+$H30)*PowerFactor</f>
        <v>0</v>
      </c>
      <c r="K169" s="231">
        <f t="shared" si="92"/>
        <v>0</v>
      </c>
      <c r="L169" s="231">
        <f t="shared" ref="L169:M169" si="93">hundred*L100*$H58*L87/$H44/days_in_year/(1+$H30)*PowerFactor</f>
        <v>0</v>
      </c>
      <c r="M169" s="231">
        <f t="shared" si="93"/>
        <v>0</v>
      </c>
      <c r="N169" s="231">
        <f t="shared" ref="N169:P169" si="94">hundred*N100*$H58*N87/$H44/days_in_year/(1+$H30)*PowerFactor</f>
        <v>0.59757761237142015</v>
      </c>
      <c r="O169" s="231">
        <f t="shared" si="94"/>
        <v>2.8229458249582016</v>
      </c>
      <c r="P169" s="231">
        <f t="shared" si="94"/>
        <v>2.7688664030241363</v>
      </c>
      <c r="Q169" s="231">
        <f t="shared" ref="Q169" si="95">hundred*Q100*$H58*Q87/$H44/days_in_year/(1+$H30)*PowerFactor</f>
        <v>0</v>
      </c>
      <c r="R169" s="234"/>
      <c r="S169" s="234"/>
      <c r="T169" s="234"/>
      <c r="U169" s="234"/>
      <c r="V169" s="234"/>
      <c r="W169" s="234"/>
      <c r="X169" s="234"/>
      <c r="Y169" s="234"/>
    </row>
    <row r="170" spans="3:25" x14ac:dyDescent="0.25">
      <c r="C170" s="76"/>
      <c r="F170" t="s">
        <v>49</v>
      </c>
      <c r="G170" t="s">
        <v>251</v>
      </c>
      <c r="J170" s="231">
        <f t="shared" ref="J170:K170" si="96">hundred*J101*$H59*J88/$H45/days_in_year/(1+$H31)*PowerFactor</f>
        <v>0</v>
      </c>
      <c r="K170" s="231">
        <f t="shared" si="96"/>
        <v>0</v>
      </c>
      <c r="L170" s="231">
        <f t="shared" ref="L170:M170" si="97">hundred*L101*$H59*L88/$H45/days_in_year/(1+$H31)*PowerFactor</f>
        <v>0</v>
      </c>
      <c r="M170" s="231">
        <f t="shared" si="97"/>
        <v>0</v>
      </c>
      <c r="N170" s="231">
        <f t="shared" ref="N170:P170" si="98">hundred*N101*$H59*N88/$H45/days_in_year/(1+$H31)*PowerFactor</f>
        <v>0.75094087326633252</v>
      </c>
      <c r="O170" s="231">
        <f t="shared" si="98"/>
        <v>0.70948621872402828</v>
      </c>
      <c r="P170" s="231">
        <f t="shared" si="98"/>
        <v>0</v>
      </c>
      <c r="Q170" s="231">
        <f t="shared" ref="Q170" si="99">hundred*Q101*$H59*Q88/$H45/days_in_year/(1+$H31)*PowerFactor</f>
        <v>0</v>
      </c>
      <c r="R170" s="234"/>
      <c r="S170" s="234"/>
      <c r="T170" s="234"/>
      <c r="U170" s="234"/>
      <c r="V170" s="234"/>
      <c r="W170" s="234"/>
      <c r="X170" s="234"/>
      <c r="Y170" s="234"/>
    </row>
    <row r="171" spans="3:25" x14ac:dyDescent="0.25">
      <c r="C171" s="76"/>
      <c r="F171" t="s">
        <v>50</v>
      </c>
      <c r="G171" t="s">
        <v>251</v>
      </c>
      <c r="J171" s="231">
        <f t="shared" ref="J171:K171" si="100">hundred*J102*$H60*J89/$H46/days_in_year/(1+$H32)*PowerFactor</f>
        <v>1.0923748331287362</v>
      </c>
      <c r="K171" s="231">
        <f t="shared" si="100"/>
        <v>1.0923748331287362</v>
      </c>
      <c r="L171" s="231">
        <f t="shared" ref="L171:M171" si="101">hundred*L102*$H60*L89/$H46/days_in_year/(1+$H32)*PowerFactor</f>
        <v>1.0923748331287362</v>
      </c>
      <c r="M171" s="231">
        <f t="shared" si="101"/>
        <v>1.0923748331287362</v>
      </c>
      <c r="N171" s="231">
        <f t="shared" ref="N171:P171" si="102">hundred*N102*$H60*N89/$H46/days_in_year/(1+$H32)*PowerFactor</f>
        <v>1.0923748331287362</v>
      </c>
      <c r="O171" s="231">
        <f t="shared" si="102"/>
        <v>0</v>
      </c>
      <c r="P171" s="231">
        <f t="shared" si="102"/>
        <v>0</v>
      </c>
      <c r="Q171" s="231">
        <f t="shared" ref="Q171" si="103">hundred*Q102*$H60*Q89/$H46/days_in_year/(1+$H32)*PowerFactor</f>
        <v>0</v>
      </c>
      <c r="R171" s="234"/>
      <c r="S171" s="234"/>
      <c r="T171" s="234"/>
      <c r="U171" s="234"/>
      <c r="V171" s="234"/>
      <c r="W171" s="234"/>
      <c r="X171" s="234"/>
      <c r="Y171" s="234"/>
    </row>
    <row r="172" spans="3:25" x14ac:dyDescent="0.25">
      <c r="C172" s="76"/>
      <c r="F172" t="s">
        <v>124</v>
      </c>
      <c r="G172" t="s">
        <v>251</v>
      </c>
      <c r="J172" s="234"/>
      <c r="K172" s="234"/>
      <c r="L172" s="234"/>
      <c r="M172" s="234"/>
      <c r="N172" s="234"/>
      <c r="O172" s="234"/>
      <c r="P172" s="234"/>
      <c r="Q172" s="234"/>
      <c r="R172" s="234"/>
      <c r="S172" s="234"/>
      <c r="T172" s="234"/>
      <c r="U172" s="234"/>
      <c r="V172" s="234"/>
      <c r="W172" s="234"/>
      <c r="X172" s="234"/>
      <c r="Y172" s="234"/>
    </row>
    <row r="173" spans="3:25" x14ac:dyDescent="0.25">
      <c r="C173" s="76"/>
      <c r="F173" s="17" t="s">
        <v>123</v>
      </c>
      <c r="G173" s="17" t="s">
        <v>251</v>
      </c>
      <c r="H173" s="17"/>
      <c r="I173" s="17"/>
      <c r="J173" s="203"/>
      <c r="K173" s="203"/>
      <c r="L173" s="203"/>
      <c r="M173" s="203"/>
      <c r="N173" s="203"/>
      <c r="O173" s="203"/>
      <c r="P173" s="203"/>
      <c r="Q173" s="203"/>
      <c r="R173" s="203"/>
      <c r="S173" s="203"/>
      <c r="T173" s="203"/>
      <c r="U173" s="203"/>
      <c r="V173" s="203"/>
      <c r="W173" s="203"/>
      <c r="X173" s="203"/>
      <c r="Y173" s="203"/>
    </row>
    <row r="174" spans="3:25" x14ac:dyDescent="0.25">
      <c r="C174" s="76"/>
      <c r="D174"/>
      <c r="J174" s="211"/>
      <c r="K174" s="211"/>
      <c r="L174" s="211"/>
      <c r="M174" s="211"/>
      <c r="N174" s="211"/>
      <c r="O174" s="211"/>
      <c r="P174" s="211"/>
      <c r="Q174" s="211"/>
      <c r="R174" s="211"/>
      <c r="S174" s="211"/>
      <c r="T174" s="211"/>
      <c r="U174" s="211"/>
      <c r="V174" s="211"/>
      <c r="W174" s="211"/>
      <c r="X174" s="211"/>
      <c r="Y174" s="211"/>
    </row>
    <row r="175" spans="3:25" x14ac:dyDescent="0.25">
      <c r="C175" s="76"/>
      <c r="E175" s="52" t="s">
        <v>116</v>
      </c>
      <c r="J175" s="211"/>
      <c r="K175" s="211"/>
      <c r="L175" s="211"/>
      <c r="M175" s="211"/>
      <c r="N175" s="211"/>
      <c r="O175" s="211"/>
      <c r="P175" s="211"/>
      <c r="Q175" s="211"/>
      <c r="R175" s="211"/>
      <c r="S175" s="211"/>
      <c r="T175" s="211"/>
      <c r="U175" s="211"/>
      <c r="V175" s="211"/>
      <c r="W175" s="211"/>
      <c r="X175" s="211"/>
      <c r="Y175" s="211"/>
    </row>
    <row r="176" spans="3:25" x14ac:dyDescent="0.25">
      <c r="C176" s="76"/>
      <c r="F176" s="80" t="s">
        <v>267</v>
      </c>
      <c r="G176" s="80" t="s">
        <v>251</v>
      </c>
      <c r="H176" s="80"/>
      <c r="I176" s="80"/>
      <c r="J176" s="227">
        <f t="shared" ref="J176:K176" si="104">hundred*J94*$H65*J80/$H37/days_in_year/(1+$H23)*PowerFactor</f>
        <v>0</v>
      </c>
      <c r="K176" s="227">
        <f t="shared" si="104"/>
        <v>0</v>
      </c>
      <c r="L176" s="227">
        <f t="shared" ref="L176:M176" si="105">hundred*L94*$H65*L80/$H37/days_in_year/(1+$H23)*PowerFactor</f>
        <v>0</v>
      </c>
      <c r="M176" s="227">
        <f t="shared" si="105"/>
        <v>0</v>
      </c>
      <c r="N176" s="227">
        <f t="shared" ref="N176:P176" si="106">hundred*N94*$H65*N80/$H37/days_in_year/(1+$H23)*PowerFactor</f>
        <v>0</v>
      </c>
      <c r="O176" s="227">
        <f t="shared" si="106"/>
        <v>0</v>
      </c>
      <c r="P176" s="227">
        <f t="shared" si="106"/>
        <v>0</v>
      </c>
      <c r="Q176" s="227">
        <f t="shared" ref="Q176" si="107">hundred*Q94*$H65*Q80/$H37/days_in_year/(1+$H23)*PowerFactor</f>
        <v>0</v>
      </c>
      <c r="R176" s="201"/>
      <c r="S176" s="201"/>
      <c r="T176" s="201"/>
      <c r="U176" s="201"/>
      <c r="V176" s="201"/>
      <c r="W176" s="201"/>
      <c r="X176" s="201"/>
      <c r="Y176" s="201"/>
    </row>
    <row r="177" spans="3:27" x14ac:dyDescent="0.25">
      <c r="C177" s="76"/>
      <c r="F177" t="s">
        <v>43</v>
      </c>
      <c r="G177" t="s">
        <v>251</v>
      </c>
      <c r="J177" s="231">
        <f t="shared" ref="J177:K177" si="108">hundred*J94*$H66*J81/$H38/days_in_year/(1+$H24)*PowerFactor</f>
        <v>0</v>
      </c>
      <c r="K177" s="231">
        <f t="shared" si="108"/>
        <v>0</v>
      </c>
      <c r="L177" s="231">
        <f t="shared" ref="L177:M177" si="109">hundred*L94*$H66*L81/$H38/days_in_year/(1+$H24)*PowerFactor</f>
        <v>0</v>
      </c>
      <c r="M177" s="231">
        <f t="shared" si="109"/>
        <v>0</v>
      </c>
      <c r="N177" s="231">
        <f t="shared" ref="N177:P177" si="110">hundred*N94*$H66*N81/$H38/days_in_year/(1+$H24)*PowerFactor</f>
        <v>0</v>
      </c>
      <c r="O177" s="231">
        <f t="shared" si="110"/>
        <v>0</v>
      </c>
      <c r="P177" s="231">
        <f t="shared" si="110"/>
        <v>0</v>
      </c>
      <c r="Q177" s="231">
        <f t="shared" ref="Q177" si="111">hundred*Q94*$H66*Q81/$H38/days_in_year/(1+$H24)*PowerFactor</f>
        <v>0</v>
      </c>
      <c r="R177" s="234"/>
      <c r="S177" s="234"/>
      <c r="T177" s="234"/>
      <c r="U177" s="234"/>
      <c r="V177" s="234"/>
      <c r="W177" s="234"/>
      <c r="X177" s="234"/>
      <c r="Y177" s="234"/>
    </row>
    <row r="178" spans="3:27" x14ac:dyDescent="0.25">
      <c r="C178" s="76"/>
      <c r="F178" t="s">
        <v>44</v>
      </c>
      <c r="G178" t="s">
        <v>251</v>
      </c>
      <c r="J178" s="231">
        <f t="shared" ref="J178:K178" si="112">hundred*J95*$H67*J82/$H39/days_in_year/(1+$H25)*PowerFactor</f>
        <v>0</v>
      </c>
      <c r="K178" s="231">
        <f t="shared" si="112"/>
        <v>0</v>
      </c>
      <c r="L178" s="231">
        <f t="shared" ref="L178:M178" si="113">hundred*L95*$H67*L82/$H39/days_in_year/(1+$H25)*PowerFactor</f>
        <v>0</v>
      </c>
      <c r="M178" s="231">
        <f t="shared" si="113"/>
        <v>0</v>
      </c>
      <c r="N178" s="231">
        <f t="shared" ref="N178:P178" si="114">hundred*N95*$H67*N82/$H39/days_in_year/(1+$H25)*PowerFactor</f>
        <v>0</v>
      </c>
      <c r="O178" s="231">
        <f t="shared" si="114"/>
        <v>0</v>
      </c>
      <c r="P178" s="231">
        <f t="shared" si="114"/>
        <v>0</v>
      </c>
      <c r="Q178" s="231">
        <f t="shared" ref="Q178" si="115">hundred*Q95*$H67*Q82/$H39/days_in_year/(1+$H25)*PowerFactor</f>
        <v>0</v>
      </c>
      <c r="R178" s="234"/>
      <c r="S178" s="234"/>
      <c r="T178" s="234"/>
      <c r="U178" s="234"/>
      <c r="V178" s="234"/>
      <c r="W178" s="234"/>
      <c r="X178" s="234"/>
      <c r="Y178" s="234"/>
    </row>
    <row r="179" spans="3:27" x14ac:dyDescent="0.25">
      <c r="C179" s="76"/>
      <c r="F179" t="s">
        <v>45</v>
      </c>
      <c r="G179" t="s">
        <v>251</v>
      </c>
      <c r="J179" s="231">
        <f t="shared" ref="J179:K179" si="116">hundred*J96*$H68*J83/$H40/days_in_year/(1+$H26)*PowerFactor</f>
        <v>0</v>
      </c>
      <c r="K179" s="231">
        <f t="shared" si="116"/>
        <v>0</v>
      </c>
      <c r="L179" s="231">
        <f t="shared" ref="L179:M179" si="117">hundred*L96*$H68*L83/$H40/days_in_year/(1+$H26)*PowerFactor</f>
        <v>0</v>
      </c>
      <c r="M179" s="231">
        <f t="shared" si="117"/>
        <v>0</v>
      </c>
      <c r="N179" s="231">
        <f t="shared" ref="N179:P179" si="118">hundred*N96*$H68*N83/$H40/days_in_year/(1+$H26)*PowerFactor</f>
        <v>0</v>
      </c>
      <c r="O179" s="231">
        <f t="shared" si="118"/>
        <v>0</v>
      </c>
      <c r="P179" s="231">
        <f t="shared" si="118"/>
        <v>0</v>
      </c>
      <c r="Q179" s="231">
        <f t="shared" ref="Q179" si="119">hundred*Q96*$H68*Q83/$H40/days_in_year/(1+$H26)*PowerFactor</f>
        <v>0</v>
      </c>
      <c r="R179" s="234"/>
      <c r="S179" s="234"/>
      <c r="T179" s="234"/>
      <c r="U179" s="234"/>
      <c r="V179" s="234"/>
      <c r="W179" s="234"/>
      <c r="X179" s="234"/>
      <c r="Y179" s="234"/>
    </row>
    <row r="180" spans="3:27" x14ac:dyDescent="0.25">
      <c r="C180" s="76"/>
      <c r="F180" t="s">
        <v>46</v>
      </c>
      <c r="G180" t="s">
        <v>251</v>
      </c>
      <c r="J180" s="231">
        <f t="shared" ref="J180:K180" si="120">hundred*J97*$H69*J84/$H41/days_in_year/(1+$H27)*PowerFactor</f>
        <v>0</v>
      </c>
      <c r="K180" s="231">
        <f t="shared" si="120"/>
        <v>0</v>
      </c>
      <c r="L180" s="231">
        <f t="shared" ref="L180:M180" si="121">hundred*L97*$H69*L84/$H41/days_in_year/(1+$H27)*PowerFactor</f>
        <v>0</v>
      </c>
      <c r="M180" s="231">
        <f t="shared" si="121"/>
        <v>0</v>
      </c>
      <c r="N180" s="231">
        <f t="shared" ref="N180:P180" si="122">hundred*N97*$H69*N84/$H41/days_in_year/(1+$H27)*PowerFactor</f>
        <v>0</v>
      </c>
      <c r="O180" s="231">
        <f t="shared" si="122"/>
        <v>0</v>
      </c>
      <c r="P180" s="231">
        <f t="shared" si="122"/>
        <v>0.47104159844791305</v>
      </c>
      <c r="Q180" s="231">
        <f t="shared" ref="Q180" si="123">hundred*Q97*$H69*Q84/$H41/days_in_year/(1+$H27)*PowerFactor</f>
        <v>0</v>
      </c>
      <c r="R180" s="234"/>
      <c r="S180" s="234"/>
      <c r="T180" s="234"/>
      <c r="U180" s="234"/>
      <c r="V180" s="234"/>
      <c r="W180" s="234"/>
      <c r="X180" s="234"/>
      <c r="Y180" s="234"/>
    </row>
    <row r="181" spans="3:27" x14ac:dyDescent="0.25">
      <c r="C181" s="76"/>
      <c r="F181" t="s">
        <v>47</v>
      </c>
      <c r="G181" t="s">
        <v>251</v>
      </c>
      <c r="J181" s="231">
        <f t="shared" ref="J181:K181" si="124">hundred*J98*$H70*J85/$H42/days_in_year/(1+$H28)*PowerFactor</f>
        <v>0</v>
      </c>
      <c r="K181" s="231">
        <f t="shared" si="124"/>
        <v>0</v>
      </c>
      <c r="L181" s="231">
        <f t="shared" ref="L181:M181" si="125">hundred*L98*$H70*L85/$H42/days_in_year/(1+$H28)*PowerFactor</f>
        <v>0</v>
      </c>
      <c r="M181" s="231">
        <f t="shared" si="125"/>
        <v>0</v>
      </c>
      <c r="N181" s="231">
        <f t="shared" ref="N181:P181" si="126">hundred*N98*$H70*N85/$H42/days_in_year/(1+$H28)*PowerFactor</f>
        <v>0</v>
      </c>
      <c r="O181" s="231">
        <f t="shared" si="126"/>
        <v>0</v>
      </c>
      <c r="P181" s="231">
        <f t="shared" si="126"/>
        <v>0.60351006773395999</v>
      </c>
      <c r="Q181" s="231">
        <f t="shared" ref="Q181" si="127">hundred*Q98*$H70*Q85/$H42/days_in_year/(1+$H28)*PowerFactor</f>
        <v>0</v>
      </c>
      <c r="R181" s="234"/>
      <c r="S181" s="234"/>
      <c r="T181" s="234"/>
      <c r="U181" s="234"/>
      <c r="V181" s="234"/>
      <c r="W181" s="234"/>
      <c r="X181" s="234"/>
      <c r="Y181" s="234"/>
    </row>
    <row r="182" spans="3:27" x14ac:dyDescent="0.25">
      <c r="C182" s="76"/>
      <c r="F182" t="s">
        <v>51</v>
      </c>
      <c r="G182" t="s">
        <v>251</v>
      </c>
      <c r="J182" s="231">
        <f t="shared" ref="J182:K182" si="128">hundred*J99*$H71*J86/$H43/days_in_year/(1+$H29)*PowerFactor</f>
        <v>0</v>
      </c>
      <c r="K182" s="231">
        <f t="shared" si="128"/>
        <v>0</v>
      </c>
      <c r="L182" s="231">
        <f t="shared" ref="L182:M182" si="129">hundred*L99*$H71*L86/$H43/days_in_year/(1+$H29)*PowerFactor</f>
        <v>0</v>
      </c>
      <c r="M182" s="231">
        <f t="shared" si="129"/>
        <v>0</v>
      </c>
      <c r="N182" s="231">
        <f t="shared" ref="N182:P182" si="130">hundred*N99*$H71*N86/$H43/days_in_year/(1+$H29)*PowerFactor</f>
        <v>0</v>
      </c>
      <c r="O182" s="231">
        <f t="shared" si="130"/>
        <v>0</v>
      </c>
      <c r="P182" s="231">
        <f t="shared" si="130"/>
        <v>0</v>
      </c>
      <c r="Q182" s="231">
        <f t="shared" ref="Q182" si="131">hundred*Q99*$H71*Q86/$H43/days_in_year/(1+$H29)*PowerFactor</f>
        <v>0</v>
      </c>
      <c r="R182" s="234"/>
      <c r="S182" s="234"/>
      <c r="T182" s="234"/>
      <c r="U182" s="234"/>
      <c r="V182" s="234"/>
      <c r="W182" s="234"/>
      <c r="X182" s="234"/>
      <c r="Y182" s="234"/>
    </row>
    <row r="183" spans="3:27" x14ac:dyDescent="0.25">
      <c r="C183" s="76"/>
      <c r="F183" t="s">
        <v>48</v>
      </c>
      <c r="G183" t="s">
        <v>251</v>
      </c>
      <c r="J183" s="231">
        <f t="shared" ref="J183:K183" si="132">hundred*J100*$H72*J87/$H44/days_in_year/(1+$H30)*PowerFactor</f>
        <v>0</v>
      </c>
      <c r="K183" s="231">
        <f t="shared" si="132"/>
        <v>0</v>
      </c>
      <c r="L183" s="231">
        <f t="shared" ref="L183:M183" si="133">hundred*L100*$H72*L87/$H44/days_in_year/(1+$H30)*PowerFactor</f>
        <v>0</v>
      </c>
      <c r="M183" s="231">
        <f t="shared" si="133"/>
        <v>0</v>
      </c>
      <c r="N183" s="231">
        <f t="shared" ref="N183:P183" si="134">hundred*N100*$H72*N87/$H44/days_in_year/(1+$H30)*PowerFactor</f>
        <v>0.44827039475139796</v>
      </c>
      <c r="O183" s="231">
        <f t="shared" si="134"/>
        <v>2.1176212313142959</v>
      </c>
      <c r="P183" s="231">
        <f t="shared" si="134"/>
        <v>2.0770537747757079</v>
      </c>
      <c r="Q183" s="231">
        <f t="shared" ref="Q183" si="135">hundred*Q100*$H72*Q87/$H44/days_in_year/(1+$H30)*PowerFactor</f>
        <v>0</v>
      </c>
      <c r="R183" s="234"/>
      <c r="S183" s="234"/>
      <c r="T183" s="234"/>
      <c r="U183" s="234"/>
      <c r="V183" s="234"/>
      <c r="W183" s="234"/>
      <c r="X183" s="234"/>
      <c r="Y183" s="234"/>
    </row>
    <row r="184" spans="3:27" x14ac:dyDescent="0.25">
      <c r="C184" s="76"/>
      <c r="F184" t="s">
        <v>49</v>
      </c>
      <c r="G184" t="s">
        <v>251</v>
      </c>
      <c r="J184" s="231">
        <f t="shared" ref="J184:K184" si="136">hundred*J101*$H73*J88/$H45/days_in_year/(1+$H31)*PowerFactor</f>
        <v>0</v>
      </c>
      <c r="K184" s="231">
        <f t="shared" si="136"/>
        <v>0</v>
      </c>
      <c r="L184" s="231">
        <f t="shared" ref="L184:M184" si="137">hundred*L101*$H73*L88/$H45/days_in_year/(1+$H31)*PowerFactor</f>
        <v>0</v>
      </c>
      <c r="M184" s="231">
        <f t="shared" si="137"/>
        <v>0</v>
      </c>
      <c r="N184" s="231">
        <f t="shared" ref="N184:P184" si="138">hundred*N101*$H73*N88/$H45/days_in_year/(1+$H31)*PowerFactor</f>
        <v>0.56331521583983291</v>
      </c>
      <c r="O184" s="231">
        <f t="shared" si="138"/>
        <v>0.53221817677537153</v>
      </c>
      <c r="P184" s="231">
        <f t="shared" si="138"/>
        <v>0</v>
      </c>
      <c r="Q184" s="231">
        <f t="shared" ref="Q184" si="139">hundred*Q101*$H73*Q88/$H45/days_in_year/(1+$H31)*PowerFactor</f>
        <v>0</v>
      </c>
      <c r="R184" s="234"/>
      <c r="S184" s="234"/>
      <c r="T184" s="234"/>
      <c r="U184" s="234"/>
      <c r="V184" s="234"/>
      <c r="W184" s="234"/>
      <c r="X184" s="234"/>
      <c r="Y184" s="234"/>
    </row>
    <row r="185" spans="3:27" x14ac:dyDescent="0.25">
      <c r="C185" s="76"/>
      <c r="F185" t="s">
        <v>50</v>
      </c>
      <c r="G185" t="s">
        <v>251</v>
      </c>
      <c r="J185" s="231">
        <f t="shared" ref="J185:K185" si="140">hundred*J102*$H74*J89/$H46/days_in_year/(1+$H32)*PowerFactor</f>
        <v>0.81944050032241544</v>
      </c>
      <c r="K185" s="231">
        <f t="shared" si="140"/>
        <v>0.81944050032241544</v>
      </c>
      <c r="L185" s="231">
        <f t="shared" ref="L185:M185" si="141">hundred*L102*$H74*L89/$H46/days_in_year/(1+$H32)*PowerFactor</f>
        <v>0.81944050032241544</v>
      </c>
      <c r="M185" s="231">
        <f t="shared" si="141"/>
        <v>0.81944050032241544</v>
      </c>
      <c r="N185" s="231">
        <f t="shared" ref="N185:P185" si="142">hundred*N102*$H74*N89/$H46/days_in_year/(1+$H32)*PowerFactor</f>
        <v>0.81944050032241544</v>
      </c>
      <c r="O185" s="231">
        <f t="shared" si="142"/>
        <v>0</v>
      </c>
      <c r="P185" s="231">
        <f t="shared" si="142"/>
        <v>0</v>
      </c>
      <c r="Q185" s="231">
        <f t="shared" ref="Q185" si="143">hundred*Q102*$H74*Q89/$H46/days_in_year/(1+$H32)*PowerFactor</f>
        <v>0</v>
      </c>
      <c r="R185" s="234"/>
      <c r="S185" s="234"/>
      <c r="T185" s="234"/>
      <c r="U185" s="234"/>
      <c r="V185" s="234"/>
      <c r="W185" s="234"/>
      <c r="X185" s="234"/>
      <c r="Y185" s="234"/>
    </row>
    <row r="186" spans="3:27" x14ac:dyDescent="0.25">
      <c r="C186" s="76"/>
      <c r="F186" t="s">
        <v>124</v>
      </c>
      <c r="G186" t="s">
        <v>251</v>
      </c>
      <c r="J186" s="234"/>
      <c r="K186" s="234"/>
      <c r="L186" s="234"/>
      <c r="M186" s="234"/>
      <c r="N186" s="234"/>
      <c r="O186" s="234"/>
      <c r="P186" s="234"/>
      <c r="Q186" s="234"/>
      <c r="R186" s="234"/>
      <c r="S186" s="234"/>
      <c r="T186" s="234"/>
      <c r="U186" s="234"/>
      <c r="V186" s="234"/>
      <c r="W186" s="234"/>
      <c r="X186" s="234"/>
      <c r="Y186" s="234"/>
    </row>
    <row r="187" spans="3:27" x14ac:dyDescent="0.25">
      <c r="C187" s="76"/>
      <c r="F187" s="17" t="s">
        <v>123</v>
      </c>
      <c r="G187" s="17" t="s">
        <v>251</v>
      </c>
      <c r="H187" s="17"/>
      <c r="I187" s="17"/>
      <c r="J187" s="203"/>
      <c r="K187" s="203"/>
      <c r="L187" s="203"/>
      <c r="M187" s="203"/>
      <c r="N187" s="203"/>
      <c r="O187" s="203"/>
      <c r="P187" s="203"/>
      <c r="Q187" s="203"/>
      <c r="R187" s="203"/>
      <c r="S187" s="203"/>
      <c r="T187" s="203"/>
      <c r="U187" s="203"/>
      <c r="V187" s="203"/>
      <c r="W187" s="203"/>
      <c r="X187" s="203"/>
      <c r="Y187" s="203"/>
    </row>
    <row r="188" spans="3:27" x14ac:dyDescent="0.25">
      <c r="C188" s="76"/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</row>
    <row r="189" spans="3:27" x14ac:dyDescent="0.25">
      <c r="C189" s="5" t="str">
        <f ca="1">INDEX('Version control'!$H$36:$H$62,MATCH($A$1,'Version control'!$F$36:$F$62,0),1)&amp;"-D: Capacity charges for eligible customers, by network level"</f>
        <v>Section 515-D: Capacity charges for eligible customers, by network level</v>
      </c>
      <c r="D189" s="5"/>
      <c r="E189" s="5"/>
      <c r="F189" s="5"/>
      <c r="G189" s="5"/>
      <c r="H189" s="5"/>
      <c r="I189" s="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5"/>
      <c r="AA189" s="5"/>
    </row>
    <row r="190" spans="3:27" x14ac:dyDescent="0.25">
      <c r="D190" s="52"/>
      <c r="E190" s="52"/>
      <c r="I190" t="s">
        <v>359</v>
      </c>
      <c r="J190" s="211"/>
      <c r="K190" s="211"/>
      <c r="L190" s="211"/>
      <c r="M190" s="211"/>
      <c r="N190" s="211"/>
      <c r="O190" s="211"/>
      <c r="P190" s="211"/>
      <c r="Q190" s="211"/>
      <c r="R190" s="211"/>
      <c r="S190" s="211"/>
      <c r="T190" s="211"/>
      <c r="U190" s="211"/>
      <c r="V190" s="211"/>
      <c r="W190" s="211"/>
      <c r="X190" s="211"/>
      <c r="Y190" s="211"/>
      <c r="AA190" t="s">
        <v>739</v>
      </c>
    </row>
    <row r="191" spans="3:27" x14ac:dyDescent="0.25">
      <c r="C191" s="76"/>
      <c r="D191"/>
      <c r="E191" s="52" t="s">
        <v>139</v>
      </c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</row>
    <row r="192" spans="3:27" x14ac:dyDescent="0.25">
      <c r="C192" s="76"/>
      <c r="D192"/>
      <c r="F192" s="80" t="s">
        <v>267</v>
      </c>
      <c r="G192" s="80" t="s">
        <v>251</v>
      </c>
      <c r="H192" s="80"/>
      <c r="I192" s="80"/>
      <c r="J192" s="201"/>
      <c r="K192" s="201"/>
      <c r="L192" s="201"/>
      <c r="M192" s="201"/>
      <c r="N192" s="201"/>
      <c r="O192" s="201"/>
      <c r="P192" s="201"/>
      <c r="Q192" s="201"/>
      <c r="R192" s="201"/>
      <c r="S192" s="201"/>
      <c r="T192" s="201"/>
      <c r="U192" s="201"/>
      <c r="V192" s="201"/>
      <c r="W192" s="201"/>
      <c r="X192" s="201"/>
      <c r="Y192" s="201"/>
    </row>
    <row r="193" spans="3:25" x14ac:dyDescent="0.25">
      <c r="C193" s="76"/>
      <c r="D193"/>
      <c r="F193" t="s">
        <v>43</v>
      </c>
      <c r="G193" t="s">
        <v>251</v>
      </c>
      <c r="J193" s="234"/>
      <c r="K193" s="234"/>
      <c r="L193" s="234"/>
      <c r="M193" s="234"/>
      <c r="N193" s="234"/>
      <c r="O193" s="234"/>
      <c r="P193" s="234"/>
      <c r="Q193" s="234"/>
      <c r="R193" s="234"/>
      <c r="S193" s="234"/>
      <c r="T193" s="234"/>
      <c r="U193" s="234"/>
      <c r="V193" s="234"/>
      <c r="W193" s="234"/>
      <c r="X193" s="234"/>
      <c r="Y193" s="234"/>
    </row>
    <row r="194" spans="3:25" x14ac:dyDescent="0.25">
      <c r="C194" s="76"/>
      <c r="D194"/>
      <c r="F194" t="s">
        <v>44</v>
      </c>
      <c r="G194" t="s">
        <v>251</v>
      </c>
      <c r="J194" s="231">
        <f t="shared" ref="J194:Q201" si="144">J$121 * J134</f>
        <v>0</v>
      </c>
      <c r="K194" s="231">
        <f t="shared" si="144"/>
        <v>0</v>
      </c>
      <c r="L194" s="231">
        <f t="shared" si="144"/>
        <v>0</v>
      </c>
      <c r="M194" s="231">
        <f t="shared" si="144"/>
        <v>0</v>
      </c>
      <c r="N194" s="231">
        <f t="shared" si="144"/>
        <v>0</v>
      </c>
      <c r="O194" s="231">
        <f t="shared" si="144"/>
        <v>0</v>
      </c>
      <c r="P194" s="231">
        <f t="shared" si="144"/>
        <v>0</v>
      </c>
      <c r="Q194" s="231">
        <f t="shared" si="144"/>
        <v>0</v>
      </c>
      <c r="R194" s="234"/>
      <c r="S194" s="234"/>
      <c r="T194" s="234"/>
      <c r="U194" s="234"/>
      <c r="V194" s="234"/>
      <c r="W194" s="234"/>
      <c r="X194" s="234"/>
      <c r="Y194" s="234"/>
    </row>
    <row r="195" spans="3:25" x14ac:dyDescent="0.25">
      <c r="C195" s="76"/>
      <c r="D195"/>
      <c r="F195" t="s">
        <v>45</v>
      </c>
      <c r="G195" t="s">
        <v>251</v>
      </c>
      <c r="J195" s="231">
        <f t="shared" si="144"/>
        <v>0</v>
      </c>
      <c r="K195" s="231">
        <f t="shared" si="144"/>
        <v>0</v>
      </c>
      <c r="L195" s="231">
        <f t="shared" si="144"/>
        <v>0</v>
      </c>
      <c r="M195" s="231">
        <f t="shared" si="144"/>
        <v>0</v>
      </c>
      <c r="N195" s="231">
        <f t="shared" si="144"/>
        <v>0</v>
      </c>
      <c r="O195" s="231">
        <f t="shared" si="144"/>
        <v>0</v>
      </c>
      <c r="P195" s="231">
        <f t="shared" si="144"/>
        <v>0</v>
      </c>
      <c r="Q195" s="231">
        <f t="shared" si="144"/>
        <v>0</v>
      </c>
      <c r="R195" s="234"/>
      <c r="S195" s="234"/>
      <c r="T195" s="234"/>
      <c r="U195" s="234"/>
      <c r="V195" s="234"/>
      <c r="W195" s="234"/>
      <c r="X195" s="234"/>
      <c r="Y195" s="234"/>
    </row>
    <row r="196" spans="3:25" x14ac:dyDescent="0.25">
      <c r="C196" s="76"/>
      <c r="D196"/>
      <c r="F196" t="s">
        <v>46</v>
      </c>
      <c r="G196" t="s">
        <v>251</v>
      </c>
      <c r="J196" s="231">
        <f t="shared" si="144"/>
        <v>0</v>
      </c>
      <c r="K196" s="231">
        <f t="shared" si="144"/>
        <v>0</v>
      </c>
      <c r="L196" s="231">
        <f t="shared" si="144"/>
        <v>0</v>
      </c>
      <c r="M196" s="231">
        <f t="shared" si="144"/>
        <v>0</v>
      </c>
      <c r="N196" s="231">
        <f t="shared" si="144"/>
        <v>0</v>
      </c>
      <c r="O196" s="231">
        <f t="shared" si="144"/>
        <v>0</v>
      </c>
      <c r="P196" s="231">
        <f t="shared" si="144"/>
        <v>0.60840428572386251</v>
      </c>
      <c r="Q196" s="231">
        <f t="shared" si="144"/>
        <v>0</v>
      </c>
      <c r="R196" s="234"/>
      <c r="S196" s="234"/>
      <c r="T196" s="234"/>
      <c r="U196" s="234"/>
      <c r="V196" s="234"/>
      <c r="W196" s="234"/>
      <c r="X196" s="234"/>
      <c r="Y196" s="234"/>
    </row>
    <row r="197" spans="3:25" x14ac:dyDescent="0.25">
      <c r="C197" s="76"/>
      <c r="D197"/>
      <c r="F197" t="s">
        <v>47</v>
      </c>
      <c r="G197" t="s">
        <v>251</v>
      </c>
      <c r="J197" s="231">
        <f t="shared" si="144"/>
        <v>0</v>
      </c>
      <c r="K197" s="231">
        <f t="shared" si="144"/>
        <v>0</v>
      </c>
      <c r="L197" s="231">
        <f t="shared" si="144"/>
        <v>0</v>
      </c>
      <c r="M197" s="231">
        <f t="shared" si="144"/>
        <v>0</v>
      </c>
      <c r="N197" s="231">
        <f t="shared" si="144"/>
        <v>0</v>
      </c>
      <c r="O197" s="231">
        <f t="shared" si="144"/>
        <v>0</v>
      </c>
      <c r="P197" s="231">
        <f t="shared" si="144"/>
        <v>0.69018260693537314</v>
      </c>
      <c r="Q197" s="231">
        <f t="shared" si="144"/>
        <v>0</v>
      </c>
      <c r="R197" s="234"/>
      <c r="S197" s="234"/>
      <c r="T197" s="234"/>
      <c r="U197" s="234"/>
      <c r="V197" s="234"/>
      <c r="W197" s="234"/>
      <c r="X197" s="234"/>
      <c r="Y197" s="234"/>
    </row>
    <row r="198" spans="3:25" x14ac:dyDescent="0.25">
      <c r="C198" s="76"/>
      <c r="D198"/>
      <c r="F198" t="s">
        <v>51</v>
      </c>
      <c r="G198" t="s">
        <v>251</v>
      </c>
      <c r="J198" s="231">
        <f t="shared" si="144"/>
        <v>0</v>
      </c>
      <c r="K198" s="231">
        <f t="shared" si="144"/>
        <v>0</v>
      </c>
      <c r="L198" s="231">
        <f t="shared" si="144"/>
        <v>0</v>
      </c>
      <c r="M198" s="231">
        <f t="shared" si="144"/>
        <v>0</v>
      </c>
      <c r="N198" s="231">
        <f t="shared" si="144"/>
        <v>0</v>
      </c>
      <c r="O198" s="231">
        <f t="shared" si="144"/>
        <v>0</v>
      </c>
      <c r="P198" s="231">
        <f t="shared" si="144"/>
        <v>0</v>
      </c>
      <c r="Q198" s="231">
        <f t="shared" si="144"/>
        <v>0</v>
      </c>
      <c r="R198" s="234"/>
      <c r="S198" s="234"/>
      <c r="T198" s="234"/>
      <c r="U198" s="234"/>
      <c r="V198" s="234"/>
      <c r="W198" s="234"/>
      <c r="X198" s="234"/>
      <c r="Y198" s="234"/>
    </row>
    <row r="199" spans="3:25" x14ac:dyDescent="0.25">
      <c r="C199" s="76"/>
      <c r="D199"/>
      <c r="F199" t="s">
        <v>48</v>
      </c>
      <c r="G199" t="s">
        <v>251</v>
      </c>
      <c r="J199" s="231">
        <f t="shared" si="144"/>
        <v>0</v>
      </c>
      <c r="K199" s="231">
        <f t="shared" si="144"/>
        <v>0</v>
      </c>
      <c r="L199" s="231">
        <f t="shared" si="144"/>
        <v>0</v>
      </c>
      <c r="M199" s="231">
        <f t="shared" si="144"/>
        <v>0</v>
      </c>
      <c r="N199" s="231">
        <f t="shared" si="144"/>
        <v>0.47767248219122854</v>
      </c>
      <c r="O199" s="231">
        <f t="shared" si="144"/>
        <v>2.2565161602155781</v>
      </c>
      <c r="P199" s="231">
        <f t="shared" si="144"/>
        <v>1.5188147291093788</v>
      </c>
      <c r="Q199" s="231">
        <f t="shared" si="144"/>
        <v>0</v>
      </c>
      <c r="R199" s="234"/>
      <c r="S199" s="234"/>
      <c r="T199" s="234"/>
      <c r="U199" s="234"/>
      <c r="V199" s="234"/>
      <c r="W199" s="234"/>
      <c r="X199" s="234"/>
      <c r="Y199" s="234"/>
    </row>
    <row r="200" spans="3:25" x14ac:dyDescent="0.25">
      <c r="C200" s="76"/>
      <c r="D200"/>
      <c r="F200" t="s">
        <v>49</v>
      </c>
      <c r="G200" t="s">
        <v>251</v>
      </c>
      <c r="J200" s="231">
        <f t="shared" si="144"/>
        <v>0</v>
      </c>
      <c r="K200" s="231">
        <f t="shared" si="144"/>
        <v>0</v>
      </c>
      <c r="L200" s="231">
        <f t="shared" si="144"/>
        <v>0</v>
      </c>
      <c r="M200" s="231">
        <f t="shared" si="144"/>
        <v>0</v>
      </c>
      <c r="N200" s="231">
        <f t="shared" si="144"/>
        <v>0.5484233542949003</v>
      </c>
      <c r="O200" s="231">
        <f t="shared" si="144"/>
        <v>0.51814839989491035</v>
      </c>
      <c r="P200" s="231">
        <f t="shared" si="144"/>
        <v>0</v>
      </c>
      <c r="Q200" s="231">
        <f t="shared" si="144"/>
        <v>0</v>
      </c>
      <c r="R200" s="234"/>
      <c r="S200" s="234"/>
      <c r="T200" s="234"/>
      <c r="U200" s="234"/>
      <c r="V200" s="234"/>
      <c r="W200" s="234"/>
      <c r="X200" s="234"/>
      <c r="Y200" s="234"/>
    </row>
    <row r="201" spans="3:25" x14ac:dyDescent="0.25">
      <c r="C201" s="76"/>
      <c r="D201"/>
      <c r="F201" t="s">
        <v>50</v>
      </c>
      <c r="G201" t="s">
        <v>251</v>
      </c>
      <c r="J201" s="231">
        <f t="shared" si="144"/>
        <v>0</v>
      </c>
      <c r="K201" s="231">
        <f t="shared" si="144"/>
        <v>0</v>
      </c>
      <c r="L201" s="231">
        <f t="shared" si="144"/>
        <v>0</v>
      </c>
      <c r="M201" s="231">
        <f t="shared" si="144"/>
        <v>0</v>
      </c>
      <c r="N201" s="231">
        <f t="shared" si="144"/>
        <v>8.3328821801881808E-2</v>
      </c>
      <c r="O201" s="231">
        <f t="shared" si="144"/>
        <v>0</v>
      </c>
      <c r="P201" s="231">
        <f t="shared" si="144"/>
        <v>0</v>
      </c>
      <c r="Q201" s="231">
        <f t="shared" si="144"/>
        <v>0</v>
      </c>
      <c r="R201" s="234"/>
      <c r="S201" s="234"/>
      <c r="T201" s="234"/>
      <c r="U201" s="234"/>
      <c r="V201" s="234"/>
      <c r="W201" s="234"/>
      <c r="X201" s="234"/>
      <c r="Y201" s="234"/>
    </row>
    <row r="202" spans="3:25" x14ac:dyDescent="0.25">
      <c r="C202" s="76"/>
      <c r="D202"/>
      <c r="F202" t="s">
        <v>124</v>
      </c>
      <c r="G202" t="s">
        <v>251</v>
      </c>
      <c r="J202" s="234"/>
      <c r="K202" s="234"/>
      <c r="L202" s="234"/>
      <c r="M202" s="234"/>
      <c r="N202" s="234"/>
      <c r="O202" s="234"/>
      <c r="P202" s="234"/>
      <c r="Q202" s="234"/>
      <c r="R202" s="234"/>
      <c r="S202" s="234"/>
      <c r="T202" s="234"/>
      <c r="U202" s="234"/>
      <c r="V202" s="234"/>
      <c r="W202" s="234"/>
      <c r="X202" s="234"/>
      <c r="Y202" s="234"/>
    </row>
    <row r="203" spans="3:25" x14ac:dyDescent="0.25">
      <c r="C203" s="76"/>
      <c r="D203"/>
      <c r="F203" s="17" t="s">
        <v>123</v>
      </c>
      <c r="G203" s="17" t="s">
        <v>251</v>
      </c>
      <c r="H203" s="17"/>
      <c r="I203" s="17"/>
      <c r="J203" s="203"/>
      <c r="K203" s="203"/>
      <c r="L203" s="203"/>
      <c r="M203" s="203"/>
      <c r="N203" s="203"/>
      <c r="O203" s="203"/>
      <c r="P203" s="203"/>
      <c r="Q203" s="203"/>
      <c r="R203" s="203"/>
      <c r="S203" s="203"/>
      <c r="T203" s="203"/>
      <c r="U203" s="203"/>
      <c r="V203" s="203"/>
      <c r="W203" s="203"/>
      <c r="X203" s="203"/>
      <c r="Y203" s="203"/>
    </row>
    <row r="204" spans="3:25" x14ac:dyDescent="0.25">
      <c r="C204" s="76"/>
      <c r="D204"/>
      <c r="J204" s="211"/>
      <c r="K204" s="211"/>
      <c r="L204" s="211"/>
      <c r="M204" s="211"/>
      <c r="N204" s="211"/>
      <c r="O204" s="211"/>
      <c r="P204" s="211"/>
      <c r="Q204" s="211"/>
      <c r="R204" s="211"/>
      <c r="S204" s="211"/>
      <c r="T204" s="211"/>
      <c r="U204" s="211"/>
      <c r="V204" s="211"/>
      <c r="W204" s="211"/>
      <c r="X204" s="211"/>
      <c r="Y204" s="211"/>
    </row>
    <row r="205" spans="3:25" x14ac:dyDescent="0.25">
      <c r="C205" s="76"/>
      <c r="D205"/>
      <c r="E205" s="52" t="s">
        <v>116</v>
      </c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</row>
    <row r="206" spans="3:25" x14ac:dyDescent="0.25">
      <c r="C206" s="76"/>
      <c r="D206"/>
      <c r="F206" s="80" t="s">
        <v>267</v>
      </c>
      <c r="G206" s="80" t="s">
        <v>251</v>
      </c>
      <c r="H206" s="80"/>
      <c r="I206" s="80"/>
      <c r="J206" s="224">
        <f t="shared" ref="J206:Q215" si="145">J$121 * J146</f>
        <v>0</v>
      </c>
      <c r="K206" s="224">
        <f t="shared" si="145"/>
        <v>0</v>
      </c>
      <c r="L206" s="224">
        <f t="shared" si="145"/>
        <v>0</v>
      </c>
      <c r="M206" s="224">
        <f t="shared" si="145"/>
        <v>0</v>
      </c>
      <c r="N206" s="224">
        <f t="shared" si="145"/>
        <v>0</v>
      </c>
      <c r="O206" s="224">
        <f t="shared" si="145"/>
        <v>0</v>
      </c>
      <c r="P206" s="224">
        <f t="shared" si="145"/>
        <v>0</v>
      </c>
      <c r="Q206" s="224">
        <f t="shared" si="145"/>
        <v>0</v>
      </c>
      <c r="R206" s="201"/>
      <c r="S206" s="201"/>
      <c r="T206" s="201"/>
      <c r="U206" s="201"/>
      <c r="V206" s="201"/>
      <c r="W206" s="201"/>
      <c r="X206" s="201"/>
      <c r="Y206" s="201"/>
    </row>
    <row r="207" spans="3:25" x14ac:dyDescent="0.25">
      <c r="C207" s="76"/>
      <c r="D207"/>
      <c r="F207" t="s">
        <v>43</v>
      </c>
      <c r="G207" t="s">
        <v>251</v>
      </c>
      <c r="J207" s="231">
        <f t="shared" si="145"/>
        <v>0</v>
      </c>
      <c r="K207" s="231">
        <f t="shared" si="145"/>
        <v>0</v>
      </c>
      <c r="L207" s="231">
        <f t="shared" si="145"/>
        <v>0</v>
      </c>
      <c r="M207" s="231">
        <f t="shared" si="145"/>
        <v>0</v>
      </c>
      <c r="N207" s="231">
        <f t="shared" si="145"/>
        <v>0</v>
      </c>
      <c r="O207" s="231">
        <f t="shared" si="145"/>
        <v>0</v>
      </c>
      <c r="P207" s="231">
        <f t="shared" si="145"/>
        <v>0</v>
      </c>
      <c r="Q207" s="231">
        <f t="shared" si="145"/>
        <v>0</v>
      </c>
      <c r="R207" s="234"/>
      <c r="S207" s="234"/>
      <c r="T207" s="234"/>
      <c r="U207" s="234"/>
      <c r="V207" s="234"/>
      <c r="W207" s="234"/>
      <c r="X207" s="234"/>
      <c r="Y207" s="234"/>
    </row>
    <row r="208" spans="3:25" x14ac:dyDescent="0.25">
      <c r="C208" s="76"/>
      <c r="D208"/>
      <c r="F208" t="s">
        <v>44</v>
      </c>
      <c r="G208" t="s">
        <v>251</v>
      </c>
      <c r="J208" s="231">
        <f t="shared" si="145"/>
        <v>0</v>
      </c>
      <c r="K208" s="231">
        <f t="shared" si="145"/>
        <v>0</v>
      </c>
      <c r="L208" s="231">
        <f t="shared" si="145"/>
        <v>0</v>
      </c>
      <c r="M208" s="231">
        <f t="shared" si="145"/>
        <v>0</v>
      </c>
      <c r="N208" s="231">
        <f t="shared" si="145"/>
        <v>0</v>
      </c>
      <c r="O208" s="231">
        <f t="shared" si="145"/>
        <v>0</v>
      </c>
      <c r="P208" s="231">
        <f t="shared" si="145"/>
        <v>0</v>
      </c>
      <c r="Q208" s="231">
        <f t="shared" si="145"/>
        <v>0</v>
      </c>
      <c r="R208" s="234"/>
      <c r="S208" s="234"/>
      <c r="T208" s="234"/>
      <c r="U208" s="234"/>
      <c r="V208" s="234"/>
      <c r="W208" s="234"/>
      <c r="X208" s="234"/>
      <c r="Y208" s="234"/>
    </row>
    <row r="209" spans="3:27" x14ac:dyDescent="0.25">
      <c r="C209" s="76"/>
      <c r="D209"/>
      <c r="F209" t="s">
        <v>45</v>
      </c>
      <c r="G209" t="s">
        <v>251</v>
      </c>
      <c r="J209" s="231">
        <f t="shared" si="145"/>
        <v>0</v>
      </c>
      <c r="K209" s="231">
        <f t="shared" si="145"/>
        <v>0</v>
      </c>
      <c r="L209" s="231">
        <f t="shared" si="145"/>
        <v>0</v>
      </c>
      <c r="M209" s="231">
        <f t="shared" si="145"/>
        <v>0</v>
      </c>
      <c r="N209" s="231">
        <f t="shared" si="145"/>
        <v>0</v>
      </c>
      <c r="O209" s="231">
        <f t="shared" si="145"/>
        <v>0</v>
      </c>
      <c r="P209" s="231">
        <f t="shared" si="145"/>
        <v>0</v>
      </c>
      <c r="Q209" s="231">
        <f t="shared" si="145"/>
        <v>0</v>
      </c>
      <c r="R209" s="234"/>
      <c r="S209" s="234"/>
      <c r="T209" s="234"/>
      <c r="U209" s="234"/>
      <c r="V209" s="234"/>
      <c r="W209" s="234"/>
      <c r="X209" s="234"/>
      <c r="Y209" s="234"/>
    </row>
    <row r="210" spans="3:27" x14ac:dyDescent="0.25">
      <c r="C210" s="76"/>
      <c r="D210"/>
      <c r="F210" t="s">
        <v>46</v>
      </c>
      <c r="G210" t="s">
        <v>251</v>
      </c>
      <c r="J210" s="231">
        <f t="shared" si="145"/>
        <v>0</v>
      </c>
      <c r="K210" s="231">
        <f t="shared" si="145"/>
        <v>0</v>
      </c>
      <c r="L210" s="231">
        <f t="shared" si="145"/>
        <v>0</v>
      </c>
      <c r="M210" s="231">
        <f t="shared" si="145"/>
        <v>0</v>
      </c>
      <c r="N210" s="231">
        <f t="shared" si="145"/>
        <v>0</v>
      </c>
      <c r="O210" s="231">
        <f t="shared" si="145"/>
        <v>0</v>
      </c>
      <c r="P210" s="231">
        <f t="shared" si="145"/>
        <v>0.47104159844791305</v>
      </c>
      <c r="Q210" s="231">
        <f t="shared" si="145"/>
        <v>0</v>
      </c>
      <c r="R210" s="234"/>
      <c r="S210" s="234"/>
      <c r="T210" s="234"/>
      <c r="U210" s="234"/>
      <c r="V210" s="234"/>
      <c r="W210" s="234"/>
      <c r="X210" s="234"/>
      <c r="Y210" s="234"/>
    </row>
    <row r="211" spans="3:27" x14ac:dyDescent="0.25">
      <c r="C211" s="76"/>
      <c r="D211"/>
      <c r="F211" t="s">
        <v>47</v>
      </c>
      <c r="G211" t="s">
        <v>251</v>
      </c>
      <c r="J211" s="231">
        <f t="shared" si="145"/>
        <v>0</v>
      </c>
      <c r="K211" s="231">
        <f t="shared" si="145"/>
        <v>0</v>
      </c>
      <c r="L211" s="231">
        <f t="shared" si="145"/>
        <v>0</v>
      </c>
      <c r="M211" s="231">
        <f t="shared" si="145"/>
        <v>0</v>
      </c>
      <c r="N211" s="231">
        <f t="shared" si="145"/>
        <v>0</v>
      </c>
      <c r="O211" s="231">
        <f t="shared" si="145"/>
        <v>0</v>
      </c>
      <c r="P211" s="231">
        <f t="shared" si="145"/>
        <v>0.60351006773395999</v>
      </c>
      <c r="Q211" s="231">
        <f t="shared" si="145"/>
        <v>0</v>
      </c>
      <c r="R211" s="234"/>
      <c r="S211" s="234"/>
      <c r="T211" s="234"/>
      <c r="U211" s="234"/>
      <c r="V211" s="234"/>
      <c r="W211" s="234"/>
      <c r="X211" s="234"/>
      <c r="Y211" s="234"/>
    </row>
    <row r="212" spans="3:27" x14ac:dyDescent="0.25">
      <c r="C212" s="76"/>
      <c r="D212"/>
      <c r="F212" t="s">
        <v>51</v>
      </c>
      <c r="G212" t="s">
        <v>251</v>
      </c>
      <c r="J212" s="231">
        <f t="shared" si="145"/>
        <v>0</v>
      </c>
      <c r="K212" s="231">
        <f t="shared" si="145"/>
        <v>0</v>
      </c>
      <c r="L212" s="231">
        <f t="shared" si="145"/>
        <v>0</v>
      </c>
      <c r="M212" s="231">
        <f t="shared" si="145"/>
        <v>0</v>
      </c>
      <c r="N212" s="231">
        <f t="shared" si="145"/>
        <v>0</v>
      </c>
      <c r="O212" s="231">
        <f t="shared" si="145"/>
        <v>0</v>
      </c>
      <c r="P212" s="231">
        <f t="shared" si="145"/>
        <v>0</v>
      </c>
      <c r="Q212" s="231">
        <f t="shared" si="145"/>
        <v>0</v>
      </c>
      <c r="R212" s="234"/>
      <c r="S212" s="234"/>
      <c r="T212" s="234"/>
      <c r="U212" s="234"/>
      <c r="V212" s="234"/>
      <c r="W212" s="234"/>
      <c r="X212" s="234"/>
      <c r="Y212" s="234"/>
    </row>
    <row r="213" spans="3:27" x14ac:dyDescent="0.25">
      <c r="C213" s="76"/>
      <c r="D213"/>
      <c r="F213" t="s">
        <v>48</v>
      </c>
      <c r="G213" t="s">
        <v>251</v>
      </c>
      <c r="J213" s="231">
        <f t="shared" si="145"/>
        <v>0</v>
      </c>
      <c r="K213" s="231">
        <f t="shared" si="145"/>
        <v>0</v>
      </c>
      <c r="L213" s="231">
        <f t="shared" si="145"/>
        <v>0</v>
      </c>
      <c r="M213" s="231">
        <f t="shared" si="145"/>
        <v>0</v>
      </c>
      <c r="N213" s="231">
        <f t="shared" si="145"/>
        <v>0.44827039475139796</v>
      </c>
      <c r="O213" s="231">
        <f t="shared" si="145"/>
        <v>2.1176212313142959</v>
      </c>
      <c r="P213" s="231">
        <f t="shared" si="145"/>
        <v>2.0770537747757079</v>
      </c>
      <c r="Q213" s="231">
        <f t="shared" si="145"/>
        <v>0</v>
      </c>
      <c r="R213" s="234"/>
      <c r="S213" s="234"/>
      <c r="T213" s="234"/>
      <c r="U213" s="234"/>
      <c r="V213" s="234"/>
      <c r="W213" s="234"/>
      <c r="X213" s="234"/>
      <c r="Y213" s="234"/>
    </row>
    <row r="214" spans="3:27" x14ac:dyDescent="0.25">
      <c r="C214" s="76"/>
      <c r="D214"/>
      <c r="F214" t="s">
        <v>49</v>
      </c>
      <c r="G214" t="s">
        <v>251</v>
      </c>
      <c r="J214" s="231">
        <f t="shared" si="145"/>
        <v>0</v>
      </c>
      <c r="K214" s="231">
        <f t="shared" si="145"/>
        <v>0</v>
      </c>
      <c r="L214" s="231">
        <f t="shared" si="145"/>
        <v>0</v>
      </c>
      <c r="M214" s="231">
        <f t="shared" si="145"/>
        <v>0</v>
      </c>
      <c r="N214" s="231">
        <f t="shared" si="145"/>
        <v>0.56331521583983291</v>
      </c>
      <c r="O214" s="231">
        <f t="shared" si="145"/>
        <v>0.53221817677537153</v>
      </c>
      <c r="P214" s="231">
        <f t="shared" si="145"/>
        <v>0</v>
      </c>
      <c r="Q214" s="231">
        <f t="shared" si="145"/>
        <v>0</v>
      </c>
      <c r="R214" s="234"/>
      <c r="S214" s="234"/>
      <c r="T214" s="234"/>
      <c r="U214" s="234"/>
      <c r="V214" s="234"/>
      <c r="W214" s="234"/>
      <c r="X214" s="234"/>
      <c r="Y214" s="234"/>
    </row>
    <row r="215" spans="3:27" x14ac:dyDescent="0.25">
      <c r="C215" s="76"/>
      <c r="D215"/>
      <c r="F215" t="s">
        <v>50</v>
      </c>
      <c r="G215" t="s">
        <v>251</v>
      </c>
      <c r="J215" s="231">
        <f t="shared" si="145"/>
        <v>0</v>
      </c>
      <c r="K215" s="231">
        <f t="shared" si="145"/>
        <v>0</v>
      </c>
      <c r="L215" s="231">
        <f t="shared" si="145"/>
        <v>0</v>
      </c>
      <c r="M215" s="231">
        <f t="shared" si="145"/>
        <v>0</v>
      </c>
      <c r="N215" s="231">
        <f t="shared" si="145"/>
        <v>0.81944050032241544</v>
      </c>
      <c r="O215" s="231">
        <f t="shared" si="145"/>
        <v>0</v>
      </c>
      <c r="P215" s="231">
        <f t="shared" si="145"/>
        <v>0</v>
      </c>
      <c r="Q215" s="231">
        <f t="shared" si="145"/>
        <v>0</v>
      </c>
      <c r="R215" s="234"/>
      <c r="S215" s="234"/>
      <c r="T215" s="234"/>
      <c r="U215" s="234"/>
      <c r="V215" s="234"/>
      <c r="W215" s="234"/>
      <c r="X215" s="234"/>
      <c r="Y215" s="234"/>
    </row>
    <row r="216" spans="3:27" x14ac:dyDescent="0.25">
      <c r="C216" s="76"/>
      <c r="D216"/>
      <c r="F216" t="s">
        <v>124</v>
      </c>
      <c r="G216" t="s">
        <v>251</v>
      </c>
      <c r="J216" s="234"/>
      <c r="K216" s="234"/>
      <c r="L216" s="234"/>
      <c r="M216" s="234"/>
      <c r="N216" s="234"/>
      <c r="O216" s="234"/>
      <c r="P216" s="234"/>
      <c r="Q216" s="234"/>
      <c r="R216" s="234"/>
      <c r="S216" s="234"/>
      <c r="T216" s="234"/>
      <c r="U216" s="234"/>
      <c r="V216" s="234"/>
      <c r="W216" s="234"/>
      <c r="X216" s="234"/>
      <c r="Y216" s="234"/>
    </row>
    <row r="217" spans="3:27" x14ac:dyDescent="0.25">
      <c r="C217" s="76"/>
      <c r="D217"/>
      <c r="F217" s="17" t="s">
        <v>123</v>
      </c>
      <c r="G217" s="17" t="s">
        <v>251</v>
      </c>
      <c r="H217" s="17"/>
      <c r="I217" s="17"/>
      <c r="J217" s="203"/>
      <c r="K217" s="203"/>
      <c r="L217" s="203"/>
      <c r="M217" s="203"/>
      <c r="N217" s="203"/>
      <c r="O217" s="203"/>
      <c r="P217" s="203"/>
      <c r="Q217" s="203"/>
      <c r="R217" s="203"/>
      <c r="S217" s="203"/>
      <c r="T217" s="203"/>
      <c r="U217" s="203"/>
      <c r="V217" s="203"/>
      <c r="W217" s="203"/>
      <c r="X217" s="203"/>
      <c r="Y217" s="203"/>
    </row>
    <row r="218" spans="3:27" x14ac:dyDescent="0.25">
      <c r="C218" s="76"/>
      <c r="J218" s="211"/>
      <c r="K218" s="211"/>
      <c r="L218" s="211"/>
      <c r="M218" s="211"/>
      <c r="N218" s="211"/>
      <c r="O218" s="211"/>
      <c r="P218" s="211"/>
      <c r="Q218" s="211"/>
      <c r="R218" s="211"/>
      <c r="S218" s="211"/>
      <c r="T218" s="211"/>
      <c r="U218" s="211"/>
      <c r="V218" s="211"/>
      <c r="W218" s="211"/>
      <c r="X218" s="211"/>
      <c r="Y218" s="211"/>
    </row>
    <row r="219" spans="3:27" x14ac:dyDescent="0.25">
      <c r="C219" s="5" t="str">
        <f ca="1">INDEX('Version control'!$H$36:$H$62,MATCH($A$1,'Version control'!$F$36:$F$62,0),1)&amp;"-E: Exceeded capacity charges for eligible customers, by network level"</f>
        <v>Section 515-E: Exceeded capacity charges for eligible customers, by network level</v>
      </c>
      <c r="D219" s="5"/>
      <c r="E219" s="5"/>
      <c r="F219" s="5"/>
      <c r="G219" s="5"/>
      <c r="H219" s="5"/>
      <c r="I219" s="5"/>
      <c r="J219" s="205"/>
      <c r="K219" s="205"/>
      <c r="L219" s="205"/>
      <c r="M219" s="205"/>
      <c r="N219" s="205"/>
      <c r="O219" s="205"/>
      <c r="P219" s="205"/>
      <c r="Q219" s="205"/>
      <c r="R219" s="205"/>
      <c r="S219" s="205"/>
      <c r="T219" s="205"/>
      <c r="U219" s="205"/>
      <c r="V219" s="205"/>
      <c r="W219" s="205"/>
      <c r="X219" s="205"/>
      <c r="Y219" s="205"/>
      <c r="Z219" s="5"/>
      <c r="AA219" s="5"/>
    </row>
    <row r="220" spans="3:27" x14ac:dyDescent="0.25">
      <c r="D220" s="52"/>
      <c r="E220" s="52"/>
      <c r="I220" t="s">
        <v>359</v>
      </c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AA220" t="s">
        <v>821</v>
      </c>
    </row>
    <row r="221" spans="3:27" x14ac:dyDescent="0.25">
      <c r="C221" s="76"/>
      <c r="D221"/>
      <c r="E221" s="52" t="s">
        <v>139</v>
      </c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</row>
    <row r="222" spans="3:27" x14ac:dyDescent="0.25">
      <c r="C222" s="76"/>
      <c r="D222"/>
      <c r="F222" s="80" t="s">
        <v>267</v>
      </c>
      <c r="G222" s="80" t="s">
        <v>251</v>
      </c>
      <c r="H222" s="80"/>
      <c r="I222" s="80"/>
      <c r="J222" s="201"/>
      <c r="K222" s="201"/>
      <c r="L222" s="201"/>
      <c r="M222" s="201"/>
      <c r="N222" s="201"/>
      <c r="O222" s="201"/>
      <c r="P222" s="201"/>
      <c r="Q222" s="201"/>
      <c r="R222" s="201"/>
      <c r="S222" s="201"/>
      <c r="T222" s="201"/>
      <c r="U222" s="201"/>
      <c r="V222" s="201"/>
      <c r="W222" s="201"/>
      <c r="X222" s="201"/>
      <c r="Y222" s="201"/>
    </row>
    <row r="223" spans="3:27" x14ac:dyDescent="0.25">
      <c r="C223" s="76"/>
      <c r="D223"/>
      <c r="F223" t="s">
        <v>43</v>
      </c>
      <c r="G223" t="s">
        <v>251</v>
      </c>
      <c r="J223" s="234"/>
      <c r="K223" s="234"/>
      <c r="L223" s="234"/>
      <c r="M223" s="234"/>
      <c r="N223" s="234"/>
      <c r="O223" s="234"/>
      <c r="P223" s="234"/>
      <c r="Q223" s="234"/>
      <c r="R223" s="234"/>
      <c r="S223" s="234"/>
      <c r="T223" s="234"/>
      <c r="U223" s="234"/>
      <c r="V223" s="234"/>
      <c r="W223" s="234"/>
      <c r="X223" s="234"/>
      <c r="Y223" s="234"/>
    </row>
    <row r="224" spans="3:27" x14ac:dyDescent="0.25">
      <c r="C224" s="76"/>
      <c r="D224"/>
      <c r="F224" t="s">
        <v>44</v>
      </c>
      <c r="G224" t="s">
        <v>251</v>
      </c>
      <c r="J224" s="231">
        <f t="shared" ref="J224:Q231" si="146">J$122 * J164</f>
        <v>0</v>
      </c>
      <c r="K224" s="231">
        <f t="shared" si="146"/>
        <v>0</v>
      </c>
      <c r="L224" s="231">
        <f t="shared" si="146"/>
        <v>0</v>
      </c>
      <c r="M224" s="231">
        <f t="shared" si="146"/>
        <v>0</v>
      </c>
      <c r="N224" s="231">
        <f t="shared" si="146"/>
        <v>0</v>
      </c>
      <c r="O224" s="231">
        <f t="shared" si="146"/>
        <v>0</v>
      </c>
      <c r="P224" s="231">
        <f t="shared" si="146"/>
        <v>0</v>
      </c>
      <c r="Q224" s="231">
        <f t="shared" si="146"/>
        <v>0</v>
      </c>
      <c r="R224" s="234"/>
      <c r="S224" s="234"/>
      <c r="T224" s="234"/>
      <c r="U224" s="234"/>
      <c r="V224" s="234"/>
      <c r="W224" s="234"/>
      <c r="X224" s="234"/>
      <c r="Y224" s="234"/>
    </row>
    <row r="225" spans="3:25" x14ac:dyDescent="0.25">
      <c r="C225" s="76"/>
      <c r="D225"/>
      <c r="F225" t="s">
        <v>45</v>
      </c>
      <c r="G225" t="s">
        <v>251</v>
      </c>
      <c r="J225" s="231">
        <f t="shared" si="146"/>
        <v>0</v>
      </c>
      <c r="K225" s="231">
        <f t="shared" si="146"/>
        <v>0</v>
      </c>
      <c r="L225" s="231">
        <f t="shared" si="146"/>
        <v>0</v>
      </c>
      <c r="M225" s="231">
        <f t="shared" si="146"/>
        <v>0</v>
      </c>
      <c r="N225" s="231">
        <f t="shared" si="146"/>
        <v>0</v>
      </c>
      <c r="O225" s="231">
        <f t="shared" si="146"/>
        <v>0</v>
      </c>
      <c r="P225" s="231">
        <f t="shared" si="146"/>
        <v>0</v>
      </c>
      <c r="Q225" s="231">
        <f t="shared" si="146"/>
        <v>0</v>
      </c>
      <c r="R225" s="234"/>
      <c r="S225" s="234"/>
      <c r="T225" s="234"/>
      <c r="U225" s="234"/>
      <c r="V225" s="234"/>
      <c r="W225" s="234"/>
      <c r="X225" s="234"/>
      <c r="Y225" s="234"/>
    </row>
    <row r="226" spans="3:25" x14ac:dyDescent="0.25">
      <c r="C226" s="76"/>
      <c r="D226"/>
      <c r="F226" t="s">
        <v>46</v>
      </c>
      <c r="G226" t="s">
        <v>251</v>
      </c>
      <c r="J226" s="231">
        <f t="shared" si="146"/>
        <v>0</v>
      </c>
      <c r="K226" s="231">
        <f t="shared" si="146"/>
        <v>0</v>
      </c>
      <c r="L226" s="231">
        <f t="shared" si="146"/>
        <v>0</v>
      </c>
      <c r="M226" s="231">
        <f t="shared" si="146"/>
        <v>0</v>
      </c>
      <c r="N226" s="231">
        <f t="shared" si="146"/>
        <v>0</v>
      </c>
      <c r="O226" s="231">
        <f t="shared" si="146"/>
        <v>0</v>
      </c>
      <c r="P226" s="231">
        <f t="shared" si="146"/>
        <v>0.62793331217919635</v>
      </c>
      <c r="Q226" s="231">
        <f t="shared" si="146"/>
        <v>0</v>
      </c>
      <c r="R226" s="234"/>
      <c r="S226" s="234"/>
      <c r="T226" s="234"/>
      <c r="U226" s="234"/>
      <c r="V226" s="234"/>
      <c r="W226" s="234"/>
      <c r="X226" s="234"/>
      <c r="Y226" s="234"/>
    </row>
    <row r="227" spans="3:25" x14ac:dyDescent="0.25">
      <c r="C227" s="76"/>
      <c r="D227"/>
      <c r="F227" t="s">
        <v>47</v>
      </c>
      <c r="G227" t="s">
        <v>251</v>
      </c>
      <c r="J227" s="231">
        <f t="shared" si="146"/>
        <v>0</v>
      </c>
      <c r="K227" s="231">
        <f t="shared" si="146"/>
        <v>0</v>
      </c>
      <c r="L227" s="231">
        <f t="shared" si="146"/>
        <v>0</v>
      </c>
      <c r="M227" s="231">
        <f t="shared" si="146"/>
        <v>0</v>
      </c>
      <c r="N227" s="231">
        <f t="shared" si="146"/>
        <v>0</v>
      </c>
      <c r="O227" s="231">
        <f t="shared" si="146"/>
        <v>0</v>
      </c>
      <c r="P227" s="231">
        <f t="shared" si="146"/>
        <v>0.80452358563313109</v>
      </c>
      <c r="Q227" s="231">
        <f t="shared" si="146"/>
        <v>0</v>
      </c>
      <c r="R227" s="234"/>
      <c r="S227" s="234"/>
      <c r="T227" s="234"/>
      <c r="U227" s="234"/>
      <c r="V227" s="234"/>
      <c r="W227" s="234"/>
      <c r="X227" s="234"/>
      <c r="Y227" s="234"/>
    </row>
    <row r="228" spans="3:25" x14ac:dyDescent="0.25">
      <c r="C228" s="76"/>
      <c r="D228"/>
      <c r="F228" t="s">
        <v>51</v>
      </c>
      <c r="G228" t="s">
        <v>251</v>
      </c>
      <c r="J228" s="231">
        <f t="shared" si="146"/>
        <v>0</v>
      </c>
      <c r="K228" s="231">
        <f t="shared" si="146"/>
        <v>0</v>
      </c>
      <c r="L228" s="231">
        <f t="shared" si="146"/>
        <v>0</v>
      </c>
      <c r="M228" s="231">
        <f t="shared" si="146"/>
        <v>0</v>
      </c>
      <c r="N228" s="231">
        <f t="shared" si="146"/>
        <v>0</v>
      </c>
      <c r="O228" s="231">
        <f t="shared" si="146"/>
        <v>0</v>
      </c>
      <c r="P228" s="231">
        <f t="shared" si="146"/>
        <v>0</v>
      </c>
      <c r="Q228" s="231">
        <f t="shared" si="146"/>
        <v>0</v>
      </c>
      <c r="R228" s="234"/>
      <c r="S228" s="234"/>
      <c r="T228" s="234"/>
      <c r="U228" s="234"/>
      <c r="V228" s="234"/>
      <c r="W228" s="234"/>
      <c r="X228" s="234"/>
      <c r="Y228" s="234"/>
    </row>
    <row r="229" spans="3:25" x14ac:dyDescent="0.25">
      <c r="C229" s="76"/>
      <c r="D229"/>
      <c r="F229" t="s">
        <v>48</v>
      </c>
      <c r="G229" t="s">
        <v>251</v>
      </c>
      <c r="J229" s="231">
        <f t="shared" si="146"/>
        <v>0</v>
      </c>
      <c r="K229" s="231">
        <f t="shared" si="146"/>
        <v>0</v>
      </c>
      <c r="L229" s="231">
        <f t="shared" si="146"/>
        <v>0</v>
      </c>
      <c r="M229" s="231">
        <f t="shared" si="146"/>
        <v>0</v>
      </c>
      <c r="N229" s="231">
        <f t="shared" si="146"/>
        <v>0.59757761237142015</v>
      </c>
      <c r="O229" s="231">
        <f t="shared" si="146"/>
        <v>2.8229458249582016</v>
      </c>
      <c r="P229" s="231">
        <f t="shared" si="146"/>
        <v>2.7688664030241363</v>
      </c>
      <c r="Q229" s="231">
        <f t="shared" si="146"/>
        <v>0</v>
      </c>
      <c r="R229" s="234"/>
      <c r="S229" s="234"/>
      <c r="T229" s="234"/>
      <c r="U229" s="234"/>
      <c r="V229" s="234"/>
      <c r="W229" s="234"/>
      <c r="X229" s="234"/>
      <c r="Y229" s="234"/>
    </row>
    <row r="230" spans="3:25" x14ac:dyDescent="0.25">
      <c r="C230" s="76"/>
      <c r="D230"/>
      <c r="F230" t="s">
        <v>49</v>
      </c>
      <c r="G230" t="s">
        <v>251</v>
      </c>
      <c r="J230" s="231">
        <f t="shared" si="146"/>
        <v>0</v>
      </c>
      <c r="K230" s="231">
        <f t="shared" si="146"/>
        <v>0</v>
      </c>
      <c r="L230" s="231">
        <f t="shared" si="146"/>
        <v>0</v>
      </c>
      <c r="M230" s="231">
        <f t="shared" si="146"/>
        <v>0</v>
      </c>
      <c r="N230" s="231">
        <f t="shared" si="146"/>
        <v>0.75094087326633252</v>
      </c>
      <c r="O230" s="231">
        <f t="shared" si="146"/>
        <v>0.70948621872402828</v>
      </c>
      <c r="P230" s="231">
        <f t="shared" si="146"/>
        <v>0</v>
      </c>
      <c r="Q230" s="231">
        <f t="shared" si="146"/>
        <v>0</v>
      </c>
      <c r="R230" s="234"/>
      <c r="S230" s="234"/>
      <c r="T230" s="234"/>
      <c r="U230" s="234"/>
      <c r="V230" s="234"/>
      <c r="W230" s="234"/>
      <c r="X230" s="234"/>
      <c r="Y230" s="234"/>
    </row>
    <row r="231" spans="3:25" x14ac:dyDescent="0.25">
      <c r="C231" s="76"/>
      <c r="D231"/>
      <c r="F231" t="s">
        <v>50</v>
      </c>
      <c r="G231" t="s">
        <v>251</v>
      </c>
      <c r="J231" s="231">
        <f t="shared" si="146"/>
        <v>0</v>
      </c>
      <c r="K231" s="231">
        <f t="shared" si="146"/>
        <v>0</v>
      </c>
      <c r="L231" s="231">
        <f t="shared" si="146"/>
        <v>0</v>
      </c>
      <c r="M231" s="231">
        <f t="shared" si="146"/>
        <v>0</v>
      </c>
      <c r="N231" s="231">
        <f t="shared" si="146"/>
        <v>1.0923748331287362</v>
      </c>
      <c r="O231" s="231">
        <f t="shared" si="146"/>
        <v>0</v>
      </c>
      <c r="P231" s="231">
        <f t="shared" si="146"/>
        <v>0</v>
      </c>
      <c r="Q231" s="231">
        <f t="shared" si="146"/>
        <v>0</v>
      </c>
      <c r="R231" s="234"/>
      <c r="S231" s="234"/>
      <c r="T231" s="234"/>
      <c r="U231" s="234"/>
      <c r="V231" s="234"/>
      <c r="W231" s="234"/>
      <c r="X231" s="234"/>
      <c r="Y231" s="234"/>
    </row>
    <row r="232" spans="3:25" x14ac:dyDescent="0.25">
      <c r="C232" s="76"/>
      <c r="D232"/>
      <c r="F232" t="s">
        <v>124</v>
      </c>
      <c r="G232" t="s">
        <v>251</v>
      </c>
      <c r="J232" s="234"/>
      <c r="K232" s="234"/>
      <c r="L232" s="234"/>
      <c r="M232" s="234"/>
      <c r="N232" s="234"/>
      <c r="O232" s="234"/>
      <c r="P232" s="234"/>
      <c r="Q232" s="234"/>
      <c r="R232" s="234"/>
      <c r="S232" s="234"/>
      <c r="T232" s="234"/>
      <c r="U232" s="234"/>
      <c r="V232" s="234"/>
      <c r="W232" s="234"/>
      <c r="X232" s="234"/>
      <c r="Y232" s="234"/>
    </row>
    <row r="233" spans="3:25" x14ac:dyDescent="0.25">
      <c r="C233" s="76"/>
      <c r="D233"/>
      <c r="F233" s="17" t="s">
        <v>123</v>
      </c>
      <c r="G233" s="17" t="s">
        <v>251</v>
      </c>
      <c r="H233" s="17"/>
      <c r="I233" s="17"/>
      <c r="J233" s="203"/>
      <c r="K233" s="203"/>
      <c r="L233" s="203"/>
      <c r="M233" s="203"/>
      <c r="N233" s="203"/>
      <c r="O233" s="203"/>
      <c r="P233" s="203"/>
      <c r="Q233" s="203"/>
      <c r="R233" s="203"/>
      <c r="S233" s="203"/>
      <c r="T233" s="203"/>
      <c r="U233" s="203"/>
      <c r="V233" s="203"/>
      <c r="W233" s="203"/>
      <c r="X233" s="203"/>
      <c r="Y233" s="203"/>
    </row>
    <row r="234" spans="3:25" x14ac:dyDescent="0.25">
      <c r="C234" s="76"/>
      <c r="D234"/>
      <c r="J234" s="211"/>
      <c r="K234" s="211"/>
      <c r="L234" s="211"/>
      <c r="M234" s="211"/>
      <c r="N234" s="211"/>
      <c r="O234" s="211"/>
      <c r="P234" s="211"/>
      <c r="Q234" s="211"/>
      <c r="R234" s="211"/>
      <c r="S234" s="211"/>
      <c r="T234" s="211"/>
      <c r="U234" s="211"/>
      <c r="V234" s="211"/>
      <c r="W234" s="211"/>
      <c r="X234" s="211"/>
      <c r="Y234" s="211"/>
    </row>
    <row r="235" spans="3:25" x14ac:dyDescent="0.25">
      <c r="C235" s="76"/>
      <c r="D235"/>
      <c r="E235" s="52" t="s">
        <v>116</v>
      </c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</row>
    <row r="236" spans="3:25" x14ac:dyDescent="0.25">
      <c r="C236" s="76"/>
      <c r="D236"/>
      <c r="F236" s="80" t="s">
        <v>267</v>
      </c>
      <c r="G236" s="80" t="s">
        <v>251</v>
      </c>
      <c r="H236" s="80"/>
      <c r="I236" s="80"/>
      <c r="J236" s="224">
        <f t="shared" ref="J236:Q245" si="147">J$122 * J176</f>
        <v>0</v>
      </c>
      <c r="K236" s="224">
        <f t="shared" si="147"/>
        <v>0</v>
      </c>
      <c r="L236" s="224">
        <f t="shared" si="147"/>
        <v>0</v>
      </c>
      <c r="M236" s="224">
        <f t="shared" si="147"/>
        <v>0</v>
      </c>
      <c r="N236" s="224">
        <f t="shared" si="147"/>
        <v>0</v>
      </c>
      <c r="O236" s="224">
        <f t="shared" si="147"/>
        <v>0</v>
      </c>
      <c r="P236" s="224">
        <f t="shared" si="147"/>
        <v>0</v>
      </c>
      <c r="Q236" s="224">
        <f t="shared" si="147"/>
        <v>0</v>
      </c>
      <c r="R236" s="201"/>
      <c r="S236" s="201"/>
      <c r="T236" s="201"/>
      <c r="U236" s="201"/>
      <c r="V236" s="201"/>
      <c r="W236" s="201"/>
      <c r="X236" s="201"/>
      <c r="Y236" s="201"/>
    </row>
    <row r="237" spans="3:25" x14ac:dyDescent="0.25">
      <c r="C237" s="76"/>
      <c r="D237"/>
      <c r="F237" t="s">
        <v>43</v>
      </c>
      <c r="G237" t="s">
        <v>251</v>
      </c>
      <c r="J237" s="231">
        <f t="shared" si="147"/>
        <v>0</v>
      </c>
      <c r="K237" s="231">
        <f t="shared" si="147"/>
        <v>0</v>
      </c>
      <c r="L237" s="231">
        <f t="shared" si="147"/>
        <v>0</v>
      </c>
      <c r="M237" s="231">
        <f t="shared" si="147"/>
        <v>0</v>
      </c>
      <c r="N237" s="231">
        <f t="shared" si="147"/>
        <v>0</v>
      </c>
      <c r="O237" s="231">
        <f t="shared" si="147"/>
        <v>0</v>
      </c>
      <c r="P237" s="231">
        <f t="shared" si="147"/>
        <v>0</v>
      </c>
      <c r="Q237" s="231">
        <f t="shared" si="147"/>
        <v>0</v>
      </c>
      <c r="R237" s="234"/>
      <c r="S237" s="234"/>
      <c r="T237" s="234"/>
      <c r="U237" s="234"/>
      <c r="V237" s="234"/>
      <c r="W237" s="234"/>
      <c r="X237" s="234"/>
      <c r="Y237" s="234"/>
    </row>
    <row r="238" spans="3:25" x14ac:dyDescent="0.25">
      <c r="C238" s="76"/>
      <c r="D238"/>
      <c r="F238" t="s">
        <v>44</v>
      </c>
      <c r="G238" t="s">
        <v>251</v>
      </c>
      <c r="J238" s="231">
        <f t="shared" si="147"/>
        <v>0</v>
      </c>
      <c r="K238" s="231">
        <f t="shared" si="147"/>
        <v>0</v>
      </c>
      <c r="L238" s="231">
        <f t="shared" si="147"/>
        <v>0</v>
      </c>
      <c r="M238" s="231">
        <f t="shared" si="147"/>
        <v>0</v>
      </c>
      <c r="N238" s="231">
        <f t="shared" si="147"/>
        <v>0</v>
      </c>
      <c r="O238" s="231">
        <f t="shared" si="147"/>
        <v>0</v>
      </c>
      <c r="P238" s="231">
        <f t="shared" si="147"/>
        <v>0</v>
      </c>
      <c r="Q238" s="231">
        <f t="shared" si="147"/>
        <v>0</v>
      </c>
      <c r="R238" s="234"/>
      <c r="S238" s="234"/>
      <c r="T238" s="234"/>
      <c r="U238" s="234"/>
      <c r="V238" s="234"/>
      <c r="W238" s="234"/>
      <c r="X238" s="234"/>
      <c r="Y238" s="234"/>
    </row>
    <row r="239" spans="3:25" x14ac:dyDescent="0.25">
      <c r="C239" s="76"/>
      <c r="D239"/>
      <c r="F239" t="s">
        <v>45</v>
      </c>
      <c r="G239" t="s">
        <v>251</v>
      </c>
      <c r="J239" s="231">
        <f t="shared" si="147"/>
        <v>0</v>
      </c>
      <c r="K239" s="231">
        <f t="shared" si="147"/>
        <v>0</v>
      </c>
      <c r="L239" s="231">
        <f t="shared" si="147"/>
        <v>0</v>
      </c>
      <c r="M239" s="231">
        <f t="shared" si="147"/>
        <v>0</v>
      </c>
      <c r="N239" s="231">
        <f t="shared" si="147"/>
        <v>0</v>
      </c>
      <c r="O239" s="231">
        <f t="shared" si="147"/>
        <v>0</v>
      </c>
      <c r="P239" s="231">
        <f t="shared" si="147"/>
        <v>0</v>
      </c>
      <c r="Q239" s="231">
        <f t="shared" si="147"/>
        <v>0</v>
      </c>
      <c r="R239" s="234"/>
      <c r="S239" s="234"/>
      <c r="T239" s="234"/>
      <c r="U239" s="234"/>
      <c r="V239" s="234"/>
      <c r="W239" s="234"/>
      <c r="X239" s="234"/>
      <c r="Y239" s="234"/>
    </row>
    <row r="240" spans="3:25" x14ac:dyDescent="0.25">
      <c r="C240" s="76"/>
      <c r="D240"/>
      <c r="F240" t="s">
        <v>46</v>
      </c>
      <c r="G240" t="s">
        <v>251</v>
      </c>
      <c r="J240" s="231">
        <f t="shared" si="147"/>
        <v>0</v>
      </c>
      <c r="K240" s="231">
        <f t="shared" si="147"/>
        <v>0</v>
      </c>
      <c r="L240" s="231">
        <f t="shared" si="147"/>
        <v>0</v>
      </c>
      <c r="M240" s="231">
        <f t="shared" si="147"/>
        <v>0</v>
      </c>
      <c r="N240" s="231">
        <f t="shared" si="147"/>
        <v>0</v>
      </c>
      <c r="O240" s="231">
        <f t="shared" si="147"/>
        <v>0</v>
      </c>
      <c r="P240" s="231">
        <f t="shared" si="147"/>
        <v>0.47104159844791305</v>
      </c>
      <c r="Q240" s="231">
        <f t="shared" si="147"/>
        <v>0</v>
      </c>
      <c r="R240" s="234"/>
      <c r="S240" s="234"/>
      <c r="T240" s="234"/>
      <c r="U240" s="234"/>
      <c r="V240" s="234"/>
      <c r="W240" s="234"/>
      <c r="X240" s="234"/>
      <c r="Y240" s="234"/>
    </row>
    <row r="241" spans="2:27" x14ac:dyDescent="0.25">
      <c r="C241" s="76"/>
      <c r="D241"/>
      <c r="F241" t="s">
        <v>47</v>
      </c>
      <c r="G241" t="s">
        <v>251</v>
      </c>
      <c r="J241" s="231">
        <f t="shared" si="147"/>
        <v>0</v>
      </c>
      <c r="K241" s="231">
        <f t="shared" si="147"/>
        <v>0</v>
      </c>
      <c r="L241" s="231">
        <f t="shared" si="147"/>
        <v>0</v>
      </c>
      <c r="M241" s="231">
        <f t="shared" si="147"/>
        <v>0</v>
      </c>
      <c r="N241" s="231">
        <f t="shared" si="147"/>
        <v>0</v>
      </c>
      <c r="O241" s="231">
        <f t="shared" si="147"/>
        <v>0</v>
      </c>
      <c r="P241" s="231">
        <f t="shared" si="147"/>
        <v>0.60351006773395999</v>
      </c>
      <c r="Q241" s="231">
        <f t="shared" si="147"/>
        <v>0</v>
      </c>
      <c r="R241" s="234"/>
      <c r="S241" s="234"/>
      <c r="T241" s="234"/>
      <c r="U241" s="234"/>
      <c r="V241" s="234"/>
      <c r="W241" s="234"/>
      <c r="X241" s="234"/>
      <c r="Y241" s="234"/>
    </row>
    <row r="242" spans="2:27" x14ac:dyDescent="0.25">
      <c r="C242" s="76"/>
      <c r="D242"/>
      <c r="F242" t="s">
        <v>51</v>
      </c>
      <c r="G242" t="s">
        <v>251</v>
      </c>
      <c r="J242" s="231">
        <f t="shared" si="147"/>
        <v>0</v>
      </c>
      <c r="K242" s="231">
        <f t="shared" si="147"/>
        <v>0</v>
      </c>
      <c r="L242" s="231">
        <f t="shared" si="147"/>
        <v>0</v>
      </c>
      <c r="M242" s="231">
        <f t="shared" si="147"/>
        <v>0</v>
      </c>
      <c r="N242" s="231">
        <f t="shared" si="147"/>
        <v>0</v>
      </c>
      <c r="O242" s="231">
        <f t="shared" si="147"/>
        <v>0</v>
      </c>
      <c r="P242" s="231">
        <f t="shared" si="147"/>
        <v>0</v>
      </c>
      <c r="Q242" s="231">
        <f t="shared" si="147"/>
        <v>0</v>
      </c>
      <c r="R242" s="234"/>
      <c r="S242" s="234"/>
      <c r="T242" s="234"/>
      <c r="U242" s="234"/>
      <c r="V242" s="234"/>
      <c r="W242" s="234"/>
      <c r="X242" s="234"/>
      <c r="Y242" s="234"/>
    </row>
    <row r="243" spans="2:27" x14ac:dyDescent="0.25">
      <c r="C243" s="76"/>
      <c r="D243"/>
      <c r="F243" t="s">
        <v>48</v>
      </c>
      <c r="G243" t="s">
        <v>251</v>
      </c>
      <c r="J243" s="231">
        <f t="shared" si="147"/>
        <v>0</v>
      </c>
      <c r="K243" s="231">
        <f t="shared" si="147"/>
        <v>0</v>
      </c>
      <c r="L243" s="231">
        <f t="shared" si="147"/>
        <v>0</v>
      </c>
      <c r="M243" s="231">
        <f t="shared" si="147"/>
        <v>0</v>
      </c>
      <c r="N243" s="231">
        <f t="shared" si="147"/>
        <v>0.44827039475139796</v>
      </c>
      <c r="O243" s="231">
        <f t="shared" si="147"/>
        <v>2.1176212313142959</v>
      </c>
      <c r="P243" s="231">
        <f t="shared" si="147"/>
        <v>2.0770537747757079</v>
      </c>
      <c r="Q243" s="231">
        <f t="shared" si="147"/>
        <v>0</v>
      </c>
      <c r="R243" s="234"/>
      <c r="S243" s="234"/>
      <c r="T243" s="234"/>
      <c r="U243" s="234"/>
      <c r="V243" s="234"/>
      <c r="W243" s="234"/>
      <c r="X243" s="234"/>
      <c r="Y243" s="234"/>
    </row>
    <row r="244" spans="2:27" x14ac:dyDescent="0.25">
      <c r="C244" s="76"/>
      <c r="D244"/>
      <c r="F244" t="s">
        <v>49</v>
      </c>
      <c r="G244" t="s">
        <v>251</v>
      </c>
      <c r="J244" s="231">
        <f t="shared" si="147"/>
        <v>0</v>
      </c>
      <c r="K244" s="231">
        <f t="shared" si="147"/>
        <v>0</v>
      </c>
      <c r="L244" s="231">
        <f t="shared" si="147"/>
        <v>0</v>
      </c>
      <c r="M244" s="231">
        <f t="shared" si="147"/>
        <v>0</v>
      </c>
      <c r="N244" s="231">
        <f t="shared" si="147"/>
        <v>0.56331521583983291</v>
      </c>
      <c r="O244" s="231">
        <f t="shared" si="147"/>
        <v>0.53221817677537153</v>
      </c>
      <c r="P244" s="231">
        <f t="shared" si="147"/>
        <v>0</v>
      </c>
      <c r="Q244" s="231">
        <f t="shared" si="147"/>
        <v>0</v>
      </c>
      <c r="R244" s="234"/>
      <c r="S244" s="234"/>
      <c r="T244" s="234"/>
      <c r="U244" s="234"/>
      <c r="V244" s="234"/>
      <c r="W244" s="234"/>
      <c r="X244" s="234"/>
      <c r="Y244" s="234"/>
    </row>
    <row r="245" spans="2:27" x14ac:dyDescent="0.25">
      <c r="C245" s="76"/>
      <c r="D245"/>
      <c r="F245" t="s">
        <v>50</v>
      </c>
      <c r="G245" t="s">
        <v>251</v>
      </c>
      <c r="J245" s="231">
        <f t="shared" si="147"/>
        <v>0</v>
      </c>
      <c r="K245" s="231">
        <f t="shared" si="147"/>
        <v>0</v>
      </c>
      <c r="L245" s="231">
        <f t="shared" si="147"/>
        <v>0</v>
      </c>
      <c r="M245" s="231">
        <f t="shared" si="147"/>
        <v>0</v>
      </c>
      <c r="N245" s="231">
        <f t="shared" si="147"/>
        <v>0.81944050032241544</v>
      </c>
      <c r="O245" s="231">
        <f t="shared" si="147"/>
        <v>0</v>
      </c>
      <c r="P245" s="231">
        <f t="shared" si="147"/>
        <v>0</v>
      </c>
      <c r="Q245" s="231">
        <f t="shared" si="147"/>
        <v>0</v>
      </c>
      <c r="R245" s="234"/>
      <c r="S245" s="234"/>
      <c r="T245" s="234"/>
      <c r="U245" s="234"/>
      <c r="V245" s="234"/>
      <c r="W245" s="234"/>
      <c r="X245" s="234"/>
      <c r="Y245" s="234"/>
    </row>
    <row r="246" spans="2:27" x14ac:dyDescent="0.25">
      <c r="C246" s="76"/>
      <c r="D246"/>
      <c r="F246" t="s">
        <v>124</v>
      </c>
      <c r="G246" t="s">
        <v>251</v>
      </c>
      <c r="J246" s="234"/>
      <c r="K246" s="234"/>
      <c r="L246" s="234"/>
      <c r="M246" s="234"/>
      <c r="N246" s="234"/>
      <c r="O246" s="234"/>
      <c r="P246" s="234"/>
      <c r="Q246" s="234"/>
      <c r="R246" s="234"/>
      <c r="S246" s="234"/>
      <c r="T246" s="234"/>
      <c r="U246" s="234"/>
      <c r="V246" s="234"/>
      <c r="W246" s="234"/>
      <c r="X246" s="234"/>
      <c r="Y246" s="234"/>
    </row>
    <row r="247" spans="2:27" x14ac:dyDescent="0.25">
      <c r="C247" s="76"/>
      <c r="D247"/>
      <c r="F247" s="17" t="s">
        <v>123</v>
      </c>
      <c r="G247" s="17" t="s">
        <v>251</v>
      </c>
      <c r="H247" s="17"/>
      <c r="I247" s="17"/>
      <c r="J247" s="203"/>
      <c r="K247" s="203"/>
      <c r="L247" s="203"/>
      <c r="M247" s="203"/>
      <c r="N247" s="203"/>
      <c r="O247" s="203"/>
      <c r="P247" s="203"/>
      <c r="Q247" s="203"/>
      <c r="R247" s="203"/>
      <c r="S247" s="203"/>
      <c r="T247" s="203"/>
      <c r="U247" s="203"/>
      <c r="V247" s="203"/>
      <c r="W247" s="203"/>
      <c r="X247" s="203"/>
      <c r="Y247" s="203"/>
    </row>
    <row r="248" spans="2:27" x14ac:dyDescent="0.25">
      <c r="C248" s="76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</row>
    <row r="249" spans="2:27" x14ac:dyDescent="0.25">
      <c r="B249" s="82" t="s">
        <v>654</v>
      </c>
      <c r="C249" s="82"/>
      <c r="D249" s="82"/>
      <c r="E249" s="82"/>
      <c r="F249" s="82"/>
      <c r="G249" s="82"/>
      <c r="H249" s="82"/>
      <c r="I249" s="82"/>
      <c r="J249" s="236"/>
      <c r="K249" s="236"/>
      <c r="L249" s="236"/>
      <c r="M249" s="236"/>
      <c r="N249" s="236"/>
      <c r="O249" s="236"/>
      <c r="P249" s="236"/>
      <c r="Q249" s="236"/>
      <c r="R249" s="236"/>
      <c r="S249" s="236"/>
      <c r="T249" s="236"/>
      <c r="U249" s="236"/>
      <c r="V249" s="236"/>
      <c r="W249" s="236"/>
      <c r="X249" s="236"/>
      <c r="Y249" s="236"/>
      <c r="Z249" s="82"/>
      <c r="AA249" s="82"/>
    </row>
    <row r="250" spans="2:27" x14ac:dyDescent="0.25"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</row>
    <row r="251" spans="2:27" x14ac:dyDescent="0.25">
      <c r="B251" s="60"/>
      <c r="C251" s="73" t="s">
        <v>400</v>
      </c>
      <c r="D251"/>
      <c r="E251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</row>
    <row r="252" spans="2:27" x14ac:dyDescent="0.25">
      <c r="B252" s="60"/>
      <c r="C252" s="73" t="s">
        <v>401</v>
      </c>
      <c r="D252"/>
      <c r="E252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</row>
    <row r="253" spans="2:27" x14ac:dyDescent="0.25">
      <c r="J253" s="211"/>
      <c r="K253" s="211"/>
      <c r="L253" s="211"/>
      <c r="M253" s="211"/>
      <c r="N253" s="211"/>
      <c r="O253" s="211"/>
      <c r="P253" s="211"/>
      <c r="Q253" s="211"/>
      <c r="R253" s="211"/>
      <c r="S253" s="211"/>
      <c r="T253" s="211"/>
      <c r="U253" s="211"/>
      <c r="V253" s="211"/>
      <c r="W253" s="211"/>
      <c r="X253" s="211"/>
      <c r="Y253" s="211"/>
    </row>
    <row r="254" spans="2:27" x14ac:dyDescent="0.25">
      <c r="C254" s="5" t="str">
        <f ca="1">INDEX('Version control'!$H$36:$H$62,MATCH($A$1,'Version control'!$F$36:$F$62,0),1)&amp;"-F: Capacity and exceeded capacity charges"</f>
        <v>Section 515-F: Capacity and exceeded capacity charges</v>
      </c>
      <c r="D254" s="5"/>
      <c r="E254" s="5"/>
      <c r="F254" s="5"/>
      <c r="G254" s="5"/>
      <c r="H254" s="5"/>
      <c r="I254" s="5"/>
      <c r="J254" s="205"/>
      <c r="K254" s="205"/>
      <c r="L254" s="205"/>
      <c r="M254" s="205"/>
      <c r="N254" s="205"/>
      <c r="O254" s="205"/>
      <c r="P254" s="205"/>
      <c r="Q254" s="205"/>
      <c r="R254" s="205"/>
      <c r="S254" s="205"/>
      <c r="T254" s="205"/>
      <c r="U254" s="205"/>
      <c r="V254" s="205"/>
      <c r="W254" s="205"/>
      <c r="X254" s="205"/>
      <c r="Y254" s="205"/>
      <c r="Z254" s="5"/>
      <c r="AA254" s="5"/>
    </row>
    <row r="255" spans="2:27" x14ac:dyDescent="0.25">
      <c r="J255" s="211"/>
      <c r="K255" s="211"/>
      <c r="L255" s="211"/>
      <c r="M255" s="211"/>
      <c r="N255" s="211"/>
      <c r="O255" s="211"/>
      <c r="P255" s="211"/>
      <c r="Q255" s="211"/>
      <c r="R255" s="211"/>
      <c r="S255" s="211"/>
      <c r="T255" s="211"/>
      <c r="U255" s="211"/>
      <c r="V255" s="211"/>
      <c r="W255" s="211"/>
      <c r="X255" s="211"/>
      <c r="Y255" s="211"/>
    </row>
    <row r="256" spans="2:27" x14ac:dyDescent="0.25">
      <c r="E256" t="s">
        <v>300</v>
      </c>
      <c r="G256" t="s">
        <v>251</v>
      </c>
      <c r="I256" t="s">
        <v>359</v>
      </c>
      <c r="J256" s="217">
        <f t="shared" ref="J256:Q256" si="148">SUM(J192:J203,J206:J217)</f>
        <v>0</v>
      </c>
      <c r="K256" s="217">
        <f t="shared" si="148"/>
        <v>0</v>
      </c>
      <c r="L256" s="217">
        <f t="shared" si="148"/>
        <v>0</v>
      </c>
      <c r="M256" s="217">
        <f t="shared" si="148"/>
        <v>0</v>
      </c>
      <c r="N256" s="217">
        <f t="shared" si="148"/>
        <v>2.9404507692016573</v>
      </c>
      <c r="O256" s="217">
        <f t="shared" si="148"/>
        <v>5.4245039682001561</v>
      </c>
      <c r="P256" s="217">
        <f t="shared" si="148"/>
        <v>5.9690070627261953</v>
      </c>
      <c r="Q256" s="217">
        <f t="shared" si="148"/>
        <v>0</v>
      </c>
      <c r="R256" s="234"/>
      <c r="S256" s="234"/>
      <c r="T256" s="234"/>
      <c r="U256" s="234"/>
      <c r="V256" s="234"/>
      <c r="W256" s="234"/>
      <c r="X256" s="234"/>
      <c r="Y256" s="234"/>
      <c r="AA256" t="s">
        <v>740</v>
      </c>
    </row>
    <row r="257" spans="3:27" x14ac:dyDescent="0.25">
      <c r="E257" t="s">
        <v>299</v>
      </c>
      <c r="G257" t="s">
        <v>251</v>
      </c>
      <c r="I257" t="s">
        <v>359</v>
      </c>
      <c r="J257" s="215">
        <f t="shared" ref="J257:Q257" si="149">SUM(J222:J233,J236:J247)</f>
        <v>0</v>
      </c>
      <c r="K257" s="215">
        <f t="shared" si="149"/>
        <v>0</v>
      </c>
      <c r="L257" s="215">
        <f t="shared" si="149"/>
        <v>0</v>
      </c>
      <c r="M257" s="215">
        <f t="shared" si="149"/>
        <v>0</v>
      </c>
      <c r="N257" s="215">
        <f t="shared" si="149"/>
        <v>4.2719194296801346</v>
      </c>
      <c r="O257" s="215">
        <f t="shared" si="149"/>
        <v>6.1822714517718973</v>
      </c>
      <c r="P257" s="215">
        <f t="shared" si="149"/>
        <v>7.3529287417940443</v>
      </c>
      <c r="Q257" s="215">
        <f t="shared" si="149"/>
        <v>0</v>
      </c>
      <c r="R257" s="234"/>
      <c r="S257" s="234"/>
      <c r="T257" s="234"/>
      <c r="U257" s="234"/>
      <c r="V257" s="234"/>
      <c r="W257" s="234"/>
      <c r="X257" s="234"/>
      <c r="Y257" s="234"/>
      <c r="AA257" t="s">
        <v>740</v>
      </c>
    </row>
    <row r="258" spans="3:27" x14ac:dyDescent="0.25">
      <c r="C258" s="76"/>
      <c r="J258" s="211"/>
      <c r="K258" s="211"/>
      <c r="L258" s="211"/>
      <c r="M258" s="211"/>
      <c r="N258" s="211"/>
      <c r="O258" s="211"/>
      <c r="P258" s="211"/>
      <c r="Q258" s="211"/>
      <c r="R258" s="211"/>
      <c r="S258" s="211"/>
      <c r="T258" s="211"/>
      <c r="U258" s="211"/>
      <c r="V258" s="211"/>
      <c r="W258" s="211"/>
      <c r="X258" s="211"/>
      <c r="Y258" s="211"/>
    </row>
    <row r="259" spans="3:27" x14ac:dyDescent="0.25">
      <c r="C259" s="5" t="str">
        <f ca="1">INDEX('Version control'!$H$36:$H$62,MATCH($A$1,'Version control'!$F$36:$F$62,0),1)&amp;"-G: Capacity elements allocated to fixed charges"</f>
        <v>Section 515-G: Capacity elements allocated to fixed charges</v>
      </c>
      <c r="D259" s="5"/>
      <c r="E259" s="5"/>
      <c r="F259" s="5"/>
      <c r="G259" s="5"/>
      <c r="H259" s="5"/>
      <c r="I259" s="5"/>
      <c r="J259" s="205"/>
      <c r="K259" s="205"/>
      <c r="L259" s="205"/>
      <c r="M259" s="205"/>
      <c r="N259" s="205"/>
      <c r="O259" s="205"/>
      <c r="P259" s="205"/>
      <c r="Q259" s="205"/>
      <c r="R259" s="205"/>
      <c r="S259" s="205"/>
      <c r="T259" s="205"/>
      <c r="U259" s="205"/>
      <c r="V259" s="205"/>
      <c r="W259" s="205"/>
      <c r="X259" s="205"/>
      <c r="Y259" s="205"/>
      <c r="Z259" s="5"/>
      <c r="AA259" s="5"/>
    </row>
    <row r="260" spans="3:27" x14ac:dyDescent="0.25">
      <c r="D260" s="52"/>
      <c r="E260" s="52"/>
      <c r="I260" t="s">
        <v>359</v>
      </c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  <c r="AA260" t="s">
        <v>822</v>
      </c>
    </row>
    <row r="261" spans="3:27" x14ac:dyDescent="0.25">
      <c r="C261" s="76"/>
      <c r="D261"/>
      <c r="E261" s="52" t="s">
        <v>139</v>
      </c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</row>
    <row r="262" spans="3:27" x14ac:dyDescent="0.25">
      <c r="C262" s="76"/>
      <c r="D262"/>
      <c r="F262" s="80" t="s">
        <v>267</v>
      </c>
      <c r="G262" s="80" t="s">
        <v>251</v>
      </c>
      <c r="H262" s="80"/>
      <c r="I262" s="80"/>
      <c r="J262" s="201"/>
      <c r="K262" s="201"/>
      <c r="L262" s="201"/>
      <c r="M262" s="201"/>
      <c r="N262" s="201"/>
      <c r="O262" s="201"/>
      <c r="P262" s="201"/>
      <c r="Q262" s="201"/>
      <c r="R262" s="201"/>
      <c r="S262" s="201"/>
      <c r="T262" s="201"/>
      <c r="U262" s="201"/>
      <c r="V262" s="201"/>
      <c r="W262" s="201"/>
      <c r="X262" s="201"/>
      <c r="Y262" s="201"/>
    </row>
    <row r="263" spans="3:27" x14ac:dyDescent="0.25">
      <c r="C263" s="76"/>
      <c r="D263"/>
      <c r="F263" t="s">
        <v>43</v>
      </c>
      <c r="G263" t="s">
        <v>251</v>
      </c>
      <c r="J263" s="234"/>
      <c r="K263" s="234"/>
      <c r="L263" s="234"/>
      <c r="M263" s="234"/>
      <c r="N263" s="234"/>
      <c r="O263" s="234"/>
      <c r="P263" s="234"/>
      <c r="Q263" s="234"/>
      <c r="R263" s="234"/>
      <c r="S263" s="234"/>
      <c r="T263" s="234"/>
      <c r="U263" s="234"/>
      <c r="V263" s="234"/>
      <c r="W263" s="234"/>
      <c r="X263" s="234"/>
      <c r="Y263" s="234"/>
    </row>
    <row r="264" spans="3:27" x14ac:dyDescent="0.25">
      <c r="C264" s="76"/>
      <c r="D264"/>
      <c r="F264" t="s">
        <v>44</v>
      </c>
      <c r="G264" t="s">
        <v>251</v>
      </c>
      <c r="J264" s="215">
        <f t="shared" ref="J264:Q271" si="150">J$123 * J134</f>
        <v>0</v>
      </c>
      <c r="K264" s="215">
        <f t="shared" si="150"/>
        <v>0</v>
      </c>
      <c r="L264" s="215">
        <f t="shared" si="150"/>
        <v>0</v>
      </c>
      <c r="M264" s="215">
        <f t="shared" si="150"/>
        <v>0</v>
      </c>
      <c r="N264" s="215">
        <f t="shared" si="150"/>
        <v>0</v>
      </c>
      <c r="O264" s="215">
        <f t="shared" si="150"/>
        <v>0</v>
      </c>
      <c r="P264" s="215">
        <f t="shared" si="150"/>
        <v>0</v>
      </c>
      <c r="Q264" s="215">
        <f t="shared" si="150"/>
        <v>0</v>
      </c>
      <c r="R264" s="234"/>
      <c r="S264" s="234"/>
      <c r="T264" s="234"/>
      <c r="U264" s="234"/>
      <c r="V264" s="234"/>
      <c r="W264" s="234"/>
      <c r="X264" s="234"/>
      <c r="Y264" s="234"/>
    </row>
    <row r="265" spans="3:27" x14ac:dyDescent="0.25">
      <c r="C265" s="76"/>
      <c r="D265"/>
      <c r="F265" t="s">
        <v>45</v>
      </c>
      <c r="G265" t="s">
        <v>251</v>
      </c>
      <c r="J265" s="215">
        <f t="shared" si="150"/>
        <v>0</v>
      </c>
      <c r="K265" s="215">
        <f t="shared" si="150"/>
        <v>0</v>
      </c>
      <c r="L265" s="215">
        <f t="shared" si="150"/>
        <v>0</v>
      </c>
      <c r="M265" s="215">
        <f t="shared" si="150"/>
        <v>0</v>
      </c>
      <c r="N265" s="215">
        <f t="shared" si="150"/>
        <v>0</v>
      </c>
      <c r="O265" s="215">
        <f t="shared" si="150"/>
        <v>0</v>
      </c>
      <c r="P265" s="215">
        <f t="shared" si="150"/>
        <v>0</v>
      </c>
      <c r="Q265" s="215">
        <f t="shared" si="150"/>
        <v>0</v>
      </c>
      <c r="R265" s="234"/>
      <c r="S265" s="234"/>
      <c r="T265" s="234"/>
      <c r="U265" s="234"/>
      <c r="V265" s="234"/>
      <c r="W265" s="234"/>
      <c r="X265" s="234"/>
      <c r="Y265" s="234"/>
    </row>
    <row r="266" spans="3:27" x14ac:dyDescent="0.25">
      <c r="C266" s="76"/>
      <c r="D266"/>
      <c r="F266" t="s">
        <v>46</v>
      </c>
      <c r="G266" t="s">
        <v>251</v>
      </c>
      <c r="J266" s="215">
        <f t="shared" si="150"/>
        <v>0</v>
      </c>
      <c r="K266" s="215">
        <f t="shared" si="150"/>
        <v>0</v>
      </c>
      <c r="L266" s="215">
        <f t="shared" si="150"/>
        <v>0</v>
      </c>
      <c r="M266" s="215">
        <f t="shared" si="150"/>
        <v>0</v>
      </c>
      <c r="N266" s="215">
        <f t="shared" si="150"/>
        <v>0</v>
      </c>
      <c r="O266" s="215">
        <f t="shared" si="150"/>
        <v>0</v>
      </c>
      <c r="P266" s="215">
        <f t="shared" si="150"/>
        <v>0</v>
      </c>
      <c r="Q266" s="215">
        <f t="shared" si="150"/>
        <v>0</v>
      </c>
      <c r="R266" s="234"/>
      <c r="S266" s="234"/>
      <c r="T266" s="234"/>
      <c r="U266" s="234"/>
      <c r="V266" s="234"/>
      <c r="W266" s="234"/>
      <c r="X266" s="234"/>
      <c r="Y266" s="234"/>
    </row>
    <row r="267" spans="3:27" x14ac:dyDescent="0.25">
      <c r="C267" s="76"/>
      <c r="D267"/>
      <c r="F267" t="s">
        <v>47</v>
      </c>
      <c r="G267" t="s">
        <v>251</v>
      </c>
      <c r="J267" s="215">
        <f t="shared" si="150"/>
        <v>0</v>
      </c>
      <c r="K267" s="215">
        <f t="shared" si="150"/>
        <v>0</v>
      </c>
      <c r="L267" s="215">
        <f t="shared" si="150"/>
        <v>0</v>
      </c>
      <c r="M267" s="215">
        <f t="shared" si="150"/>
        <v>0</v>
      </c>
      <c r="N267" s="215">
        <f t="shared" si="150"/>
        <v>0</v>
      </c>
      <c r="O267" s="215">
        <f t="shared" si="150"/>
        <v>0</v>
      </c>
      <c r="P267" s="215">
        <f t="shared" si="150"/>
        <v>0</v>
      </c>
      <c r="Q267" s="215">
        <f t="shared" si="150"/>
        <v>0</v>
      </c>
      <c r="R267" s="234"/>
      <c r="S267" s="234"/>
      <c r="T267" s="234"/>
      <c r="U267" s="234"/>
      <c r="V267" s="234"/>
      <c r="W267" s="234"/>
      <c r="X267" s="234"/>
      <c r="Y267" s="234"/>
    </row>
    <row r="268" spans="3:27" x14ac:dyDescent="0.25">
      <c r="C268" s="76"/>
      <c r="D268"/>
      <c r="F268" t="s">
        <v>51</v>
      </c>
      <c r="G268" t="s">
        <v>251</v>
      </c>
      <c r="J268" s="215">
        <f t="shared" si="150"/>
        <v>0</v>
      </c>
      <c r="K268" s="215">
        <f t="shared" si="150"/>
        <v>0</v>
      </c>
      <c r="L268" s="215">
        <f t="shared" si="150"/>
        <v>0</v>
      </c>
      <c r="M268" s="215">
        <f t="shared" si="150"/>
        <v>0</v>
      </c>
      <c r="N268" s="215">
        <f t="shared" si="150"/>
        <v>0</v>
      </c>
      <c r="O268" s="215">
        <f t="shared" si="150"/>
        <v>0</v>
      </c>
      <c r="P268" s="215">
        <f t="shared" si="150"/>
        <v>0</v>
      </c>
      <c r="Q268" s="215">
        <f t="shared" si="150"/>
        <v>0</v>
      </c>
      <c r="R268" s="234"/>
      <c r="S268" s="234"/>
      <c r="T268" s="234"/>
      <c r="U268" s="234"/>
      <c r="V268" s="234"/>
      <c r="W268" s="234"/>
      <c r="X268" s="234"/>
      <c r="Y268" s="234"/>
    </row>
    <row r="269" spans="3:27" x14ac:dyDescent="0.25">
      <c r="C269" s="76"/>
      <c r="D269"/>
      <c r="F269" t="s">
        <v>48</v>
      </c>
      <c r="G269" t="s">
        <v>251</v>
      </c>
      <c r="J269" s="215">
        <f t="shared" si="150"/>
        <v>0</v>
      </c>
      <c r="K269" s="215">
        <f t="shared" si="150"/>
        <v>0</v>
      </c>
      <c r="L269" s="215">
        <f t="shared" si="150"/>
        <v>0</v>
      </c>
      <c r="M269" s="215">
        <f t="shared" si="150"/>
        <v>0</v>
      </c>
      <c r="N269" s="215">
        <f t="shared" si="150"/>
        <v>0</v>
      </c>
      <c r="O269" s="215">
        <f t="shared" si="150"/>
        <v>0</v>
      </c>
      <c r="P269" s="215">
        <f t="shared" si="150"/>
        <v>0</v>
      </c>
      <c r="Q269" s="215">
        <f t="shared" si="150"/>
        <v>0</v>
      </c>
      <c r="R269" s="234"/>
      <c r="S269" s="234"/>
      <c r="T269" s="234"/>
      <c r="U269" s="234"/>
      <c r="V269" s="234"/>
      <c r="W269" s="234"/>
      <c r="X269" s="234"/>
      <c r="Y269" s="234"/>
    </row>
    <row r="270" spans="3:27" x14ac:dyDescent="0.25">
      <c r="C270" s="76"/>
      <c r="D270"/>
      <c r="F270" t="s">
        <v>49</v>
      </c>
      <c r="G270" t="s">
        <v>251</v>
      </c>
      <c r="J270" s="215">
        <f t="shared" si="150"/>
        <v>0</v>
      </c>
      <c r="K270" s="215">
        <f t="shared" si="150"/>
        <v>0</v>
      </c>
      <c r="L270" s="215">
        <f t="shared" si="150"/>
        <v>0</v>
      </c>
      <c r="M270" s="215">
        <f t="shared" si="150"/>
        <v>0</v>
      </c>
      <c r="N270" s="215">
        <f t="shared" si="150"/>
        <v>0</v>
      </c>
      <c r="O270" s="215">
        <f t="shared" si="150"/>
        <v>0</v>
      </c>
      <c r="P270" s="215">
        <f t="shared" si="150"/>
        <v>0</v>
      </c>
      <c r="Q270" s="215">
        <f t="shared" si="150"/>
        <v>0</v>
      </c>
      <c r="R270" s="234"/>
      <c r="S270" s="234"/>
      <c r="T270" s="234"/>
      <c r="U270" s="234"/>
      <c r="V270" s="234"/>
      <c r="W270" s="234"/>
      <c r="X270" s="234"/>
      <c r="Y270" s="234"/>
    </row>
    <row r="271" spans="3:27" x14ac:dyDescent="0.25">
      <c r="C271" s="76"/>
      <c r="D271"/>
      <c r="F271" t="s">
        <v>50</v>
      </c>
      <c r="G271" t="s">
        <v>251</v>
      </c>
      <c r="J271" s="215">
        <f t="shared" si="150"/>
        <v>8.3328821801881808E-2</v>
      </c>
      <c r="K271" s="215">
        <f t="shared" si="150"/>
        <v>0</v>
      </c>
      <c r="L271" s="215">
        <f t="shared" si="150"/>
        <v>8.3328821801881808E-2</v>
      </c>
      <c r="M271" s="215">
        <f t="shared" si="150"/>
        <v>0</v>
      </c>
      <c r="N271" s="215">
        <f t="shared" si="150"/>
        <v>0</v>
      </c>
      <c r="O271" s="215">
        <f t="shared" si="150"/>
        <v>0</v>
      </c>
      <c r="P271" s="215">
        <f t="shared" si="150"/>
        <v>0</v>
      </c>
      <c r="Q271" s="215">
        <f t="shared" si="150"/>
        <v>0</v>
      </c>
      <c r="R271" s="234"/>
      <c r="S271" s="234"/>
      <c r="T271" s="234"/>
      <c r="U271" s="234"/>
      <c r="V271" s="234"/>
      <c r="W271" s="234"/>
      <c r="X271" s="234"/>
      <c r="Y271" s="234"/>
    </row>
    <row r="272" spans="3:27" x14ac:dyDescent="0.25">
      <c r="C272" s="76"/>
      <c r="D272"/>
      <c r="F272" t="s">
        <v>124</v>
      </c>
      <c r="G272" t="s">
        <v>251</v>
      </c>
      <c r="J272" s="234"/>
      <c r="K272" s="234"/>
      <c r="L272" s="234"/>
      <c r="M272" s="234"/>
      <c r="N272" s="234"/>
      <c r="O272" s="234"/>
      <c r="P272" s="234"/>
      <c r="Q272" s="234"/>
      <c r="R272" s="234"/>
      <c r="S272" s="234"/>
      <c r="T272" s="234"/>
      <c r="U272" s="234"/>
      <c r="V272" s="234"/>
      <c r="W272" s="234"/>
      <c r="X272" s="234"/>
      <c r="Y272" s="234"/>
    </row>
    <row r="273" spans="3:25" x14ac:dyDescent="0.25">
      <c r="C273" s="76"/>
      <c r="D273"/>
      <c r="F273" s="17" t="s">
        <v>123</v>
      </c>
      <c r="G273" s="17" t="s">
        <v>251</v>
      </c>
      <c r="H273" s="17"/>
      <c r="I273" s="17"/>
      <c r="J273" s="203"/>
      <c r="K273" s="203"/>
      <c r="L273" s="203"/>
      <c r="M273" s="203"/>
      <c r="N273" s="203"/>
      <c r="O273" s="203"/>
      <c r="P273" s="203"/>
      <c r="Q273" s="203"/>
      <c r="R273" s="203"/>
      <c r="S273" s="203"/>
      <c r="T273" s="203"/>
      <c r="U273" s="203"/>
      <c r="V273" s="203"/>
      <c r="W273" s="203"/>
      <c r="X273" s="203"/>
      <c r="Y273" s="203"/>
    </row>
    <row r="274" spans="3:25" x14ac:dyDescent="0.25">
      <c r="C274" s="76"/>
      <c r="D274"/>
      <c r="J274" s="211"/>
      <c r="K274" s="211"/>
      <c r="L274" s="211"/>
      <c r="M274" s="211"/>
      <c r="N274" s="211"/>
      <c r="O274" s="211"/>
      <c r="P274" s="211"/>
      <c r="Q274" s="211"/>
      <c r="R274" s="211"/>
      <c r="S274" s="211"/>
      <c r="T274" s="211"/>
      <c r="U274" s="211"/>
      <c r="V274" s="211"/>
      <c r="W274" s="211"/>
      <c r="X274" s="211"/>
      <c r="Y274" s="211"/>
    </row>
    <row r="275" spans="3:25" x14ac:dyDescent="0.25">
      <c r="C275" s="76"/>
      <c r="D275"/>
      <c r="E275" s="52" t="s">
        <v>140</v>
      </c>
      <c r="J275" s="211"/>
      <c r="K275" s="211"/>
      <c r="L275" s="211"/>
      <c r="M275" s="211"/>
      <c r="N275" s="211"/>
      <c r="O275" s="211"/>
      <c r="P275" s="211"/>
      <c r="Q275" s="211"/>
      <c r="R275" s="211"/>
      <c r="S275" s="211"/>
      <c r="T275" s="211"/>
      <c r="U275" s="211"/>
      <c r="V275" s="211"/>
      <c r="W275" s="211"/>
      <c r="X275" s="211"/>
      <c r="Y275" s="211"/>
    </row>
    <row r="276" spans="3:25" x14ac:dyDescent="0.25">
      <c r="C276" s="76"/>
      <c r="D276"/>
      <c r="F276" s="80" t="s">
        <v>267</v>
      </c>
      <c r="G276" s="80" t="s">
        <v>251</v>
      </c>
      <c r="H276" s="80"/>
      <c r="I276" s="80"/>
      <c r="J276" s="213">
        <f t="shared" ref="J276:Q285" si="151">J$123 * J146</f>
        <v>0</v>
      </c>
      <c r="K276" s="213">
        <f t="shared" si="151"/>
        <v>0</v>
      </c>
      <c r="L276" s="213">
        <f t="shared" si="151"/>
        <v>0</v>
      </c>
      <c r="M276" s="213">
        <f t="shared" si="151"/>
        <v>0</v>
      </c>
      <c r="N276" s="213">
        <f t="shared" si="151"/>
        <v>0</v>
      </c>
      <c r="O276" s="213">
        <f t="shared" si="151"/>
        <v>0</v>
      </c>
      <c r="P276" s="213">
        <f t="shared" si="151"/>
        <v>0</v>
      </c>
      <c r="Q276" s="213">
        <f t="shared" si="151"/>
        <v>0</v>
      </c>
      <c r="R276" s="201"/>
      <c r="S276" s="201"/>
      <c r="T276" s="201"/>
      <c r="U276" s="201"/>
      <c r="V276" s="201"/>
      <c r="W276" s="201"/>
      <c r="X276" s="201"/>
      <c r="Y276" s="201"/>
    </row>
    <row r="277" spans="3:25" x14ac:dyDescent="0.25">
      <c r="C277" s="76"/>
      <c r="D277"/>
      <c r="F277" t="s">
        <v>43</v>
      </c>
      <c r="G277" t="s">
        <v>251</v>
      </c>
      <c r="J277" s="215">
        <f t="shared" si="151"/>
        <v>0</v>
      </c>
      <c r="K277" s="215">
        <f t="shared" si="151"/>
        <v>0</v>
      </c>
      <c r="L277" s="215">
        <f t="shared" si="151"/>
        <v>0</v>
      </c>
      <c r="M277" s="215">
        <f t="shared" si="151"/>
        <v>0</v>
      </c>
      <c r="N277" s="215">
        <f t="shared" si="151"/>
        <v>0</v>
      </c>
      <c r="O277" s="215">
        <f t="shared" si="151"/>
        <v>0</v>
      </c>
      <c r="P277" s="215">
        <f t="shared" si="151"/>
        <v>0</v>
      </c>
      <c r="Q277" s="215">
        <f t="shared" si="151"/>
        <v>0</v>
      </c>
      <c r="R277" s="234"/>
      <c r="S277" s="234"/>
      <c r="T277" s="234"/>
      <c r="U277" s="234"/>
      <c r="V277" s="234"/>
      <c r="W277" s="234"/>
      <c r="X277" s="234"/>
      <c r="Y277" s="234"/>
    </row>
    <row r="278" spans="3:25" x14ac:dyDescent="0.25">
      <c r="C278" s="76"/>
      <c r="D278"/>
      <c r="F278" t="s">
        <v>44</v>
      </c>
      <c r="G278" t="s">
        <v>251</v>
      </c>
      <c r="J278" s="215">
        <f t="shared" si="151"/>
        <v>0</v>
      </c>
      <c r="K278" s="215">
        <f t="shared" si="151"/>
        <v>0</v>
      </c>
      <c r="L278" s="215">
        <f t="shared" si="151"/>
        <v>0</v>
      </c>
      <c r="M278" s="215">
        <f t="shared" si="151"/>
        <v>0</v>
      </c>
      <c r="N278" s="215">
        <f t="shared" si="151"/>
        <v>0</v>
      </c>
      <c r="O278" s="215">
        <f t="shared" si="151"/>
        <v>0</v>
      </c>
      <c r="P278" s="215">
        <f t="shared" si="151"/>
        <v>0</v>
      </c>
      <c r="Q278" s="215">
        <f t="shared" si="151"/>
        <v>0</v>
      </c>
      <c r="R278" s="234"/>
      <c r="S278" s="234"/>
      <c r="T278" s="234"/>
      <c r="U278" s="234"/>
      <c r="V278" s="234"/>
      <c r="W278" s="234"/>
      <c r="X278" s="234"/>
      <c r="Y278" s="234"/>
    </row>
    <row r="279" spans="3:25" x14ac:dyDescent="0.25">
      <c r="C279" s="76"/>
      <c r="D279"/>
      <c r="F279" t="s">
        <v>45</v>
      </c>
      <c r="G279" t="s">
        <v>251</v>
      </c>
      <c r="J279" s="215">
        <f t="shared" si="151"/>
        <v>0</v>
      </c>
      <c r="K279" s="215">
        <f t="shared" si="151"/>
        <v>0</v>
      </c>
      <c r="L279" s="215">
        <f t="shared" si="151"/>
        <v>0</v>
      </c>
      <c r="M279" s="215">
        <f t="shared" si="151"/>
        <v>0</v>
      </c>
      <c r="N279" s="215">
        <f t="shared" si="151"/>
        <v>0</v>
      </c>
      <c r="O279" s="215">
        <f t="shared" si="151"/>
        <v>0</v>
      </c>
      <c r="P279" s="215">
        <f t="shared" si="151"/>
        <v>0</v>
      </c>
      <c r="Q279" s="215">
        <f t="shared" si="151"/>
        <v>0</v>
      </c>
      <c r="R279" s="234"/>
      <c r="S279" s="234"/>
      <c r="T279" s="234"/>
      <c r="U279" s="234"/>
      <c r="V279" s="234"/>
      <c r="W279" s="234"/>
      <c r="X279" s="234"/>
      <c r="Y279" s="234"/>
    </row>
    <row r="280" spans="3:25" x14ac:dyDescent="0.25">
      <c r="C280" s="76"/>
      <c r="D280"/>
      <c r="F280" t="s">
        <v>46</v>
      </c>
      <c r="G280" t="s">
        <v>251</v>
      </c>
      <c r="J280" s="215">
        <f t="shared" si="151"/>
        <v>0</v>
      </c>
      <c r="K280" s="215">
        <f t="shared" si="151"/>
        <v>0</v>
      </c>
      <c r="L280" s="215">
        <f t="shared" si="151"/>
        <v>0</v>
      </c>
      <c r="M280" s="215">
        <f t="shared" si="151"/>
        <v>0</v>
      </c>
      <c r="N280" s="215">
        <f t="shared" si="151"/>
        <v>0</v>
      </c>
      <c r="O280" s="215">
        <f t="shared" si="151"/>
        <v>0</v>
      </c>
      <c r="P280" s="215">
        <f t="shared" si="151"/>
        <v>0</v>
      </c>
      <c r="Q280" s="215">
        <f t="shared" si="151"/>
        <v>0</v>
      </c>
      <c r="R280" s="234"/>
      <c r="S280" s="234"/>
      <c r="T280" s="234"/>
      <c r="U280" s="234"/>
      <c r="V280" s="234"/>
      <c r="W280" s="234"/>
      <c r="X280" s="234"/>
      <c r="Y280" s="234"/>
    </row>
    <row r="281" spans="3:25" x14ac:dyDescent="0.25">
      <c r="C281" s="76"/>
      <c r="D281"/>
      <c r="F281" t="s">
        <v>47</v>
      </c>
      <c r="G281" t="s">
        <v>251</v>
      </c>
      <c r="J281" s="215">
        <f t="shared" si="151"/>
        <v>0</v>
      </c>
      <c r="K281" s="215">
        <f t="shared" si="151"/>
        <v>0</v>
      </c>
      <c r="L281" s="215">
        <f t="shared" si="151"/>
        <v>0</v>
      </c>
      <c r="M281" s="215">
        <f t="shared" si="151"/>
        <v>0</v>
      </c>
      <c r="N281" s="215">
        <f t="shared" si="151"/>
        <v>0</v>
      </c>
      <c r="O281" s="215">
        <f t="shared" si="151"/>
        <v>0</v>
      </c>
      <c r="P281" s="215">
        <f t="shared" si="151"/>
        <v>0</v>
      </c>
      <c r="Q281" s="215">
        <f t="shared" si="151"/>
        <v>0</v>
      </c>
      <c r="R281" s="234"/>
      <c r="S281" s="234"/>
      <c r="T281" s="234"/>
      <c r="U281" s="234"/>
      <c r="V281" s="234"/>
      <c r="W281" s="234"/>
      <c r="X281" s="234"/>
      <c r="Y281" s="234"/>
    </row>
    <row r="282" spans="3:25" x14ac:dyDescent="0.25">
      <c r="C282" s="76"/>
      <c r="D282"/>
      <c r="F282" t="s">
        <v>51</v>
      </c>
      <c r="G282" t="s">
        <v>251</v>
      </c>
      <c r="J282" s="215">
        <f t="shared" si="151"/>
        <v>0</v>
      </c>
      <c r="K282" s="215">
        <f t="shared" si="151"/>
        <v>0</v>
      </c>
      <c r="L282" s="215">
        <f t="shared" si="151"/>
        <v>0</v>
      </c>
      <c r="M282" s="215">
        <f t="shared" si="151"/>
        <v>0</v>
      </c>
      <c r="N282" s="215">
        <f t="shared" si="151"/>
        <v>0</v>
      </c>
      <c r="O282" s="215">
        <f t="shared" si="151"/>
        <v>0</v>
      </c>
      <c r="P282" s="215">
        <f t="shared" si="151"/>
        <v>0</v>
      </c>
      <c r="Q282" s="215">
        <f t="shared" si="151"/>
        <v>0</v>
      </c>
      <c r="R282" s="234"/>
      <c r="S282" s="234"/>
      <c r="T282" s="234"/>
      <c r="U282" s="234"/>
      <c r="V282" s="234"/>
      <c r="W282" s="234"/>
      <c r="X282" s="234"/>
      <c r="Y282" s="234"/>
    </row>
    <row r="283" spans="3:25" x14ac:dyDescent="0.25">
      <c r="C283" s="76"/>
      <c r="D283"/>
      <c r="F283" t="s">
        <v>48</v>
      </c>
      <c r="G283" t="s">
        <v>251</v>
      </c>
      <c r="J283" s="215">
        <f t="shared" si="151"/>
        <v>0</v>
      </c>
      <c r="K283" s="215">
        <f t="shared" si="151"/>
        <v>0</v>
      </c>
      <c r="L283" s="215">
        <f t="shared" si="151"/>
        <v>0</v>
      </c>
      <c r="M283" s="215">
        <f t="shared" si="151"/>
        <v>0</v>
      </c>
      <c r="N283" s="215">
        <f t="shared" si="151"/>
        <v>0</v>
      </c>
      <c r="O283" s="215">
        <f t="shared" si="151"/>
        <v>0</v>
      </c>
      <c r="P283" s="215">
        <f t="shared" si="151"/>
        <v>0</v>
      </c>
      <c r="Q283" s="215">
        <f t="shared" si="151"/>
        <v>0</v>
      </c>
      <c r="R283" s="234"/>
      <c r="S283" s="234"/>
      <c r="T283" s="234"/>
      <c r="U283" s="234"/>
      <c r="V283" s="234"/>
      <c r="W283" s="234"/>
      <c r="X283" s="234"/>
      <c r="Y283" s="234"/>
    </row>
    <row r="284" spans="3:25" x14ac:dyDescent="0.25">
      <c r="C284" s="76"/>
      <c r="D284"/>
      <c r="F284" t="s">
        <v>49</v>
      </c>
      <c r="G284" t="s">
        <v>251</v>
      </c>
      <c r="J284" s="215">
        <f t="shared" si="151"/>
        <v>0</v>
      </c>
      <c r="K284" s="215">
        <f t="shared" si="151"/>
        <v>0</v>
      </c>
      <c r="L284" s="215">
        <f t="shared" si="151"/>
        <v>0</v>
      </c>
      <c r="M284" s="215">
        <f t="shared" si="151"/>
        <v>0</v>
      </c>
      <c r="N284" s="215">
        <f t="shared" si="151"/>
        <v>0</v>
      </c>
      <c r="O284" s="215">
        <f t="shared" si="151"/>
        <v>0</v>
      </c>
      <c r="P284" s="215">
        <f t="shared" si="151"/>
        <v>0</v>
      </c>
      <c r="Q284" s="215">
        <f t="shared" si="151"/>
        <v>0</v>
      </c>
      <c r="R284" s="234"/>
      <c r="S284" s="234"/>
      <c r="T284" s="234"/>
      <c r="U284" s="234"/>
      <c r="V284" s="234"/>
      <c r="W284" s="234"/>
      <c r="X284" s="234"/>
      <c r="Y284" s="234"/>
    </row>
    <row r="285" spans="3:25" x14ac:dyDescent="0.25">
      <c r="C285" s="76"/>
      <c r="D285"/>
      <c r="F285" t="s">
        <v>50</v>
      </c>
      <c r="G285" t="s">
        <v>251</v>
      </c>
      <c r="J285" s="215">
        <f t="shared" si="151"/>
        <v>0.81944050032241544</v>
      </c>
      <c r="K285" s="215">
        <f t="shared" si="151"/>
        <v>0</v>
      </c>
      <c r="L285" s="215">
        <f t="shared" si="151"/>
        <v>0.81944050032241544</v>
      </c>
      <c r="M285" s="215">
        <f t="shared" si="151"/>
        <v>0</v>
      </c>
      <c r="N285" s="215">
        <f t="shared" si="151"/>
        <v>0</v>
      </c>
      <c r="O285" s="215">
        <f t="shared" si="151"/>
        <v>0</v>
      </c>
      <c r="P285" s="215">
        <f t="shared" si="151"/>
        <v>0</v>
      </c>
      <c r="Q285" s="215">
        <f t="shared" si="151"/>
        <v>0</v>
      </c>
      <c r="R285" s="234"/>
      <c r="S285" s="234"/>
      <c r="T285" s="234"/>
      <c r="U285" s="234"/>
      <c r="V285" s="234"/>
      <c r="W285" s="234"/>
      <c r="X285" s="234"/>
      <c r="Y285" s="234"/>
    </row>
    <row r="286" spans="3:25" x14ac:dyDescent="0.25">
      <c r="C286" s="76"/>
      <c r="D286"/>
      <c r="F286" t="s">
        <v>124</v>
      </c>
      <c r="G286" t="s">
        <v>251</v>
      </c>
      <c r="J286" s="234"/>
      <c r="K286" s="234"/>
      <c r="L286" s="234"/>
      <c r="M286" s="234"/>
      <c r="N286" s="234"/>
      <c r="O286" s="234"/>
      <c r="P286" s="234"/>
      <c r="Q286" s="234"/>
      <c r="R286" s="234"/>
      <c r="S286" s="234"/>
      <c r="T286" s="234"/>
      <c r="U286" s="234"/>
      <c r="V286" s="234"/>
      <c r="W286" s="234"/>
      <c r="X286" s="234"/>
      <c r="Y286" s="234"/>
    </row>
    <row r="287" spans="3:25" x14ac:dyDescent="0.25">
      <c r="C287" s="76"/>
      <c r="D287"/>
      <c r="F287" s="17" t="s">
        <v>123</v>
      </c>
      <c r="G287" s="17" t="s">
        <v>251</v>
      </c>
      <c r="H287" s="17"/>
      <c r="I287" s="17"/>
      <c r="J287" s="203"/>
      <c r="K287" s="203"/>
      <c r="L287" s="203"/>
      <c r="M287" s="203"/>
      <c r="N287" s="203"/>
      <c r="O287" s="203"/>
      <c r="P287" s="203"/>
      <c r="Q287" s="203"/>
      <c r="R287" s="203"/>
      <c r="S287" s="203"/>
      <c r="T287" s="203"/>
      <c r="U287" s="203"/>
      <c r="V287" s="203"/>
      <c r="W287" s="203"/>
      <c r="X287" s="203"/>
      <c r="Y287" s="203"/>
    </row>
    <row r="288" spans="3:25" x14ac:dyDescent="0.25">
      <c r="C288" s="76"/>
    </row>
    <row r="289" spans="2:27" x14ac:dyDescent="0.25">
      <c r="B289" s="82" t="s">
        <v>109</v>
      </c>
      <c r="C289" s="82"/>
      <c r="D289" s="82"/>
      <c r="E289" s="82"/>
      <c r="F289" s="82"/>
      <c r="G289" s="82"/>
      <c r="H289" s="82"/>
      <c r="I289" s="82"/>
      <c r="J289" s="82"/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  <c r="AA289" s="82"/>
    </row>
    <row r="291" spans="2:27" x14ac:dyDescent="0.25">
      <c r="C291" s="76"/>
      <c r="E291" t="s">
        <v>415</v>
      </c>
      <c r="G291" s="46" t="s">
        <v>588</v>
      </c>
      <c r="H291" s="355">
        <f t="array" ref="H291">SUM(IF(ISERROR(H51:Y287), 1))</f>
        <v>0</v>
      </c>
    </row>
    <row r="293" spans="2:27" x14ac:dyDescent="0.25">
      <c r="E293" t="s">
        <v>539</v>
      </c>
      <c r="G293" s="46" t="s">
        <v>588</v>
      </c>
      <c r="H293" s="355">
        <f>SUM(J293:Y293)</f>
        <v>0</v>
      </c>
      <c r="J293" s="355">
        <f t="shared" ref="J293:Y293" si="152">IF(J121 + J123 &lt; 2, 0, 1)</f>
        <v>0</v>
      </c>
      <c r="K293" s="355">
        <f t="shared" si="152"/>
        <v>0</v>
      </c>
      <c r="L293" s="355">
        <f t="shared" si="152"/>
        <v>0</v>
      </c>
      <c r="M293" s="355">
        <f t="shared" si="152"/>
        <v>0</v>
      </c>
      <c r="N293" s="355">
        <f t="shared" si="152"/>
        <v>0</v>
      </c>
      <c r="O293" s="355">
        <f t="shared" si="152"/>
        <v>0</v>
      </c>
      <c r="P293" s="355">
        <f t="shared" si="152"/>
        <v>0</v>
      </c>
      <c r="Q293" s="355">
        <f t="shared" si="152"/>
        <v>0</v>
      </c>
      <c r="R293" s="355">
        <f t="shared" si="152"/>
        <v>0</v>
      </c>
      <c r="S293" s="355">
        <f t="shared" si="152"/>
        <v>0</v>
      </c>
      <c r="T293" s="355">
        <f t="shared" si="152"/>
        <v>0</v>
      </c>
      <c r="U293" s="355">
        <f t="shared" si="152"/>
        <v>0</v>
      </c>
      <c r="V293" s="355">
        <f t="shared" si="152"/>
        <v>0</v>
      </c>
      <c r="W293" s="355">
        <f t="shared" si="152"/>
        <v>0</v>
      </c>
      <c r="X293" s="355">
        <f t="shared" si="152"/>
        <v>0</v>
      </c>
      <c r="Y293" s="355">
        <f t="shared" si="152"/>
        <v>0</v>
      </c>
    </row>
    <row r="295" spans="2:27" x14ac:dyDescent="0.25">
      <c r="C295" s="76"/>
      <c r="E295" t="s">
        <v>374</v>
      </c>
      <c r="G295" s="46" t="s">
        <v>588</v>
      </c>
      <c r="H295" s="263">
        <f>H291 + H293</f>
        <v>0</v>
      </c>
    </row>
    <row r="297" spans="2:27" x14ac:dyDescent="0.25">
      <c r="B297" s="82" t="s">
        <v>110</v>
      </c>
      <c r="C297" s="82"/>
      <c r="D297" s="82"/>
      <c r="E297" s="82"/>
      <c r="F297" s="82"/>
      <c r="G297" s="82"/>
      <c r="H297" s="82"/>
      <c r="I297" s="82"/>
      <c r="J297" s="82"/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  <c r="AA297" s="82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4" width="24.5703125" hidden="1" customWidth="1"/>
    <col min="315" max="16384" width="8.5703125" hidden="1"/>
  </cols>
  <sheetData>
    <row r="1" spans="1:27" s="8" customFormat="1" x14ac:dyDescent="0.25">
      <c r="A1" s="8" t="str">
        <f ca="1">MID(CELL("filename",A1),FIND("]",CELL("filename",A1))+1,255)</f>
        <v>Reactive power charges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H254 &amp; IF(H254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758</v>
      </c>
      <c r="D9"/>
    </row>
    <row r="10" spans="1:27" x14ac:dyDescent="0.25">
      <c r="C10" s="73" t="s">
        <v>391</v>
      </c>
      <c r="D10"/>
      <c r="E10"/>
    </row>
    <row r="11" spans="1:27" x14ac:dyDescent="0.25">
      <c r="C11" s="252" t="s">
        <v>759</v>
      </c>
    </row>
    <row r="13" spans="1:27" x14ac:dyDescent="0.25">
      <c r="B13" s="82" t="s">
        <v>658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</row>
    <row r="15" spans="1:27" x14ac:dyDescent="0.25">
      <c r="C15" s="73" t="s">
        <v>420</v>
      </c>
    </row>
    <row r="17" spans="3:27" x14ac:dyDescent="0.25">
      <c r="C17" s="5" t="str">
        <f ca="1">INDEX('Version control'!$H$36:$H$62,MATCH($A$1,'Version control'!$F$36:$F$62,0),1)&amp;"-A: Inputs to reactive power charge calculations"</f>
        <v>Section 516-A: Inputs to reactive power charge calculations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</row>
    <row r="18" spans="3:27" x14ac:dyDescent="0.25">
      <c r="C18" s="52"/>
      <c r="D18"/>
      <c r="E18" s="52"/>
    </row>
    <row r="19" spans="3:27" x14ac:dyDescent="0.25">
      <c r="D19" s="52" t="s">
        <v>89</v>
      </c>
    </row>
    <row r="20" spans="3:27" x14ac:dyDescent="0.25">
      <c r="D20" s="73" t="s">
        <v>270</v>
      </c>
      <c r="E20"/>
    </row>
    <row r="21" spans="3:27" x14ac:dyDescent="0.25">
      <c r="C21" s="76"/>
      <c r="E21" s="80" t="s">
        <v>267</v>
      </c>
      <c r="F21" s="80"/>
      <c r="G21" s="80" t="s">
        <v>209</v>
      </c>
      <c r="H21" s="201"/>
    </row>
    <row r="22" spans="3:27" x14ac:dyDescent="0.25">
      <c r="C22" s="76"/>
      <c r="E22" t="s">
        <v>43</v>
      </c>
      <c r="G22" t="s">
        <v>209</v>
      </c>
      <c r="H22" s="229">
        <f t="array" ref="H22:H30">TRANSPOSE('Inputs by network level'!K24:S24)</f>
        <v>0.13760822365485234</v>
      </c>
    </row>
    <row r="23" spans="3:27" x14ac:dyDescent="0.25">
      <c r="C23" s="76"/>
      <c r="E23" t="s">
        <v>44</v>
      </c>
      <c r="G23" t="s">
        <v>209</v>
      </c>
      <c r="H23" s="229">
        <v>0</v>
      </c>
    </row>
    <row r="24" spans="3:27" x14ac:dyDescent="0.25">
      <c r="C24" s="76"/>
      <c r="E24" t="s">
        <v>45</v>
      </c>
      <c r="G24" t="s">
        <v>209</v>
      </c>
      <c r="H24" s="229">
        <v>0</v>
      </c>
    </row>
    <row r="25" spans="3:27" x14ac:dyDescent="0.25">
      <c r="C25" s="76"/>
      <c r="E25" t="s">
        <v>46</v>
      </c>
      <c r="G25" t="s">
        <v>209</v>
      </c>
      <c r="H25" s="229">
        <v>0.13760822365485234</v>
      </c>
    </row>
    <row r="26" spans="3:27" x14ac:dyDescent="0.25">
      <c r="C26" s="76"/>
      <c r="E26" t="s">
        <v>47</v>
      </c>
      <c r="G26" t="s">
        <v>209</v>
      </c>
      <c r="H26" s="229">
        <v>0.15699594310556997</v>
      </c>
    </row>
    <row r="27" spans="3:27" x14ac:dyDescent="0.25">
      <c r="C27" s="76"/>
      <c r="E27" t="s">
        <v>51</v>
      </c>
      <c r="G27" t="s">
        <v>209</v>
      </c>
      <c r="H27" s="229">
        <v>0</v>
      </c>
    </row>
    <row r="28" spans="3:27" x14ac:dyDescent="0.25">
      <c r="C28" s="76"/>
      <c r="E28" t="s">
        <v>48</v>
      </c>
      <c r="G28" t="s">
        <v>209</v>
      </c>
      <c r="H28" s="229">
        <v>0.15699594310556997</v>
      </c>
    </row>
    <row r="29" spans="3:27" x14ac:dyDescent="0.25">
      <c r="C29" s="76"/>
      <c r="E29" t="s">
        <v>49</v>
      </c>
      <c r="G29" t="s">
        <v>209</v>
      </c>
      <c r="H29" s="229">
        <v>0.15699594310556997</v>
      </c>
    </row>
    <row r="30" spans="3:27" x14ac:dyDescent="0.25">
      <c r="C30" s="76"/>
      <c r="E30" t="s">
        <v>50</v>
      </c>
      <c r="G30" t="s">
        <v>209</v>
      </c>
      <c r="H30" s="229">
        <v>0.15699594310556997</v>
      </c>
    </row>
    <row r="31" spans="3:27" x14ac:dyDescent="0.25">
      <c r="C31" s="76"/>
      <c r="E31" t="s">
        <v>124</v>
      </c>
      <c r="G31" t="s">
        <v>209</v>
      </c>
      <c r="H31" s="234"/>
    </row>
    <row r="32" spans="3:27" x14ac:dyDescent="0.25">
      <c r="C32" s="76"/>
      <c r="E32" s="17" t="s">
        <v>123</v>
      </c>
      <c r="F32" s="17"/>
      <c r="G32" s="17" t="s">
        <v>209</v>
      </c>
      <c r="H32" s="203"/>
    </row>
    <row r="33" spans="3:8" x14ac:dyDescent="0.25">
      <c r="C33" s="76"/>
      <c r="H33" s="211"/>
    </row>
    <row r="34" spans="3:8" x14ac:dyDescent="0.25">
      <c r="D34" s="76" t="s">
        <v>100</v>
      </c>
      <c r="H34" s="211"/>
    </row>
    <row r="35" spans="3:8" x14ac:dyDescent="0.25">
      <c r="C35" s="76"/>
      <c r="E35" s="80" t="s">
        <v>267</v>
      </c>
      <c r="F35" s="80"/>
      <c r="G35" s="14" t="s">
        <v>427</v>
      </c>
      <c r="H35" s="228">
        <f t="array" ref="H35:H44">TRANSPOSE('Load &amp; loss characteristics'!J29:S29)</f>
        <v>1</v>
      </c>
    </row>
    <row r="36" spans="3:8" x14ac:dyDescent="0.25">
      <c r="C36" s="76"/>
      <c r="E36" t="s">
        <v>43</v>
      </c>
      <c r="G36" s="12" t="s">
        <v>427</v>
      </c>
      <c r="H36" s="229">
        <v>1</v>
      </c>
    </row>
    <row r="37" spans="3:8" x14ac:dyDescent="0.25">
      <c r="C37" s="76"/>
      <c r="E37" t="s">
        <v>44</v>
      </c>
      <c r="G37" s="12" t="s">
        <v>427</v>
      </c>
      <c r="H37" s="229">
        <v>1</v>
      </c>
    </row>
    <row r="38" spans="3:8" x14ac:dyDescent="0.25">
      <c r="C38" s="76"/>
      <c r="E38" t="s">
        <v>45</v>
      </c>
      <c r="G38" s="12" t="s">
        <v>427</v>
      </c>
      <c r="H38" s="229">
        <v>1</v>
      </c>
    </row>
    <row r="39" spans="3:8" x14ac:dyDescent="0.25">
      <c r="C39" s="76"/>
      <c r="E39" t="s">
        <v>46</v>
      </c>
      <c r="G39" s="12" t="s">
        <v>427</v>
      </c>
      <c r="H39" s="229">
        <v>1.002</v>
      </c>
    </row>
    <row r="40" spans="3:8" x14ac:dyDescent="0.25">
      <c r="C40" s="76"/>
      <c r="E40" t="s">
        <v>47</v>
      </c>
      <c r="G40" s="12" t="s">
        <v>427</v>
      </c>
      <c r="H40" s="229">
        <v>1.0129999999999999</v>
      </c>
    </row>
    <row r="41" spans="3:8" x14ac:dyDescent="0.25">
      <c r="C41" s="76"/>
      <c r="E41" t="s">
        <v>51</v>
      </c>
      <c r="G41" s="12" t="s">
        <v>427</v>
      </c>
      <c r="H41" s="229">
        <v>1.0129999999999999</v>
      </c>
    </row>
    <row r="42" spans="3:8" x14ac:dyDescent="0.25">
      <c r="C42" s="76"/>
      <c r="E42" t="s">
        <v>48</v>
      </c>
      <c r="G42" s="12" t="s">
        <v>427</v>
      </c>
      <c r="H42" s="229">
        <v>1.024</v>
      </c>
    </row>
    <row r="43" spans="3:8" x14ac:dyDescent="0.25">
      <c r="C43" s="76"/>
      <c r="E43" t="s">
        <v>49</v>
      </c>
      <c r="G43" s="12" t="s">
        <v>427</v>
      </c>
      <c r="H43" s="229">
        <v>1.044</v>
      </c>
    </row>
    <row r="44" spans="3:8" x14ac:dyDescent="0.25">
      <c r="C44" s="76"/>
      <c r="E44" t="s">
        <v>50</v>
      </c>
      <c r="G44" s="12" t="s">
        <v>427</v>
      </c>
      <c r="H44" s="229">
        <v>1.105</v>
      </c>
    </row>
    <row r="45" spans="3:8" x14ac:dyDescent="0.25">
      <c r="C45" s="76"/>
      <c r="E45" t="s">
        <v>124</v>
      </c>
      <c r="G45" s="12" t="s">
        <v>427</v>
      </c>
      <c r="H45" s="234"/>
    </row>
    <row r="46" spans="3:8" x14ac:dyDescent="0.25">
      <c r="C46" s="76"/>
      <c r="E46" s="17" t="s">
        <v>123</v>
      </c>
      <c r="F46" s="17"/>
      <c r="G46" s="13" t="s">
        <v>427</v>
      </c>
      <c r="H46" s="203"/>
    </row>
    <row r="47" spans="3:8" x14ac:dyDescent="0.25">
      <c r="C47" s="76"/>
      <c r="H47" s="211"/>
    </row>
    <row r="48" spans="3:8" x14ac:dyDescent="0.25">
      <c r="D48" s="52" t="s">
        <v>656</v>
      </c>
      <c r="H48" s="211"/>
    </row>
    <row r="49" spans="3:8" x14ac:dyDescent="0.25">
      <c r="C49" s="76"/>
      <c r="E49" s="80" t="s">
        <v>267</v>
      </c>
      <c r="F49" s="80"/>
      <c r="G49" s="80" t="s">
        <v>108</v>
      </c>
      <c r="H49" s="201"/>
    </row>
    <row r="50" spans="3:8" x14ac:dyDescent="0.25">
      <c r="C50" s="76"/>
      <c r="E50" t="s">
        <v>43</v>
      </c>
      <c r="G50" t="s">
        <v>108</v>
      </c>
      <c r="H50" s="234"/>
    </row>
    <row r="51" spans="3:8" x14ac:dyDescent="0.25">
      <c r="C51" s="76"/>
      <c r="E51" t="s">
        <v>44</v>
      </c>
      <c r="G51" t="s">
        <v>108</v>
      </c>
      <c r="H51" s="229">
        <f t="array" ref="H51:H58">TRANSPOSE('Unit costs'!L114:S114)</f>
        <v>0</v>
      </c>
    </row>
    <row r="52" spans="3:8" x14ac:dyDescent="0.25">
      <c r="C52" s="76"/>
      <c r="E52" t="s">
        <v>45</v>
      </c>
      <c r="G52" t="s">
        <v>108</v>
      </c>
      <c r="H52" s="229">
        <v>0</v>
      </c>
    </row>
    <row r="53" spans="3:8" x14ac:dyDescent="0.25">
      <c r="C53" s="76"/>
      <c r="E53" t="s">
        <v>46</v>
      </c>
      <c r="G53" t="s">
        <v>108</v>
      </c>
      <c r="H53" s="229">
        <v>14.885491864002836</v>
      </c>
    </row>
    <row r="54" spans="3:8" x14ac:dyDescent="0.25">
      <c r="C54" s="76"/>
      <c r="E54" t="s">
        <v>47</v>
      </c>
      <c r="G54" t="s">
        <v>108</v>
      </c>
      <c r="H54" s="229">
        <v>3.8562054713520277</v>
      </c>
    </row>
    <row r="55" spans="3:8" x14ac:dyDescent="0.25">
      <c r="C55" s="76"/>
      <c r="E55" t="s">
        <v>51</v>
      </c>
      <c r="G55" t="s">
        <v>108</v>
      </c>
      <c r="H55" s="229">
        <v>0</v>
      </c>
    </row>
    <row r="56" spans="3:8" x14ac:dyDescent="0.25">
      <c r="C56" s="76"/>
      <c r="E56" t="s">
        <v>48</v>
      </c>
      <c r="G56" t="s">
        <v>108</v>
      </c>
      <c r="H56" s="229">
        <v>16.76964665640622</v>
      </c>
    </row>
    <row r="57" spans="3:8" x14ac:dyDescent="0.25">
      <c r="C57" s="76"/>
      <c r="E57" t="s">
        <v>49</v>
      </c>
      <c r="G57" t="s">
        <v>108</v>
      </c>
      <c r="H57" s="229">
        <v>4.2970051507710743</v>
      </c>
    </row>
    <row r="58" spans="3:8" x14ac:dyDescent="0.25">
      <c r="C58" s="76"/>
      <c r="E58" t="s">
        <v>50</v>
      </c>
      <c r="G58" t="s">
        <v>108</v>
      </c>
      <c r="H58" s="229">
        <v>7.6500065726206188</v>
      </c>
    </row>
    <row r="59" spans="3:8" x14ac:dyDescent="0.25">
      <c r="C59" s="76"/>
      <c r="E59" t="s">
        <v>124</v>
      </c>
      <c r="G59" t="s">
        <v>108</v>
      </c>
      <c r="H59" s="234"/>
    </row>
    <row r="60" spans="3:8" x14ac:dyDescent="0.25">
      <c r="C60" s="76"/>
      <c r="E60" s="17" t="s">
        <v>123</v>
      </c>
      <c r="F60" s="17"/>
      <c r="G60" s="17" t="s">
        <v>108</v>
      </c>
      <c r="H60" s="203"/>
    </row>
    <row r="61" spans="3:8" x14ac:dyDescent="0.25">
      <c r="C61" s="76"/>
      <c r="H61" s="211"/>
    </row>
    <row r="62" spans="3:8" x14ac:dyDescent="0.25">
      <c r="C62" s="76"/>
      <c r="D62" s="52" t="s">
        <v>657</v>
      </c>
      <c r="E62"/>
      <c r="H62" s="211"/>
    </row>
    <row r="63" spans="3:8" x14ac:dyDescent="0.25">
      <c r="C63" s="76"/>
      <c r="E63" s="80" t="s">
        <v>267</v>
      </c>
      <c r="F63" s="80"/>
      <c r="G63" s="80" t="s">
        <v>108</v>
      </c>
      <c r="H63" s="228">
        <f t="array" ref="H63:H72">TRANSPOSE('Unit costs'!J115:S115)</f>
        <v>5.8654990324455332</v>
      </c>
    </row>
    <row r="64" spans="3:8" x14ac:dyDescent="0.25">
      <c r="C64" s="76"/>
      <c r="E64" t="s">
        <v>43</v>
      </c>
      <c r="G64" t="s">
        <v>108</v>
      </c>
      <c r="H64" s="229">
        <v>0</v>
      </c>
    </row>
    <row r="65" spans="3:42" x14ac:dyDescent="0.25">
      <c r="C65" s="76"/>
      <c r="E65" t="s">
        <v>44</v>
      </c>
      <c r="G65" t="s">
        <v>108</v>
      </c>
      <c r="H65" s="229">
        <v>0</v>
      </c>
    </row>
    <row r="66" spans="3:42" x14ac:dyDescent="0.25">
      <c r="C66" s="76"/>
      <c r="E66" t="s">
        <v>45</v>
      </c>
      <c r="G66" t="s">
        <v>108</v>
      </c>
      <c r="H66" s="229">
        <v>0</v>
      </c>
    </row>
    <row r="67" spans="3:42" x14ac:dyDescent="0.25">
      <c r="C67" s="76"/>
      <c r="E67" t="s">
        <v>46</v>
      </c>
      <c r="G67" t="s">
        <v>108</v>
      </c>
      <c r="H67" s="229">
        <v>11.16629066384416</v>
      </c>
    </row>
    <row r="68" spans="3:42" x14ac:dyDescent="0.25">
      <c r="C68" s="76"/>
      <c r="E68" t="s">
        <v>47</v>
      </c>
      <c r="G68" t="s">
        <v>108</v>
      </c>
      <c r="H68" s="229">
        <v>2.8927167167886827</v>
      </c>
    </row>
    <row r="69" spans="3:42" x14ac:dyDescent="0.25">
      <c r="C69" s="76"/>
      <c r="E69" t="s">
        <v>51</v>
      </c>
      <c r="G69" t="s">
        <v>108</v>
      </c>
      <c r="H69" s="229">
        <v>0</v>
      </c>
    </row>
    <row r="70" spans="3:42" x14ac:dyDescent="0.25">
      <c r="C70" s="76"/>
      <c r="E70" t="s">
        <v>48</v>
      </c>
      <c r="G70" t="s">
        <v>108</v>
      </c>
      <c r="H70" s="229">
        <v>12.579681652860062</v>
      </c>
    </row>
    <row r="71" spans="3:42" x14ac:dyDescent="0.25">
      <c r="C71" s="76"/>
      <c r="E71" t="s">
        <v>49</v>
      </c>
      <c r="G71" t="s">
        <v>108</v>
      </c>
      <c r="H71" s="229">
        <v>3.2233807882141874</v>
      </c>
    </row>
    <row r="72" spans="3:42" x14ac:dyDescent="0.25">
      <c r="C72" s="76"/>
      <c r="E72" t="s">
        <v>50</v>
      </c>
      <c r="G72" t="s">
        <v>108</v>
      </c>
      <c r="H72" s="229">
        <v>5.7386210513321467</v>
      </c>
    </row>
    <row r="73" spans="3:42" x14ac:dyDescent="0.25">
      <c r="C73" s="76"/>
      <c r="E73" t="s">
        <v>124</v>
      </c>
      <c r="G73" t="s">
        <v>108</v>
      </c>
      <c r="H73" s="234"/>
    </row>
    <row r="74" spans="3:42" x14ac:dyDescent="0.25">
      <c r="C74" s="76"/>
      <c r="E74" s="17" t="s">
        <v>123</v>
      </c>
      <c r="F74" s="17"/>
      <c r="G74" s="17" t="s">
        <v>108</v>
      </c>
      <c r="H74" s="203"/>
    </row>
    <row r="75" spans="3:42" x14ac:dyDescent="0.25">
      <c r="C75" s="76"/>
      <c r="H75" s="79"/>
    </row>
    <row r="76" spans="3:42" x14ac:dyDescent="0.25">
      <c r="D76" s="76" t="s">
        <v>301</v>
      </c>
    </row>
    <row r="77" spans="3:42" x14ac:dyDescent="0.25">
      <c r="D77" s="73" t="s">
        <v>395</v>
      </c>
      <c r="E77" s="60"/>
    </row>
    <row r="78" spans="3:42" x14ac:dyDescent="0.25">
      <c r="C78" s="76"/>
      <c r="E78" t="s">
        <v>302</v>
      </c>
      <c r="G78" t="s">
        <v>155</v>
      </c>
      <c r="I78" t="s">
        <v>359</v>
      </c>
      <c r="J78" s="344">
        <f>'Fixed inputs'!J138</f>
        <v>0</v>
      </c>
      <c r="K78" s="344">
        <f>'Fixed inputs'!K138</f>
        <v>0</v>
      </c>
      <c r="L78" s="344">
        <f>'Fixed inputs'!L138</f>
        <v>0</v>
      </c>
      <c r="M78" s="344">
        <f>'Fixed inputs'!M138</f>
        <v>0</v>
      </c>
      <c r="N78" s="344">
        <f>'Fixed inputs'!N138</f>
        <v>1</v>
      </c>
      <c r="O78" s="344">
        <f>'Fixed inputs'!O138</f>
        <v>1</v>
      </c>
      <c r="P78" s="344">
        <f>'Fixed inputs'!P138</f>
        <v>1</v>
      </c>
      <c r="Q78" s="344">
        <f>'Fixed inputs'!Q138</f>
        <v>0</v>
      </c>
      <c r="R78" s="344">
        <f>'Fixed inputs'!R138</f>
        <v>0</v>
      </c>
      <c r="S78" s="344">
        <f>'Fixed inputs'!S138</f>
        <v>0</v>
      </c>
      <c r="T78" s="344">
        <f>'Fixed inputs'!T138</f>
        <v>1</v>
      </c>
      <c r="U78" s="344">
        <f>'Fixed inputs'!U138</f>
        <v>0</v>
      </c>
      <c r="V78" s="344">
        <f>'Fixed inputs'!V138</f>
        <v>1</v>
      </c>
      <c r="W78" s="344">
        <f>'Fixed inputs'!W138</f>
        <v>0</v>
      </c>
      <c r="X78" s="344">
        <f>'Fixed inputs'!X138</f>
        <v>1</v>
      </c>
      <c r="Y78" s="344">
        <f>'Fixed inputs'!Y138</f>
        <v>0</v>
      </c>
      <c r="AA78" t="s">
        <v>730</v>
      </c>
    </row>
    <row r="79" spans="3:42" x14ac:dyDescent="0.25">
      <c r="C79" s="76"/>
    </row>
    <row r="80" spans="3:42" x14ac:dyDescent="0.25">
      <c r="D80" s="52" t="s">
        <v>263</v>
      </c>
      <c r="E80"/>
      <c r="H80" s="5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AP80" s="19"/>
    </row>
    <row r="81" spans="3:42" x14ac:dyDescent="0.25">
      <c r="C81" s="52"/>
      <c r="D81"/>
      <c r="E81" s="80" t="s">
        <v>43</v>
      </c>
      <c r="F81" s="80"/>
      <c r="G81" s="80" t="s">
        <v>94</v>
      </c>
      <c r="H81" s="67"/>
      <c r="I81" s="80"/>
      <c r="J81" s="114">
        <f>'Standing charge factors'!J44</f>
        <v>0</v>
      </c>
      <c r="K81" s="114">
        <f>'Standing charge factors'!K44</f>
        <v>0</v>
      </c>
      <c r="L81" s="114">
        <f>'Standing charge factors'!L44</f>
        <v>0</v>
      </c>
      <c r="M81" s="114">
        <f>'Standing charge factors'!M44</f>
        <v>0</v>
      </c>
      <c r="N81" s="114">
        <f>'Standing charge factors'!N44</f>
        <v>0</v>
      </c>
      <c r="O81" s="114">
        <f>'Standing charge factors'!O44</f>
        <v>0</v>
      </c>
      <c r="P81" s="114">
        <f>'Standing charge factors'!P44</f>
        <v>0</v>
      </c>
      <c r="Q81" s="114">
        <f>'Standing charge factors'!Q44</f>
        <v>0</v>
      </c>
      <c r="R81" s="114">
        <f>'Standing charge factors'!R44</f>
        <v>0</v>
      </c>
      <c r="S81" s="114">
        <f>'Standing charge factors'!S44</f>
        <v>0</v>
      </c>
      <c r="T81" s="114">
        <f>'Standing charge factors'!T44</f>
        <v>0</v>
      </c>
      <c r="U81" s="114">
        <f>'Standing charge factors'!U44</f>
        <v>0</v>
      </c>
      <c r="V81" s="114">
        <f>'Standing charge factors'!V44</f>
        <v>0</v>
      </c>
      <c r="W81" s="114">
        <f>'Standing charge factors'!W44</f>
        <v>0</v>
      </c>
      <c r="X81" s="114">
        <f>'Standing charge factors'!X44</f>
        <v>0</v>
      </c>
      <c r="Y81" s="114">
        <f>'Standing charge factors'!Y44</f>
        <v>0</v>
      </c>
      <c r="AP81" s="19"/>
    </row>
    <row r="82" spans="3:42" x14ac:dyDescent="0.25">
      <c r="C82" s="52"/>
      <c r="D82"/>
      <c r="E82" t="s">
        <v>44</v>
      </c>
      <c r="G82" t="s">
        <v>94</v>
      </c>
      <c r="H82" s="79"/>
      <c r="J82" s="120">
        <f>'Standing charge factors'!J45</f>
        <v>0</v>
      </c>
      <c r="K82" s="120">
        <f>'Standing charge factors'!K45</f>
        <v>0</v>
      </c>
      <c r="L82" s="120">
        <f>'Standing charge factors'!L45</f>
        <v>0</v>
      </c>
      <c r="M82" s="120">
        <f>'Standing charge factors'!M45</f>
        <v>0</v>
      </c>
      <c r="N82" s="120">
        <f>'Standing charge factors'!N45</f>
        <v>0</v>
      </c>
      <c r="O82" s="120">
        <f>'Standing charge factors'!O45</f>
        <v>0</v>
      </c>
      <c r="P82" s="120">
        <f>'Standing charge factors'!P45</f>
        <v>0</v>
      </c>
      <c r="Q82" s="120">
        <f>'Standing charge factors'!Q45</f>
        <v>0</v>
      </c>
      <c r="R82" s="120">
        <f>'Standing charge factors'!R45</f>
        <v>0</v>
      </c>
      <c r="S82" s="120">
        <f>'Standing charge factors'!S45</f>
        <v>0</v>
      </c>
      <c r="T82" s="120">
        <f>'Standing charge factors'!T45</f>
        <v>0</v>
      </c>
      <c r="U82" s="120">
        <f>'Standing charge factors'!U45</f>
        <v>0</v>
      </c>
      <c r="V82" s="120">
        <f>'Standing charge factors'!V45</f>
        <v>0</v>
      </c>
      <c r="W82" s="120">
        <f>'Standing charge factors'!W45</f>
        <v>0</v>
      </c>
      <c r="X82" s="120">
        <f>'Standing charge factors'!X45</f>
        <v>0</v>
      </c>
      <c r="Y82" s="120">
        <f>'Standing charge factors'!Y45</f>
        <v>0</v>
      </c>
      <c r="AP82" s="19"/>
    </row>
    <row r="83" spans="3:42" x14ac:dyDescent="0.25">
      <c r="C83" s="52"/>
      <c r="D83"/>
      <c r="E83" t="s">
        <v>45</v>
      </c>
      <c r="G83" t="s">
        <v>94</v>
      </c>
      <c r="H83" s="79"/>
      <c r="J83" s="120">
        <f>'Standing charge factors'!J46</f>
        <v>0</v>
      </c>
      <c r="K83" s="120">
        <f>'Standing charge factors'!K46</f>
        <v>0</v>
      </c>
      <c r="L83" s="120">
        <f>'Standing charge factors'!L46</f>
        <v>0</v>
      </c>
      <c r="M83" s="120">
        <f>'Standing charge factors'!M46</f>
        <v>0</v>
      </c>
      <c r="N83" s="120">
        <f>'Standing charge factors'!N46</f>
        <v>0</v>
      </c>
      <c r="O83" s="120">
        <f>'Standing charge factors'!O46</f>
        <v>0</v>
      </c>
      <c r="P83" s="120">
        <f>'Standing charge factors'!P46</f>
        <v>0</v>
      </c>
      <c r="Q83" s="120">
        <f>'Standing charge factors'!Q46</f>
        <v>0</v>
      </c>
      <c r="R83" s="120">
        <f>'Standing charge factors'!R46</f>
        <v>0</v>
      </c>
      <c r="S83" s="120">
        <f>'Standing charge factors'!S46</f>
        <v>0</v>
      </c>
      <c r="T83" s="120">
        <f>'Standing charge factors'!T46</f>
        <v>0</v>
      </c>
      <c r="U83" s="120">
        <f>'Standing charge factors'!U46</f>
        <v>0</v>
      </c>
      <c r="V83" s="120">
        <f>'Standing charge factors'!V46</f>
        <v>0</v>
      </c>
      <c r="W83" s="120">
        <f>'Standing charge factors'!W46</f>
        <v>0</v>
      </c>
      <c r="X83" s="120">
        <f>'Standing charge factors'!X46</f>
        <v>0</v>
      </c>
      <c r="Y83" s="120">
        <f>'Standing charge factors'!Y46</f>
        <v>0</v>
      </c>
      <c r="AP83" s="19"/>
    </row>
    <row r="84" spans="3:42" x14ac:dyDescent="0.25">
      <c r="C84" s="52"/>
      <c r="D84"/>
      <c r="E84" t="s">
        <v>46</v>
      </c>
      <c r="G84" t="s">
        <v>94</v>
      </c>
      <c r="H84" s="79"/>
      <c r="J84" s="120">
        <f>'Standing charge factors'!J47</f>
        <v>0</v>
      </c>
      <c r="K84" s="120">
        <f>'Standing charge factors'!K47</f>
        <v>0</v>
      </c>
      <c r="L84" s="120">
        <f>'Standing charge factors'!L47</f>
        <v>0</v>
      </c>
      <c r="M84" s="120">
        <f>'Standing charge factors'!M47</f>
        <v>0</v>
      </c>
      <c r="N84" s="120">
        <f>'Standing charge factors'!N47</f>
        <v>0</v>
      </c>
      <c r="O84" s="120">
        <f>'Standing charge factors'!O47</f>
        <v>0</v>
      </c>
      <c r="P84" s="120">
        <f>'Standing charge factors'!P47</f>
        <v>0.2</v>
      </c>
      <c r="Q84" s="120">
        <f>'Standing charge factors'!Q47</f>
        <v>0</v>
      </c>
      <c r="R84" s="120">
        <f>'Standing charge factors'!R47</f>
        <v>0</v>
      </c>
      <c r="S84" s="120">
        <f>'Standing charge factors'!S47</f>
        <v>0</v>
      </c>
      <c r="T84" s="120">
        <f>'Standing charge factors'!T47</f>
        <v>0</v>
      </c>
      <c r="U84" s="120">
        <f>'Standing charge factors'!U47</f>
        <v>0</v>
      </c>
      <c r="V84" s="120">
        <f>'Standing charge factors'!V47</f>
        <v>0</v>
      </c>
      <c r="W84" s="120">
        <f>'Standing charge factors'!W47</f>
        <v>0</v>
      </c>
      <c r="X84" s="120">
        <f>'Standing charge factors'!X47</f>
        <v>0</v>
      </c>
      <c r="Y84" s="120">
        <f>'Standing charge factors'!Y47</f>
        <v>0</v>
      </c>
      <c r="AP84" s="19"/>
    </row>
    <row r="85" spans="3:42" x14ac:dyDescent="0.25">
      <c r="C85" s="52"/>
      <c r="D85"/>
      <c r="E85" t="s">
        <v>47</v>
      </c>
      <c r="G85" t="s">
        <v>94</v>
      </c>
      <c r="H85" s="79"/>
      <c r="J85" s="120">
        <f>'Standing charge factors'!J48</f>
        <v>0</v>
      </c>
      <c r="K85" s="120">
        <f>'Standing charge factors'!K48</f>
        <v>0</v>
      </c>
      <c r="L85" s="120">
        <f>'Standing charge factors'!L48</f>
        <v>0</v>
      </c>
      <c r="M85" s="120">
        <f>'Standing charge factors'!M48</f>
        <v>0</v>
      </c>
      <c r="N85" s="120">
        <f>'Standing charge factors'!N48</f>
        <v>0</v>
      </c>
      <c r="O85" s="120">
        <f>'Standing charge factors'!O48</f>
        <v>0</v>
      </c>
      <c r="P85" s="120">
        <f>'Standing charge factors'!P48</f>
        <v>1</v>
      </c>
      <c r="Q85" s="120">
        <f>'Standing charge factors'!Q48</f>
        <v>0</v>
      </c>
      <c r="R85" s="120">
        <f>'Standing charge factors'!R48</f>
        <v>0</v>
      </c>
      <c r="S85" s="120">
        <f>'Standing charge factors'!S48</f>
        <v>0</v>
      </c>
      <c r="T85" s="120">
        <f>'Standing charge factors'!T48</f>
        <v>0</v>
      </c>
      <c r="U85" s="120">
        <f>'Standing charge factors'!U48</f>
        <v>0</v>
      </c>
      <c r="V85" s="120">
        <f>'Standing charge factors'!V48</f>
        <v>0</v>
      </c>
      <c r="W85" s="120">
        <f>'Standing charge factors'!W48</f>
        <v>0</v>
      </c>
      <c r="X85" s="120">
        <f>'Standing charge factors'!X48</f>
        <v>0</v>
      </c>
      <c r="Y85" s="120">
        <f>'Standing charge factors'!Y48</f>
        <v>0</v>
      </c>
      <c r="AP85" s="19"/>
    </row>
    <row r="86" spans="3:42" x14ac:dyDescent="0.25">
      <c r="C86" s="52"/>
      <c r="D86"/>
      <c r="E86" t="s">
        <v>51</v>
      </c>
      <c r="G86" t="s">
        <v>94</v>
      </c>
      <c r="H86" s="79"/>
      <c r="J86" s="120">
        <f>'Standing charge factors'!J49</f>
        <v>0</v>
      </c>
      <c r="K86" s="120">
        <f>'Standing charge factors'!K49</f>
        <v>0</v>
      </c>
      <c r="L86" s="120">
        <f>'Standing charge factors'!L49</f>
        <v>0</v>
      </c>
      <c r="M86" s="120">
        <f>'Standing charge factors'!M49</f>
        <v>0</v>
      </c>
      <c r="N86" s="120">
        <f>'Standing charge factors'!N49</f>
        <v>0</v>
      </c>
      <c r="O86" s="120">
        <f>'Standing charge factors'!O49</f>
        <v>0</v>
      </c>
      <c r="P86" s="120">
        <f>'Standing charge factors'!P49</f>
        <v>1</v>
      </c>
      <c r="Q86" s="120">
        <f>'Standing charge factors'!Q49</f>
        <v>0</v>
      </c>
      <c r="R86" s="120">
        <f>'Standing charge factors'!R49</f>
        <v>0</v>
      </c>
      <c r="S86" s="120">
        <f>'Standing charge factors'!S49</f>
        <v>0</v>
      </c>
      <c r="T86" s="120">
        <f>'Standing charge factors'!T49</f>
        <v>0</v>
      </c>
      <c r="U86" s="120">
        <f>'Standing charge factors'!U49</f>
        <v>0</v>
      </c>
      <c r="V86" s="120">
        <f>'Standing charge factors'!V49</f>
        <v>0</v>
      </c>
      <c r="W86" s="120">
        <f>'Standing charge factors'!W49</f>
        <v>0</v>
      </c>
      <c r="X86" s="120">
        <f>'Standing charge factors'!X49</f>
        <v>0</v>
      </c>
      <c r="Y86" s="120">
        <f>'Standing charge factors'!Y49</f>
        <v>0</v>
      </c>
      <c r="AP86" s="19"/>
    </row>
    <row r="87" spans="3:42" x14ac:dyDescent="0.25">
      <c r="C87" s="52"/>
      <c r="D87"/>
      <c r="E87" t="s">
        <v>48</v>
      </c>
      <c r="G87" t="s">
        <v>94</v>
      </c>
      <c r="H87" s="79"/>
      <c r="J87" s="120">
        <f>'Standing charge factors'!J50</f>
        <v>0</v>
      </c>
      <c r="K87" s="120">
        <f>'Standing charge factors'!K50</f>
        <v>0</v>
      </c>
      <c r="L87" s="120">
        <f>'Standing charge factors'!L50</f>
        <v>0</v>
      </c>
      <c r="M87" s="120">
        <f>'Standing charge factors'!M50</f>
        <v>0</v>
      </c>
      <c r="N87" s="120">
        <f>'Standing charge factors'!N50</f>
        <v>0.2</v>
      </c>
      <c r="O87" s="120">
        <f>'Standing charge factors'!O50</f>
        <v>1</v>
      </c>
      <c r="P87" s="120">
        <f>'Standing charge factors'!P50</f>
        <v>1</v>
      </c>
      <c r="Q87" s="120">
        <f>'Standing charge factors'!Q50</f>
        <v>0</v>
      </c>
      <c r="R87" s="120">
        <f>'Standing charge factors'!R50</f>
        <v>0</v>
      </c>
      <c r="S87" s="120">
        <f>'Standing charge factors'!S50</f>
        <v>0</v>
      </c>
      <c r="T87" s="120">
        <f>'Standing charge factors'!T50</f>
        <v>0</v>
      </c>
      <c r="U87" s="120">
        <f>'Standing charge factors'!U50</f>
        <v>0</v>
      </c>
      <c r="V87" s="120">
        <f>'Standing charge factors'!V50</f>
        <v>0</v>
      </c>
      <c r="W87" s="120">
        <f>'Standing charge factors'!W50</f>
        <v>0</v>
      </c>
      <c r="X87" s="120">
        <f>'Standing charge factors'!X50</f>
        <v>0</v>
      </c>
      <c r="Y87" s="120">
        <f>'Standing charge factors'!Y50</f>
        <v>0</v>
      </c>
      <c r="AP87" s="19"/>
    </row>
    <row r="88" spans="3:42" x14ac:dyDescent="0.25">
      <c r="C88" s="52"/>
      <c r="D88"/>
      <c r="E88" t="s">
        <v>49</v>
      </c>
      <c r="G88" t="s">
        <v>94</v>
      </c>
      <c r="H88" s="79"/>
      <c r="J88" s="120">
        <f>'Standing charge factors'!J51</f>
        <v>0</v>
      </c>
      <c r="K88" s="120">
        <f>'Standing charge factors'!K51</f>
        <v>0</v>
      </c>
      <c r="L88" s="120">
        <f>'Standing charge factors'!L51</f>
        <v>0</v>
      </c>
      <c r="M88" s="120">
        <f>'Standing charge factors'!M51</f>
        <v>0</v>
      </c>
      <c r="N88" s="120">
        <f>'Standing charge factors'!N51</f>
        <v>1</v>
      </c>
      <c r="O88" s="120">
        <f>'Standing charge factors'!O51</f>
        <v>1</v>
      </c>
      <c r="P88" s="120">
        <f>'Standing charge factors'!P51</f>
        <v>0</v>
      </c>
      <c r="Q88" s="120">
        <f>'Standing charge factors'!Q51</f>
        <v>0</v>
      </c>
      <c r="R88" s="120">
        <f>'Standing charge factors'!R51</f>
        <v>0</v>
      </c>
      <c r="S88" s="120">
        <f>'Standing charge factors'!S51</f>
        <v>0</v>
      </c>
      <c r="T88" s="120">
        <f>'Standing charge factors'!T51</f>
        <v>0</v>
      </c>
      <c r="U88" s="120">
        <f>'Standing charge factors'!U51</f>
        <v>0</v>
      </c>
      <c r="V88" s="120">
        <f>'Standing charge factors'!V51</f>
        <v>0</v>
      </c>
      <c r="W88" s="120">
        <f>'Standing charge factors'!W51</f>
        <v>0</v>
      </c>
      <c r="X88" s="120">
        <f>'Standing charge factors'!X51</f>
        <v>0</v>
      </c>
      <c r="Y88" s="120">
        <f>'Standing charge factors'!Y51</f>
        <v>0</v>
      </c>
      <c r="AP88" s="19"/>
    </row>
    <row r="89" spans="3:42" x14ac:dyDescent="0.25">
      <c r="C89" s="52"/>
      <c r="D89"/>
      <c r="E89" s="17" t="s">
        <v>50</v>
      </c>
      <c r="F89" s="17"/>
      <c r="G89" s="17" t="s">
        <v>94</v>
      </c>
      <c r="H89" s="159"/>
      <c r="I89" s="17"/>
      <c r="J89" s="337">
        <f>'Standing charge factors'!J52</f>
        <v>1</v>
      </c>
      <c r="K89" s="337">
        <f>'Standing charge factors'!K52</f>
        <v>1</v>
      </c>
      <c r="L89" s="337">
        <f>'Standing charge factors'!L52</f>
        <v>1</v>
      </c>
      <c r="M89" s="337">
        <f>'Standing charge factors'!M52</f>
        <v>1</v>
      </c>
      <c r="N89" s="337">
        <f>'Standing charge factors'!N52</f>
        <v>1</v>
      </c>
      <c r="O89" s="337">
        <f>'Standing charge factors'!O52</f>
        <v>0</v>
      </c>
      <c r="P89" s="337">
        <f>'Standing charge factors'!P52</f>
        <v>0</v>
      </c>
      <c r="Q89" s="337">
        <f>'Standing charge factors'!Q52</f>
        <v>0</v>
      </c>
      <c r="R89" s="337">
        <f>'Standing charge factors'!R52</f>
        <v>0</v>
      </c>
      <c r="S89" s="337">
        <f>'Standing charge factors'!S52</f>
        <v>0</v>
      </c>
      <c r="T89" s="337">
        <f>'Standing charge factors'!T52</f>
        <v>0</v>
      </c>
      <c r="U89" s="337">
        <f>'Standing charge factors'!U52</f>
        <v>0</v>
      </c>
      <c r="V89" s="337">
        <f>'Standing charge factors'!V52</f>
        <v>0</v>
      </c>
      <c r="W89" s="337">
        <f>'Standing charge factors'!W52</f>
        <v>0</v>
      </c>
      <c r="X89" s="337">
        <f>'Standing charge factors'!X52</f>
        <v>0</v>
      </c>
      <c r="Y89" s="337">
        <f>'Standing charge factors'!Y52</f>
        <v>0</v>
      </c>
      <c r="AP89" s="19"/>
    </row>
    <row r="90" spans="3:42" x14ac:dyDescent="0.25">
      <c r="C90" s="76"/>
    </row>
    <row r="91" spans="3:42" x14ac:dyDescent="0.25">
      <c r="D91" s="52" t="s">
        <v>333</v>
      </c>
      <c r="E91" s="52"/>
      <c r="I91" t="s">
        <v>359</v>
      </c>
      <c r="AA91" t="s">
        <v>818</v>
      </c>
    </row>
    <row r="92" spans="3:42" x14ac:dyDescent="0.25">
      <c r="D92" s="73" t="s">
        <v>325</v>
      </c>
      <c r="E92"/>
      <c r="AA92" s="61"/>
    </row>
    <row r="93" spans="3:42" x14ac:dyDescent="0.25">
      <c r="D93"/>
      <c r="E93" s="80" t="s">
        <v>267</v>
      </c>
      <c r="F93" s="80"/>
      <c r="G93" s="14" t="s">
        <v>427</v>
      </c>
      <c r="H93" s="80"/>
      <c r="I93" s="80"/>
      <c r="J93" s="201"/>
      <c r="K93" s="201"/>
      <c r="L93" s="201"/>
      <c r="M93" s="201"/>
      <c r="N93" s="201"/>
      <c r="O93" s="201"/>
      <c r="P93" s="201"/>
      <c r="Q93" s="201"/>
      <c r="R93" s="228">
        <f t="array" ref="R93:Y102">TRANSPOSE('Load &amp; loss characteristics'!J172:S179)</f>
        <v>-1.105</v>
      </c>
      <c r="S93" s="228">
        <v>-1.044</v>
      </c>
      <c r="T93" s="228">
        <v>-1.105</v>
      </c>
      <c r="U93" s="228">
        <v>-1.105</v>
      </c>
      <c r="V93" s="228">
        <v>-1.044</v>
      </c>
      <c r="W93" s="228">
        <v>-1.044</v>
      </c>
      <c r="X93" s="228">
        <v>-1.024</v>
      </c>
      <c r="Y93" s="228">
        <v>-1.024</v>
      </c>
    </row>
    <row r="94" spans="3:42" x14ac:dyDescent="0.25">
      <c r="D94"/>
      <c r="E94" t="s">
        <v>43</v>
      </c>
      <c r="G94" s="12" t="s">
        <v>427</v>
      </c>
      <c r="J94" s="234"/>
      <c r="K94" s="234"/>
      <c r="L94" s="234"/>
      <c r="M94" s="234"/>
      <c r="N94" s="234"/>
      <c r="O94" s="234"/>
      <c r="P94" s="234"/>
      <c r="Q94" s="234"/>
      <c r="R94" s="229">
        <v>-1.105</v>
      </c>
      <c r="S94" s="229">
        <v>-1.044</v>
      </c>
      <c r="T94" s="229">
        <v>-1.105</v>
      </c>
      <c r="U94" s="229">
        <v>-1.105</v>
      </c>
      <c r="V94" s="229">
        <v>-1.044</v>
      </c>
      <c r="W94" s="229">
        <v>-1.044</v>
      </c>
      <c r="X94" s="229">
        <v>-1.024</v>
      </c>
      <c r="Y94" s="229">
        <v>-1.024</v>
      </c>
    </row>
    <row r="95" spans="3:42" x14ac:dyDescent="0.25">
      <c r="D95"/>
      <c r="E95" t="s">
        <v>44</v>
      </c>
      <c r="G95" s="12" t="s">
        <v>427</v>
      </c>
      <c r="J95" s="234"/>
      <c r="K95" s="234"/>
      <c r="L95" s="234"/>
      <c r="M95" s="234"/>
      <c r="N95" s="234"/>
      <c r="O95" s="234"/>
      <c r="P95" s="234"/>
      <c r="Q95" s="234"/>
      <c r="R95" s="229">
        <v>-1.105</v>
      </c>
      <c r="S95" s="229">
        <v>-1.044</v>
      </c>
      <c r="T95" s="229">
        <v>-1.105</v>
      </c>
      <c r="U95" s="229">
        <v>-1.105</v>
      </c>
      <c r="V95" s="229">
        <v>-1.044</v>
      </c>
      <c r="W95" s="229">
        <v>-1.044</v>
      </c>
      <c r="X95" s="229">
        <v>-1.024</v>
      </c>
      <c r="Y95" s="229">
        <v>-1.024</v>
      </c>
    </row>
    <row r="96" spans="3:42" x14ac:dyDescent="0.25">
      <c r="D96"/>
      <c r="E96" t="s">
        <v>45</v>
      </c>
      <c r="G96" s="12" t="s">
        <v>427</v>
      </c>
      <c r="J96" s="234"/>
      <c r="K96" s="234"/>
      <c r="L96" s="234"/>
      <c r="M96" s="234"/>
      <c r="N96" s="234"/>
      <c r="O96" s="234"/>
      <c r="P96" s="234"/>
      <c r="Q96" s="234"/>
      <c r="R96" s="229">
        <v>-1.105</v>
      </c>
      <c r="S96" s="229">
        <v>-1.044</v>
      </c>
      <c r="T96" s="229">
        <v>-1.105</v>
      </c>
      <c r="U96" s="229">
        <v>-1.105</v>
      </c>
      <c r="V96" s="229">
        <v>-1.044</v>
      </c>
      <c r="W96" s="229">
        <v>-1.044</v>
      </c>
      <c r="X96" s="229">
        <v>-1.024</v>
      </c>
      <c r="Y96" s="229">
        <v>-1.024</v>
      </c>
    </row>
    <row r="97" spans="3:25" x14ac:dyDescent="0.25">
      <c r="D97"/>
      <c r="E97" t="s">
        <v>46</v>
      </c>
      <c r="G97" s="12" t="s">
        <v>427</v>
      </c>
      <c r="J97" s="234"/>
      <c r="K97" s="234"/>
      <c r="L97" s="234"/>
      <c r="M97" s="234"/>
      <c r="N97" s="234"/>
      <c r="O97" s="234"/>
      <c r="P97" s="234"/>
      <c r="Q97" s="234"/>
      <c r="R97" s="229">
        <v>-1.105</v>
      </c>
      <c r="S97" s="229">
        <v>-1.044</v>
      </c>
      <c r="T97" s="229">
        <v>-1.105</v>
      </c>
      <c r="U97" s="229">
        <v>-1.105</v>
      </c>
      <c r="V97" s="229">
        <v>-1.044</v>
      </c>
      <c r="W97" s="229">
        <v>-1.044</v>
      </c>
      <c r="X97" s="229">
        <v>-1.024</v>
      </c>
      <c r="Y97" s="229">
        <v>-1.024</v>
      </c>
    </row>
    <row r="98" spans="3:25" x14ac:dyDescent="0.25">
      <c r="D98"/>
      <c r="E98" t="s">
        <v>47</v>
      </c>
      <c r="G98" s="12" t="s">
        <v>427</v>
      </c>
      <c r="J98" s="234"/>
      <c r="K98" s="234"/>
      <c r="L98" s="234"/>
      <c r="M98" s="234"/>
      <c r="N98" s="234"/>
      <c r="O98" s="234"/>
      <c r="P98" s="234"/>
      <c r="Q98" s="234"/>
      <c r="R98" s="229">
        <v>-1.105</v>
      </c>
      <c r="S98" s="229">
        <v>-1.044</v>
      </c>
      <c r="T98" s="229">
        <v>-1.105</v>
      </c>
      <c r="U98" s="229">
        <v>-1.105</v>
      </c>
      <c r="V98" s="229">
        <v>-1.044</v>
      </c>
      <c r="W98" s="229">
        <v>-1.044</v>
      </c>
      <c r="X98" s="229">
        <v>-1.024</v>
      </c>
      <c r="Y98" s="229">
        <v>-1.024</v>
      </c>
    </row>
    <row r="99" spans="3:25" x14ac:dyDescent="0.25">
      <c r="D99"/>
      <c r="E99" t="s">
        <v>51</v>
      </c>
      <c r="G99" s="12" t="s">
        <v>427</v>
      </c>
      <c r="J99" s="234"/>
      <c r="K99" s="234"/>
      <c r="L99" s="234"/>
      <c r="M99" s="234"/>
      <c r="N99" s="234"/>
      <c r="O99" s="234"/>
      <c r="P99" s="234"/>
      <c r="Q99" s="234"/>
      <c r="R99" s="229">
        <v>0</v>
      </c>
      <c r="S99" s="229">
        <v>0</v>
      </c>
      <c r="T99" s="229">
        <v>0</v>
      </c>
      <c r="U99" s="229">
        <v>0</v>
      </c>
      <c r="V99" s="229">
        <v>0</v>
      </c>
      <c r="W99" s="229">
        <v>0</v>
      </c>
      <c r="X99" s="229">
        <v>0</v>
      </c>
      <c r="Y99" s="229">
        <v>0</v>
      </c>
    </row>
    <row r="100" spans="3:25" x14ac:dyDescent="0.25">
      <c r="D100"/>
      <c r="E100" t="s">
        <v>48</v>
      </c>
      <c r="G100" s="12" t="s">
        <v>427</v>
      </c>
      <c r="J100" s="234"/>
      <c r="K100" s="234"/>
      <c r="L100" s="234"/>
      <c r="M100" s="234"/>
      <c r="N100" s="234"/>
      <c r="O100" s="234"/>
      <c r="P100" s="234"/>
      <c r="Q100" s="234"/>
      <c r="R100" s="229">
        <v>-1.105</v>
      </c>
      <c r="S100" s="229">
        <v>-1.044</v>
      </c>
      <c r="T100" s="229">
        <v>-1.105</v>
      </c>
      <c r="U100" s="229">
        <v>-1.105</v>
      </c>
      <c r="V100" s="229">
        <v>-1.044</v>
      </c>
      <c r="W100" s="229">
        <v>-1.044</v>
      </c>
      <c r="X100" s="229">
        <v>-1.024</v>
      </c>
      <c r="Y100" s="229">
        <v>-1.024</v>
      </c>
    </row>
    <row r="101" spans="3:25" x14ac:dyDescent="0.25">
      <c r="D101"/>
      <c r="E101" t="s">
        <v>49</v>
      </c>
      <c r="G101" s="12" t="s">
        <v>427</v>
      </c>
      <c r="J101" s="234"/>
      <c r="K101" s="234"/>
      <c r="L101" s="234"/>
      <c r="M101" s="234"/>
      <c r="N101" s="234"/>
      <c r="O101" s="234"/>
      <c r="P101" s="234"/>
      <c r="Q101" s="234"/>
      <c r="R101" s="229">
        <v>-1.105</v>
      </c>
      <c r="S101" s="229">
        <v>-1.044</v>
      </c>
      <c r="T101" s="229">
        <v>-1.105</v>
      </c>
      <c r="U101" s="229">
        <v>-1.105</v>
      </c>
      <c r="V101" s="229">
        <v>-1.044</v>
      </c>
      <c r="W101" s="229">
        <v>-1.044</v>
      </c>
      <c r="X101" s="229">
        <v>0</v>
      </c>
      <c r="Y101" s="229">
        <v>0</v>
      </c>
    </row>
    <row r="102" spans="3:25" x14ac:dyDescent="0.25">
      <c r="D102"/>
      <c r="E102" t="s">
        <v>50</v>
      </c>
      <c r="G102" s="12" t="s">
        <v>427</v>
      </c>
      <c r="J102" s="234"/>
      <c r="K102" s="234"/>
      <c r="L102" s="234"/>
      <c r="M102" s="234"/>
      <c r="N102" s="234"/>
      <c r="O102" s="234"/>
      <c r="P102" s="234"/>
      <c r="Q102" s="234"/>
      <c r="R102" s="229">
        <v>-1.105</v>
      </c>
      <c r="S102" s="229">
        <v>0</v>
      </c>
      <c r="T102" s="229">
        <v>-1.105</v>
      </c>
      <c r="U102" s="229">
        <v>-1.105</v>
      </c>
      <c r="V102" s="229">
        <v>0</v>
      </c>
      <c r="W102" s="229">
        <v>0</v>
      </c>
      <c r="X102" s="229">
        <v>0</v>
      </c>
      <c r="Y102" s="229">
        <v>0</v>
      </c>
    </row>
    <row r="103" spans="3:25" x14ac:dyDescent="0.25">
      <c r="D103"/>
      <c r="E103" t="s">
        <v>124</v>
      </c>
      <c r="G103" s="12" t="s">
        <v>427</v>
      </c>
      <c r="J103" s="234"/>
      <c r="K103" s="234"/>
      <c r="L103" s="234"/>
      <c r="M103" s="234"/>
      <c r="N103" s="234"/>
      <c r="O103" s="234"/>
      <c r="P103" s="234"/>
      <c r="Q103" s="234"/>
      <c r="R103" s="234"/>
      <c r="S103" s="234"/>
      <c r="T103" s="234"/>
      <c r="U103" s="234"/>
      <c r="V103" s="234"/>
      <c r="W103" s="234"/>
      <c r="X103" s="234"/>
      <c r="Y103" s="234"/>
    </row>
    <row r="104" spans="3:25" x14ac:dyDescent="0.25">
      <c r="D104"/>
      <c r="E104" s="17" t="s">
        <v>123</v>
      </c>
      <c r="F104" s="17"/>
      <c r="G104" s="13" t="s">
        <v>427</v>
      </c>
      <c r="H104" s="17"/>
      <c r="I104" s="17"/>
      <c r="J104" s="203"/>
      <c r="K104" s="203"/>
      <c r="L104" s="203"/>
      <c r="M104" s="203"/>
      <c r="N104" s="203"/>
      <c r="O104" s="203"/>
      <c r="P104" s="203"/>
      <c r="Q104" s="203"/>
      <c r="R104" s="203"/>
      <c r="S104" s="203"/>
      <c r="T104" s="203"/>
      <c r="U104" s="203"/>
      <c r="V104" s="203"/>
      <c r="W104" s="203"/>
      <c r="X104" s="203"/>
      <c r="Y104" s="203"/>
    </row>
    <row r="105" spans="3:25" x14ac:dyDescent="0.25">
      <c r="C105" s="76"/>
    </row>
    <row r="106" spans="3:25" x14ac:dyDescent="0.25">
      <c r="D106" s="52" t="s">
        <v>521</v>
      </c>
      <c r="E106"/>
    </row>
    <row r="107" spans="3:25" x14ac:dyDescent="0.25">
      <c r="C107" s="76"/>
      <c r="E107" s="80" t="s">
        <v>267</v>
      </c>
      <c r="F107" s="80"/>
      <c r="G107" s="80" t="s">
        <v>94</v>
      </c>
      <c r="H107" s="80"/>
      <c r="I107" s="80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</row>
    <row r="108" spans="3:25" x14ac:dyDescent="0.25">
      <c r="C108" s="76"/>
      <c r="E108" t="s">
        <v>43</v>
      </c>
      <c r="G108" t="s">
        <v>94</v>
      </c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</row>
    <row r="109" spans="3:25" x14ac:dyDescent="0.25">
      <c r="C109" s="76"/>
      <c r="E109" t="s">
        <v>44</v>
      </c>
      <c r="G109" t="s">
        <v>94</v>
      </c>
      <c r="J109" s="120">
        <f t="array" ref="J109:Y116">TRANSPOSE('Customer contributions'!L51:S66)</f>
        <v>0</v>
      </c>
      <c r="K109" s="120">
        <v>0</v>
      </c>
      <c r="L109" s="120">
        <v>0</v>
      </c>
      <c r="M109" s="120">
        <v>0</v>
      </c>
      <c r="N109" s="120">
        <v>0</v>
      </c>
      <c r="O109" s="120">
        <v>0</v>
      </c>
      <c r="P109" s="120">
        <v>0</v>
      </c>
      <c r="Q109" s="120">
        <v>0</v>
      </c>
      <c r="R109" s="120">
        <v>0</v>
      </c>
      <c r="S109" s="120">
        <v>0</v>
      </c>
      <c r="T109" s="120">
        <v>0</v>
      </c>
      <c r="U109" s="120">
        <v>0</v>
      </c>
      <c r="V109" s="120">
        <v>0</v>
      </c>
      <c r="W109" s="120">
        <v>0</v>
      </c>
      <c r="X109" s="120">
        <v>0</v>
      </c>
      <c r="Y109" s="120">
        <v>0</v>
      </c>
    </row>
    <row r="110" spans="3:25" x14ac:dyDescent="0.25">
      <c r="C110" s="76"/>
      <c r="E110" t="s">
        <v>45</v>
      </c>
      <c r="G110" t="s">
        <v>94</v>
      </c>
      <c r="J110" s="120">
        <v>0</v>
      </c>
      <c r="K110" s="120">
        <v>0</v>
      </c>
      <c r="L110" s="120">
        <v>0</v>
      </c>
      <c r="M110" s="120">
        <v>0</v>
      </c>
      <c r="N110" s="120">
        <v>0</v>
      </c>
      <c r="O110" s="120">
        <v>0</v>
      </c>
      <c r="P110" s="120">
        <v>0</v>
      </c>
      <c r="Q110" s="120">
        <v>0</v>
      </c>
      <c r="R110" s="120">
        <v>0</v>
      </c>
      <c r="S110" s="120">
        <v>0</v>
      </c>
      <c r="T110" s="120">
        <v>0</v>
      </c>
      <c r="U110" s="120">
        <v>0</v>
      </c>
      <c r="V110" s="120">
        <v>0</v>
      </c>
      <c r="W110" s="120">
        <v>0</v>
      </c>
      <c r="X110" s="120">
        <v>0</v>
      </c>
      <c r="Y110" s="120">
        <v>0</v>
      </c>
    </row>
    <row r="111" spans="3:25" x14ac:dyDescent="0.25">
      <c r="C111" s="76"/>
      <c r="E111" t="s">
        <v>46</v>
      </c>
      <c r="G111" t="s">
        <v>94</v>
      </c>
      <c r="J111" s="120">
        <v>0</v>
      </c>
      <c r="K111" s="120">
        <v>0</v>
      </c>
      <c r="L111" s="120">
        <v>0</v>
      </c>
      <c r="M111" s="120">
        <v>0</v>
      </c>
      <c r="N111" s="120">
        <v>0</v>
      </c>
      <c r="O111" s="120">
        <v>0</v>
      </c>
      <c r="P111" s="120">
        <v>3.11004784688995E-2</v>
      </c>
      <c r="Q111" s="120">
        <v>0</v>
      </c>
      <c r="R111" s="120">
        <v>0</v>
      </c>
      <c r="S111" s="120">
        <v>0</v>
      </c>
      <c r="T111" s="120">
        <v>0</v>
      </c>
      <c r="U111" s="120">
        <v>0</v>
      </c>
      <c r="V111" s="120">
        <v>0</v>
      </c>
      <c r="W111" s="120">
        <v>0</v>
      </c>
      <c r="X111" s="120">
        <v>3.11004784688995E-2</v>
      </c>
      <c r="Y111" s="120">
        <v>3.11004784688995E-2</v>
      </c>
    </row>
    <row r="112" spans="3:25" x14ac:dyDescent="0.25">
      <c r="C112" s="76"/>
      <c r="E112" t="s">
        <v>47</v>
      </c>
      <c r="G112" t="s">
        <v>94</v>
      </c>
      <c r="J112" s="120">
        <v>0</v>
      </c>
      <c r="K112" s="120">
        <v>0</v>
      </c>
      <c r="L112" s="120">
        <v>0</v>
      </c>
      <c r="M112" s="120">
        <v>0</v>
      </c>
      <c r="N112" s="120">
        <v>0</v>
      </c>
      <c r="O112" s="120">
        <v>0</v>
      </c>
      <c r="P112" s="120">
        <v>0.14212259371833799</v>
      </c>
      <c r="Q112" s="120">
        <v>0</v>
      </c>
      <c r="R112" s="120">
        <v>0</v>
      </c>
      <c r="S112" s="120">
        <v>0</v>
      </c>
      <c r="T112" s="120">
        <v>0</v>
      </c>
      <c r="U112" s="120">
        <v>0</v>
      </c>
      <c r="V112" s="120">
        <v>0</v>
      </c>
      <c r="W112" s="120">
        <v>0</v>
      </c>
      <c r="X112" s="120">
        <v>0.14212259371833799</v>
      </c>
      <c r="Y112" s="120">
        <v>0.14212259371833799</v>
      </c>
    </row>
    <row r="113" spans="3:27" x14ac:dyDescent="0.25">
      <c r="C113" s="76"/>
      <c r="E113" t="s">
        <v>51</v>
      </c>
      <c r="G113" t="s">
        <v>94</v>
      </c>
      <c r="J113" s="120">
        <v>0</v>
      </c>
      <c r="K113" s="120">
        <v>0</v>
      </c>
      <c r="L113" s="120">
        <v>0</v>
      </c>
      <c r="M113" s="120">
        <v>0</v>
      </c>
      <c r="N113" s="120">
        <v>0</v>
      </c>
      <c r="O113" s="120">
        <v>0</v>
      </c>
      <c r="P113" s="120">
        <v>0</v>
      </c>
      <c r="Q113" s="120">
        <v>0</v>
      </c>
      <c r="R113" s="120">
        <v>0</v>
      </c>
      <c r="S113" s="120">
        <v>0</v>
      </c>
      <c r="T113" s="120">
        <v>0</v>
      </c>
      <c r="U113" s="120">
        <v>0</v>
      </c>
      <c r="V113" s="120">
        <v>0</v>
      </c>
      <c r="W113" s="120">
        <v>0</v>
      </c>
      <c r="X113" s="120">
        <v>0</v>
      </c>
      <c r="Y113" s="120">
        <v>0</v>
      </c>
    </row>
    <row r="114" spans="3:27" x14ac:dyDescent="0.25">
      <c r="C114" s="76"/>
      <c r="E114" t="s">
        <v>48</v>
      </c>
      <c r="G114" t="s">
        <v>94</v>
      </c>
      <c r="J114" s="120">
        <v>0.20065197841726601</v>
      </c>
      <c r="K114" s="120">
        <v>0.20065197841726601</v>
      </c>
      <c r="L114" s="120">
        <v>0.20065197841726601</v>
      </c>
      <c r="M114" s="120">
        <v>0.20065197841726601</v>
      </c>
      <c r="N114" s="120">
        <v>0.20065197841726601</v>
      </c>
      <c r="O114" s="120">
        <v>0.20065197841726601</v>
      </c>
      <c r="P114" s="120">
        <v>0.45146695143884902</v>
      </c>
      <c r="Q114" s="120">
        <v>0.20065197841726601</v>
      </c>
      <c r="R114" s="120">
        <v>0.20065197841726601</v>
      </c>
      <c r="S114" s="120">
        <v>0.20065197841726601</v>
      </c>
      <c r="T114" s="120">
        <v>0.20065197841726601</v>
      </c>
      <c r="U114" s="120">
        <v>0.20065197841726601</v>
      </c>
      <c r="V114" s="120">
        <v>0.20065197841726601</v>
      </c>
      <c r="W114" s="120">
        <v>0.20065197841726601</v>
      </c>
      <c r="X114" s="120">
        <v>0.45146695143884902</v>
      </c>
      <c r="Y114" s="120">
        <v>0.45146695143884902</v>
      </c>
    </row>
    <row r="115" spans="3:27" x14ac:dyDescent="0.25">
      <c r="C115" s="76"/>
      <c r="E115" t="s">
        <v>49</v>
      </c>
      <c r="G115" t="s">
        <v>94</v>
      </c>
      <c r="J115" s="120">
        <v>0.26968503937007898</v>
      </c>
      <c r="K115" s="120">
        <v>0.26968503937007898</v>
      </c>
      <c r="L115" s="120">
        <v>0.26968503937007898</v>
      </c>
      <c r="M115" s="120">
        <v>0.26968503937007898</v>
      </c>
      <c r="N115" s="120">
        <v>0.26968503937007898</v>
      </c>
      <c r="O115" s="120">
        <v>0.26968503937007898</v>
      </c>
      <c r="P115" s="120">
        <v>0</v>
      </c>
      <c r="Q115" s="120">
        <v>0.26968503937007898</v>
      </c>
      <c r="R115" s="120">
        <v>0.26968503937007898</v>
      </c>
      <c r="S115" s="120">
        <v>0.26968503937007898</v>
      </c>
      <c r="T115" s="120">
        <v>0.26968503937007898</v>
      </c>
      <c r="U115" s="120">
        <v>0.26968503937007898</v>
      </c>
      <c r="V115" s="120">
        <v>0.26968503937007898</v>
      </c>
      <c r="W115" s="120">
        <v>0.26968503937007898</v>
      </c>
      <c r="X115" s="120">
        <v>0</v>
      </c>
      <c r="Y115" s="120">
        <v>0</v>
      </c>
    </row>
    <row r="116" spans="3:27" x14ac:dyDescent="0.25">
      <c r="C116" s="76"/>
      <c r="E116" t="s">
        <v>50</v>
      </c>
      <c r="G116" t="s">
        <v>94</v>
      </c>
      <c r="J116" s="120">
        <v>0.92371773930088197</v>
      </c>
      <c r="K116" s="120">
        <v>0.92371773930088197</v>
      </c>
      <c r="L116" s="120">
        <v>0.92371773930088197</v>
      </c>
      <c r="M116" s="120">
        <v>0.92371773930088197</v>
      </c>
      <c r="N116" s="120">
        <v>0.92371773930088197</v>
      </c>
      <c r="O116" s="120">
        <v>0</v>
      </c>
      <c r="P116" s="120">
        <v>0</v>
      </c>
      <c r="Q116" s="120">
        <v>0.92371773930088197</v>
      </c>
      <c r="R116" s="120">
        <v>0.92371773930088197</v>
      </c>
      <c r="S116" s="120">
        <v>0</v>
      </c>
      <c r="T116" s="120">
        <v>0.92371773930088197</v>
      </c>
      <c r="U116" s="120">
        <v>0.92371773930088197</v>
      </c>
      <c r="V116" s="120">
        <v>0</v>
      </c>
      <c r="W116" s="120">
        <v>0</v>
      </c>
      <c r="X116" s="120">
        <v>0</v>
      </c>
      <c r="Y116" s="120">
        <v>0</v>
      </c>
    </row>
    <row r="117" spans="3:27" x14ac:dyDescent="0.25">
      <c r="C117" s="76"/>
      <c r="E117" t="s">
        <v>124</v>
      </c>
      <c r="G117" t="s">
        <v>94</v>
      </c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</row>
    <row r="118" spans="3:27" x14ac:dyDescent="0.25">
      <c r="C118" s="76"/>
      <c r="E118" s="17" t="s">
        <v>123</v>
      </c>
      <c r="F118" s="17"/>
      <c r="G118" s="17" t="s">
        <v>94</v>
      </c>
      <c r="H118" s="17"/>
      <c r="I118" s="17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</row>
    <row r="120" spans="3:27" x14ac:dyDescent="0.25">
      <c r="C120" s="5" t="str">
        <f ca="1">INDEX('Version control'!$H$36:$H$62,MATCH($A$1,'Version control'!$F$36:$F$62,0),1)&amp;"-B: Yardstick charge (demand)"</f>
        <v>Section 516-B: Yardstick charge (demand)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</row>
    <row r="121" spans="3:27" x14ac:dyDescent="0.25">
      <c r="C121" s="52"/>
      <c r="D121"/>
      <c r="E121" s="52"/>
    </row>
    <row r="122" spans="3:27" x14ac:dyDescent="0.25">
      <c r="D122" s="52" t="s">
        <v>139</v>
      </c>
      <c r="E122"/>
    </row>
    <row r="123" spans="3:27" x14ac:dyDescent="0.25">
      <c r="E123" s="80" t="s">
        <v>267</v>
      </c>
      <c r="F123" s="80"/>
      <c r="G123" s="80" t="s">
        <v>183</v>
      </c>
      <c r="H123" s="296"/>
      <c r="I123" s="296"/>
      <c r="J123" s="308"/>
      <c r="K123" s="308"/>
      <c r="L123" s="308"/>
      <c r="M123" s="308"/>
      <c r="N123" s="308"/>
      <c r="O123" s="308"/>
      <c r="P123" s="308"/>
      <c r="Q123" s="308"/>
      <c r="R123" s="308"/>
      <c r="S123" s="308"/>
      <c r="T123" s="308"/>
      <c r="U123" s="308"/>
      <c r="V123" s="308"/>
      <c r="W123" s="308"/>
      <c r="X123" s="308"/>
      <c r="Y123" s="308"/>
      <c r="Z123" s="298"/>
      <c r="AA123" s="298"/>
    </row>
    <row r="124" spans="3:27" x14ac:dyDescent="0.25">
      <c r="E124" t="s">
        <v>43</v>
      </c>
      <c r="G124" t="s">
        <v>183</v>
      </c>
      <c r="H124" s="298"/>
      <c r="I124" s="298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298"/>
      <c r="AA124" s="298"/>
    </row>
    <row r="125" spans="3:27" x14ac:dyDescent="0.25">
      <c r="E125" t="s">
        <v>44</v>
      </c>
      <c r="G125" t="s">
        <v>183</v>
      </c>
      <c r="H125" s="298"/>
      <c r="I125" s="298"/>
      <c r="J125" s="363">
        <f>'Initial unit rates'!J125</f>
        <v>0</v>
      </c>
      <c r="K125" s="363">
        <f>'Initial unit rates'!K125</f>
        <v>0</v>
      </c>
      <c r="L125" s="363">
        <f>'Initial unit rates'!L125</f>
        <v>0</v>
      </c>
      <c r="M125" s="363">
        <f>'Initial unit rates'!M125</f>
        <v>0</v>
      </c>
      <c r="N125" s="363">
        <f>'Initial unit rates'!N125</f>
        <v>0</v>
      </c>
      <c r="O125" s="363">
        <f>'Initial unit rates'!O125</f>
        <v>0</v>
      </c>
      <c r="P125" s="363">
        <f>'Initial unit rates'!P125</f>
        <v>0</v>
      </c>
      <c r="Q125" s="363">
        <f>'Initial unit rates'!Q125</f>
        <v>0</v>
      </c>
      <c r="R125" s="365"/>
      <c r="S125" s="365"/>
      <c r="T125" s="365"/>
      <c r="U125" s="365"/>
      <c r="V125" s="365"/>
      <c r="W125" s="365"/>
      <c r="X125" s="365"/>
      <c r="Y125" s="365"/>
      <c r="Z125" s="298"/>
      <c r="AA125" s="298"/>
    </row>
    <row r="126" spans="3:27" x14ac:dyDescent="0.25">
      <c r="E126" t="s">
        <v>45</v>
      </c>
      <c r="G126" t="s">
        <v>183</v>
      </c>
      <c r="H126" s="298"/>
      <c r="I126" s="298"/>
      <c r="J126" s="363">
        <f>'Initial unit rates'!J126</f>
        <v>0</v>
      </c>
      <c r="K126" s="363">
        <f>'Initial unit rates'!K126</f>
        <v>0</v>
      </c>
      <c r="L126" s="363">
        <f>'Initial unit rates'!L126</f>
        <v>0</v>
      </c>
      <c r="M126" s="363">
        <f>'Initial unit rates'!M126</f>
        <v>0</v>
      </c>
      <c r="N126" s="363">
        <f>'Initial unit rates'!N126</f>
        <v>0</v>
      </c>
      <c r="O126" s="363">
        <f>'Initial unit rates'!O126</f>
        <v>0</v>
      </c>
      <c r="P126" s="363">
        <f>'Initial unit rates'!P126</f>
        <v>0</v>
      </c>
      <c r="Q126" s="363">
        <f>'Initial unit rates'!Q126</f>
        <v>0</v>
      </c>
      <c r="R126" s="365"/>
      <c r="S126" s="365"/>
      <c r="T126" s="365"/>
      <c r="U126" s="365"/>
      <c r="V126" s="365"/>
      <c r="W126" s="365"/>
      <c r="X126" s="365"/>
      <c r="Y126" s="365"/>
      <c r="Z126" s="298"/>
      <c r="AA126" s="298"/>
    </row>
    <row r="127" spans="3:27" x14ac:dyDescent="0.25">
      <c r="E127" t="s">
        <v>46</v>
      </c>
      <c r="G127" t="s">
        <v>183</v>
      </c>
      <c r="H127" s="298"/>
      <c r="I127" s="298"/>
      <c r="J127" s="363">
        <f>'Initial unit rates'!J127</f>
        <v>0.33479813444285239</v>
      </c>
      <c r="K127" s="363">
        <f>'Initial unit rates'!K127</f>
        <v>0.33479813444285239</v>
      </c>
      <c r="L127" s="363">
        <f>'Initial unit rates'!L127</f>
        <v>0.30714382010925867</v>
      </c>
      <c r="M127" s="363">
        <f>'Initial unit rates'!M127</f>
        <v>0.30714382010925867</v>
      </c>
      <c r="N127" s="363">
        <f>'Initial unit rates'!N127</f>
        <v>0.27075425349003052</v>
      </c>
      <c r="O127" s="363">
        <f>'Initial unit rates'!O127</f>
        <v>0.21639241629147657</v>
      </c>
      <c r="P127" s="363">
        <f>'Initial unit rates'!P127</f>
        <v>0.19905673256722797</v>
      </c>
      <c r="Q127" s="363">
        <f>'Initial unit rates'!Q127</f>
        <v>0.3584007191571385</v>
      </c>
      <c r="R127" s="365"/>
      <c r="S127" s="365"/>
      <c r="T127" s="365"/>
      <c r="U127" s="365"/>
      <c r="V127" s="365"/>
      <c r="W127" s="365"/>
      <c r="X127" s="365"/>
      <c r="Y127" s="365"/>
      <c r="Z127" s="298"/>
      <c r="AA127" s="298"/>
    </row>
    <row r="128" spans="3:27" x14ac:dyDescent="0.25">
      <c r="E128" t="s">
        <v>47</v>
      </c>
      <c r="G128" t="s">
        <v>183</v>
      </c>
      <c r="H128" s="298"/>
      <c r="I128" s="298"/>
      <c r="J128" s="363">
        <f>'Initial unit rates'!J128</f>
        <v>8.5790318927491477E-2</v>
      </c>
      <c r="K128" s="363">
        <f>'Initial unit rates'!K128</f>
        <v>8.5790318927491477E-2</v>
      </c>
      <c r="L128" s="363">
        <f>'Initial unit rates'!L128</f>
        <v>7.870404154918946E-2</v>
      </c>
      <c r="M128" s="363">
        <f>'Initial unit rates'!M128</f>
        <v>7.870404154918946E-2</v>
      </c>
      <c r="N128" s="363">
        <f>'Initial unit rates'!N128</f>
        <v>6.9379400206453251E-2</v>
      </c>
      <c r="O128" s="363">
        <f>'Initial unit rates'!O128</f>
        <v>5.544945594762591E-2</v>
      </c>
      <c r="P128" s="363">
        <f>'Initial unit rates'!P128</f>
        <v>4.516256635103396E-2</v>
      </c>
      <c r="Q128" s="363">
        <f>'Initial unit rates'!Q128</f>
        <v>9.1838361200849414E-2</v>
      </c>
      <c r="R128" s="365"/>
      <c r="S128" s="365"/>
      <c r="T128" s="365"/>
      <c r="U128" s="365"/>
      <c r="V128" s="365"/>
      <c r="W128" s="365"/>
      <c r="X128" s="365"/>
      <c r="Y128" s="365"/>
      <c r="Z128" s="298"/>
      <c r="AA128" s="298"/>
    </row>
    <row r="129" spans="4:27" x14ac:dyDescent="0.25">
      <c r="E129" t="s">
        <v>51</v>
      </c>
      <c r="G129" t="s">
        <v>183</v>
      </c>
      <c r="H129" s="298"/>
      <c r="I129" s="298"/>
      <c r="J129" s="363">
        <f>'Initial unit rates'!J129</f>
        <v>0</v>
      </c>
      <c r="K129" s="363">
        <f>'Initial unit rates'!K129</f>
        <v>0</v>
      </c>
      <c r="L129" s="363">
        <f>'Initial unit rates'!L129</f>
        <v>0</v>
      </c>
      <c r="M129" s="363">
        <f>'Initial unit rates'!M129</f>
        <v>0</v>
      </c>
      <c r="N129" s="363">
        <f>'Initial unit rates'!N129</f>
        <v>0</v>
      </c>
      <c r="O129" s="363">
        <f>'Initial unit rates'!O129</f>
        <v>0</v>
      </c>
      <c r="P129" s="363">
        <f>'Initial unit rates'!P129</f>
        <v>0</v>
      </c>
      <c r="Q129" s="363">
        <f>'Initial unit rates'!Q129</f>
        <v>0</v>
      </c>
      <c r="R129" s="365"/>
      <c r="S129" s="365"/>
      <c r="T129" s="365"/>
      <c r="U129" s="365"/>
      <c r="V129" s="365"/>
      <c r="W129" s="365"/>
      <c r="X129" s="365"/>
      <c r="Y129" s="365"/>
      <c r="Z129" s="298"/>
      <c r="AA129" s="298"/>
    </row>
    <row r="130" spans="4:27" x14ac:dyDescent="0.25">
      <c r="E130" t="s">
        <v>48</v>
      </c>
      <c r="G130" t="s">
        <v>183</v>
      </c>
      <c r="H130" s="298"/>
      <c r="I130" s="298"/>
      <c r="J130" s="363">
        <f>'Initial unit rates'!J130</f>
        <v>0.29501725711418952</v>
      </c>
      <c r="K130" s="363">
        <f>'Initial unit rates'!K130</f>
        <v>0.29501725711418952</v>
      </c>
      <c r="L130" s="363">
        <f>'Initial unit rates'!L130</f>
        <v>0.27064884187302563</v>
      </c>
      <c r="M130" s="363">
        <f>'Initial unit rates'!M130</f>
        <v>0.27064884187302563</v>
      </c>
      <c r="N130" s="363">
        <f>'Initial unit rates'!N130</f>
        <v>0.23858310127550375</v>
      </c>
      <c r="O130" s="363">
        <f>'Initial unit rates'!O130</f>
        <v>0.19068056403856759</v>
      </c>
      <c r="P130" s="363">
        <f>'Initial unit rates'!P130</f>
        <v>0.12423083813084429</v>
      </c>
      <c r="Q130" s="363">
        <f>'Initial unit rates'!Q130</f>
        <v>0.31581537122196857</v>
      </c>
      <c r="R130" s="365"/>
      <c r="S130" s="365"/>
      <c r="T130" s="365"/>
      <c r="U130" s="365"/>
      <c r="V130" s="365"/>
      <c r="W130" s="365"/>
      <c r="X130" s="365"/>
      <c r="Y130" s="365"/>
      <c r="Z130" s="298"/>
      <c r="AA130" s="298"/>
    </row>
    <row r="131" spans="4:27" x14ac:dyDescent="0.25">
      <c r="E131" t="s">
        <v>49</v>
      </c>
      <c r="G131" t="s">
        <v>183</v>
      </c>
      <c r="H131" s="298"/>
      <c r="I131" s="298"/>
      <c r="J131" s="363">
        <f>'Initial unit rates'!J131</f>
        <v>6.7742798571625934E-2</v>
      </c>
      <c r="K131" s="363">
        <f>'Initial unit rates'!K131</f>
        <v>6.7742798571625934E-2</v>
      </c>
      <c r="L131" s="363">
        <f>'Initial unit rates'!L131</f>
        <v>6.2147245750954996E-2</v>
      </c>
      <c r="M131" s="363">
        <f>'Initial unit rates'!M131</f>
        <v>6.2147245750954996E-2</v>
      </c>
      <c r="N131" s="363">
        <f>'Initial unit rates'!N131</f>
        <v>5.4784208660866571E-2</v>
      </c>
      <c r="O131" s="363">
        <f>'Initial unit rates'!O131</f>
        <v>4.3784676081470547E-2</v>
      </c>
      <c r="P131" s="363">
        <f>'Initial unit rates'!P131</f>
        <v>0</v>
      </c>
      <c r="Q131" s="363">
        <f>'Initial unit rates'!Q131</f>
        <v>7.2518527518653689E-2</v>
      </c>
      <c r="R131" s="365"/>
      <c r="S131" s="365"/>
      <c r="T131" s="365"/>
      <c r="U131" s="365"/>
      <c r="V131" s="365"/>
      <c r="W131" s="365"/>
      <c r="X131" s="365"/>
      <c r="Y131" s="365"/>
      <c r="Z131" s="298"/>
      <c r="AA131" s="298"/>
    </row>
    <row r="132" spans="4:27" x14ac:dyDescent="0.25">
      <c r="E132" t="s">
        <v>50</v>
      </c>
      <c r="G132" t="s">
        <v>183</v>
      </c>
      <c r="H132" s="298"/>
      <c r="I132" s="298"/>
      <c r="J132" s="363">
        <f>'Initial unit rates'!J132</f>
        <v>1.1901745155784439E-2</v>
      </c>
      <c r="K132" s="363">
        <f>'Initial unit rates'!K132</f>
        <v>1.1901745155784439E-2</v>
      </c>
      <c r="L132" s="363">
        <f>'Initial unit rates'!L132</f>
        <v>1.091866141726806E-2</v>
      </c>
      <c r="M132" s="363">
        <f>'Initial unit rates'!M132</f>
        <v>1.091866141726806E-2</v>
      </c>
      <c r="N132" s="363">
        <f>'Initial unit rates'!N132</f>
        <v>9.6250480315416814E-3</v>
      </c>
      <c r="O132" s="363">
        <f>'Initial unit rates'!O132</f>
        <v>0</v>
      </c>
      <c r="P132" s="363">
        <f>'Initial unit rates'!P132</f>
        <v>0</v>
      </c>
      <c r="Q132" s="363">
        <f>'Initial unit rates'!Q132</f>
        <v>1.2740793882130305E-2</v>
      </c>
      <c r="R132" s="365"/>
      <c r="S132" s="365"/>
      <c r="T132" s="365"/>
      <c r="U132" s="365"/>
      <c r="V132" s="365"/>
      <c r="W132" s="365"/>
      <c r="X132" s="365"/>
      <c r="Y132" s="365"/>
      <c r="Z132" s="298"/>
      <c r="AA132" s="298"/>
    </row>
    <row r="133" spans="4:27" x14ac:dyDescent="0.25">
      <c r="E133" t="s">
        <v>124</v>
      </c>
      <c r="G133" t="s">
        <v>183</v>
      </c>
      <c r="H133" s="298"/>
      <c r="I133" s="298"/>
      <c r="J133" s="365"/>
      <c r="K133" s="365"/>
      <c r="L133" s="365"/>
      <c r="M133" s="365"/>
      <c r="N133" s="365"/>
      <c r="O133" s="365"/>
      <c r="P133" s="365"/>
      <c r="Q133" s="365"/>
      <c r="R133" s="365"/>
      <c r="S133" s="365"/>
      <c r="T133" s="365"/>
      <c r="U133" s="365"/>
      <c r="V133" s="365"/>
      <c r="W133" s="365"/>
      <c r="X133" s="365"/>
      <c r="Y133" s="365"/>
      <c r="Z133" s="298"/>
      <c r="AA133" s="298"/>
    </row>
    <row r="134" spans="4:27" x14ac:dyDescent="0.25">
      <c r="E134" s="17" t="s">
        <v>123</v>
      </c>
      <c r="F134" s="17"/>
      <c r="G134" s="17" t="s">
        <v>183</v>
      </c>
      <c r="H134" s="300"/>
      <c r="I134" s="300"/>
      <c r="J134" s="305"/>
      <c r="K134" s="305"/>
      <c r="L134" s="305"/>
      <c r="M134" s="305"/>
      <c r="N134" s="305"/>
      <c r="O134" s="305"/>
      <c r="P134" s="305"/>
      <c r="Q134" s="305"/>
      <c r="R134" s="305"/>
      <c r="S134" s="305"/>
      <c r="T134" s="305"/>
      <c r="U134" s="305"/>
      <c r="V134" s="305"/>
      <c r="W134" s="305"/>
      <c r="X134" s="305"/>
      <c r="Y134" s="305"/>
      <c r="Z134" s="298"/>
      <c r="AA134" s="298"/>
    </row>
    <row r="135" spans="4:27" x14ac:dyDescent="0.25">
      <c r="E135"/>
      <c r="J135" s="211"/>
      <c r="K135" s="211"/>
      <c r="L135" s="211"/>
      <c r="M135" s="211"/>
      <c r="N135" s="211"/>
      <c r="O135" s="211"/>
      <c r="P135" s="211"/>
      <c r="Q135" s="211"/>
      <c r="R135" s="211"/>
      <c r="S135" s="211"/>
      <c r="T135" s="211"/>
      <c r="U135" s="211"/>
      <c r="V135" s="211"/>
      <c r="W135" s="211"/>
      <c r="X135" s="211"/>
      <c r="Y135" s="211"/>
    </row>
    <row r="136" spans="4:27" x14ac:dyDescent="0.25">
      <c r="D136" s="52" t="s">
        <v>116</v>
      </c>
      <c r="E136"/>
      <c r="J136" s="211"/>
      <c r="K136" s="211"/>
      <c r="L136" s="211"/>
      <c r="M136" s="211"/>
      <c r="N136" s="211"/>
      <c r="O136" s="211"/>
      <c r="P136" s="211"/>
      <c r="Q136" s="211"/>
      <c r="R136" s="211"/>
      <c r="S136" s="211"/>
      <c r="T136" s="211"/>
      <c r="U136" s="211"/>
      <c r="V136" s="211"/>
      <c r="W136" s="211"/>
      <c r="X136" s="211"/>
      <c r="Y136" s="211"/>
    </row>
    <row r="137" spans="4:27" x14ac:dyDescent="0.25">
      <c r="E137" s="80" t="s">
        <v>267</v>
      </c>
      <c r="F137" s="80"/>
      <c r="G137" s="80" t="s">
        <v>183</v>
      </c>
      <c r="H137" s="296"/>
      <c r="I137" s="296"/>
      <c r="J137" s="307">
        <f>'Initial unit rates'!J135</f>
        <v>0.1321881512471077</v>
      </c>
      <c r="K137" s="307">
        <f>'Initial unit rates'!K135</f>
        <v>0.1321881512471077</v>
      </c>
      <c r="L137" s="307">
        <f>'Initial unit rates'!L135</f>
        <v>0.12126941452282013</v>
      </c>
      <c r="M137" s="307">
        <f>'Initial unit rates'!M135</f>
        <v>0.12126941452282013</v>
      </c>
      <c r="N137" s="307">
        <f>'Initial unit rates'!N135</f>
        <v>0.1069017432570165</v>
      </c>
      <c r="O137" s="307">
        <f>'Initial unit rates'!O135</f>
        <v>8.5438090929229438E-2</v>
      </c>
      <c r="P137" s="307">
        <f>'Initial unit rates'!P135</f>
        <v>8.1116205897213176E-2</v>
      </c>
      <c r="Q137" s="307">
        <f>'Initial unit rates'!Q135</f>
        <v>0.14150714593991501</v>
      </c>
      <c r="R137" s="308"/>
      <c r="S137" s="308"/>
      <c r="T137" s="308"/>
      <c r="U137" s="308"/>
      <c r="V137" s="308"/>
      <c r="W137" s="308"/>
      <c r="X137" s="308"/>
      <c r="Y137" s="308"/>
      <c r="Z137" s="298"/>
      <c r="AA137" s="298"/>
    </row>
    <row r="138" spans="4:27" x14ac:dyDescent="0.25">
      <c r="E138" t="s">
        <v>43</v>
      </c>
      <c r="G138" t="s">
        <v>183</v>
      </c>
      <c r="H138" s="298"/>
      <c r="I138" s="298"/>
      <c r="J138" s="363">
        <f>'Initial unit rates'!J136</f>
        <v>0</v>
      </c>
      <c r="K138" s="363">
        <f>'Initial unit rates'!K136</f>
        <v>0</v>
      </c>
      <c r="L138" s="363">
        <f>'Initial unit rates'!L136</f>
        <v>0</v>
      </c>
      <c r="M138" s="363">
        <f>'Initial unit rates'!M136</f>
        <v>0</v>
      </c>
      <c r="N138" s="363">
        <f>'Initial unit rates'!N136</f>
        <v>0</v>
      </c>
      <c r="O138" s="363">
        <f>'Initial unit rates'!O136</f>
        <v>0</v>
      </c>
      <c r="P138" s="363">
        <f>'Initial unit rates'!P136</f>
        <v>0</v>
      </c>
      <c r="Q138" s="363">
        <f>'Initial unit rates'!Q136</f>
        <v>0</v>
      </c>
      <c r="R138" s="365"/>
      <c r="S138" s="365"/>
      <c r="T138" s="365"/>
      <c r="U138" s="365"/>
      <c r="V138" s="365"/>
      <c r="W138" s="365"/>
      <c r="X138" s="365"/>
      <c r="Y138" s="365"/>
      <c r="Z138" s="298"/>
      <c r="AA138" s="298"/>
    </row>
    <row r="139" spans="4:27" x14ac:dyDescent="0.25">
      <c r="E139" t="s">
        <v>44</v>
      </c>
      <c r="G139" t="s">
        <v>183</v>
      </c>
      <c r="H139" s="298"/>
      <c r="I139" s="298"/>
      <c r="J139" s="363">
        <f>'Initial unit rates'!J137</f>
        <v>0</v>
      </c>
      <c r="K139" s="363">
        <f>'Initial unit rates'!K137</f>
        <v>0</v>
      </c>
      <c r="L139" s="363">
        <f>'Initial unit rates'!L137</f>
        <v>0</v>
      </c>
      <c r="M139" s="363">
        <f>'Initial unit rates'!M137</f>
        <v>0</v>
      </c>
      <c r="N139" s="363">
        <f>'Initial unit rates'!N137</f>
        <v>0</v>
      </c>
      <c r="O139" s="363">
        <f>'Initial unit rates'!O137</f>
        <v>0</v>
      </c>
      <c r="P139" s="363">
        <f>'Initial unit rates'!P137</f>
        <v>0</v>
      </c>
      <c r="Q139" s="363">
        <f>'Initial unit rates'!Q137</f>
        <v>0</v>
      </c>
      <c r="R139" s="365"/>
      <c r="S139" s="365"/>
      <c r="T139" s="365"/>
      <c r="U139" s="365"/>
      <c r="V139" s="365"/>
      <c r="W139" s="365"/>
      <c r="X139" s="365"/>
      <c r="Y139" s="365"/>
      <c r="Z139" s="298"/>
      <c r="AA139" s="298"/>
    </row>
    <row r="140" spans="4:27" x14ac:dyDescent="0.25">
      <c r="E140" t="s">
        <v>45</v>
      </c>
      <c r="G140" t="s">
        <v>183</v>
      </c>
      <c r="H140" s="298"/>
      <c r="I140" s="298"/>
      <c r="J140" s="363">
        <f>'Initial unit rates'!J138</f>
        <v>0</v>
      </c>
      <c r="K140" s="363">
        <f>'Initial unit rates'!K138</f>
        <v>0</v>
      </c>
      <c r="L140" s="363">
        <f>'Initial unit rates'!L138</f>
        <v>0</v>
      </c>
      <c r="M140" s="363">
        <f>'Initial unit rates'!M138</f>
        <v>0</v>
      </c>
      <c r="N140" s="363">
        <f>'Initial unit rates'!N138</f>
        <v>0</v>
      </c>
      <c r="O140" s="363">
        <f>'Initial unit rates'!O138</f>
        <v>0</v>
      </c>
      <c r="P140" s="363">
        <f>'Initial unit rates'!P138</f>
        <v>0</v>
      </c>
      <c r="Q140" s="363">
        <f>'Initial unit rates'!Q138</f>
        <v>0</v>
      </c>
      <c r="R140" s="365"/>
      <c r="S140" s="365"/>
      <c r="T140" s="365"/>
      <c r="U140" s="365"/>
      <c r="V140" s="365"/>
      <c r="W140" s="365"/>
      <c r="X140" s="365"/>
      <c r="Y140" s="365"/>
      <c r="Z140" s="298"/>
      <c r="AA140" s="298"/>
    </row>
    <row r="141" spans="4:27" x14ac:dyDescent="0.25">
      <c r="E141" t="s">
        <v>46</v>
      </c>
      <c r="G141" t="s">
        <v>183</v>
      </c>
      <c r="H141" s="298"/>
      <c r="I141" s="298"/>
      <c r="J141" s="363">
        <f>'Initial unit rates'!J139</f>
        <v>0.2511474472632147</v>
      </c>
      <c r="K141" s="363">
        <f>'Initial unit rates'!K139</f>
        <v>0.2511474472632147</v>
      </c>
      <c r="L141" s="363">
        <f>'Initial unit rates'!L139</f>
        <v>0.23040267679950088</v>
      </c>
      <c r="M141" s="363">
        <f>'Initial unit rates'!M139</f>
        <v>0.23040267679950088</v>
      </c>
      <c r="N141" s="363">
        <f>'Initial unit rates'!N139</f>
        <v>0.20310519266434413</v>
      </c>
      <c r="O141" s="363">
        <f>'Initial unit rates'!O139</f>
        <v>0.16232588347352264</v>
      </c>
      <c r="P141" s="363">
        <f>'Initial unit rates'!P139</f>
        <v>0.15411463017346766</v>
      </c>
      <c r="Q141" s="363">
        <f>'Initial unit rates'!Q139</f>
        <v>0.26885282937256028</v>
      </c>
      <c r="R141" s="365"/>
      <c r="S141" s="365"/>
      <c r="T141" s="365"/>
      <c r="U141" s="365"/>
      <c r="V141" s="365"/>
      <c r="W141" s="365"/>
      <c r="X141" s="365"/>
      <c r="Y141" s="365"/>
      <c r="Z141" s="298"/>
      <c r="AA141" s="298"/>
    </row>
    <row r="142" spans="4:27" x14ac:dyDescent="0.25">
      <c r="E142" t="s">
        <v>47</v>
      </c>
      <c r="G142" t="s">
        <v>183</v>
      </c>
      <c r="H142" s="298"/>
      <c r="I142" s="298"/>
      <c r="J142" s="363">
        <f>'Initial unit rates'!J140</f>
        <v>6.4355255845113729E-2</v>
      </c>
      <c r="K142" s="363">
        <f>'Initial unit rates'!K140</f>
        <v>6.4355255845113729E-2</v>
      </c>
      <c r="L142" s="363">
        <f>'Initial unit rates'!L140</f>
        <v>5.9039513936571524E-2</v>
      </c>
      <c r="M142" s="363">
        <f>'Initial unit rates'!M140</f>
        <v>5.9039513936571524E-2</v>
      </c>
      <c r="N142" s="363">
        <f>'Initial unit rates'!N140</f>
        <v>5.2044672481524605E-2</v>
      </c>
      <c r="O142" s="363">
        <f>'Initial unit rates'!O140</f>
        <v>4.1595181934197423E-2</v>
      </c>
      <c r="P142" s="363">
        <f>'Initial unit rates'!P140</f>
        <v>3.9491090044383212E-2</v>
      </c>
      <c r="Q142" s="363">
        <f>'Initial unit rates'!Q140</f>
        <v>6.8892169948358631E-2</v>
      </c>
      <c r="R142" s="365"/>
      <c r="S142" s="365"/>
      <c r="T142" s="365"/>
      <c r="U142" s="365"/>
      <c r="V142" s="365"/>
      <c r="W142" s="365"/>
      <c r="X142" s="365"/>
      <c r="Y142" s="365"/>
      <c r="Z142" s="298"/>
      <c r="AA142" s="298"/>
    </row>
    <row r="143" spans="4:27" x14ac:dyDescent="0.25">
      <c r="E143" t="s">
        <v>51</v>
      </c>
      <c r="G143" t="s">
        <v>183</v>
      </c>
      <c r="H143" s="298"/>
      <c r="I143" s="298"/>
      <c r="J143" s="363">
        <f>'Initial unit rates'!J141</f>
        <v>0</v>
      </c>
      <c r="K143" s="363">
        <f>'Initial unit rates'!K141</f>
        <v>0</v>
      </c>
      <c r="L143" s="363">
        <f>'Initial unit rates'!L141</f>
        <v>0</v>
      </c>
      <c r="M143" s="363">
        <f>'Initial unit rates'!M141</f>
        <v>0</v>
      </c>
      <c r="N143" s="363">
        <f>'Initial unit rates'!N141</f>
        <v>0</v>
      </c>
      <c r="O143" s="363">
        <f>'Initial unit rates'!O141</f>
        <v>0</v>
      </c>
      <c r="P143" s="363">
        <f>'Initial unit rates'!P141</f>
        <v>0</v>
      </c>
      <c r="Q143" s="363">
        <f>'Initial unit rates'!Q141</f>
        <v>0</v>
      </c>
      <c r="R143" s="365"/>
      <c r="S143" s="365"/>
      <c r="T143" s="365"/>
      <c r="U143" s="365"/>
      <c r="V143" s="365"/>
      <c r="W143" s="365"/>
      <c r="X143" s="365"/>
      <c r="Y143" s="365"/>
      <c r="Z143" s="298"/>
      <c r="AA143" s="298"/>
    </row>
    <row r="144" spans="4:27" x14ac:dyDescent="0.25">
      <c r="E144" t="s">
        <v>48</v>
      </c>
      <c r="G144" t="s">
        <v>183</v>
      </c>
      <c r="H144" s="298"/>
      <c r="I144" s="298"/>
      <c r="J144" s="363">
        <f>'Initial unit rates'!J142</f>
        <v>0.27685811353082967</v>
      </c>
      <c r="K144" s="363">
        <f>'Initial unit rates'!K142</f>
        <v>0.27685811353082967</v>
      </c>
      <c r="L144" s="363">
        <f>'Initial unit rates'!L142</f>
        <v>0.25398964292203002</v>
      </c>
      <c r="M144" s="363">
        <f>'Initial unit rates'!M142</f>
        <v>0.25398964292203002</v>
      </c>
      <c r="N144" s="363">
        <f>'Initial unit rates'!N142</f>
        <v>0.22389763902490661</v>
      </c>
      <c r="O144" s="363">
        <f>'Initial unit rates'!O142</f>
        <v>0.17894363795226698</v>
      </c>
      <c r="P144" s="363">
        <f>'Initial unit rates'!P142</f>
        <v>0.16989177569704592</v>
      </c>
      <c r="Q144" s="363">
        <f>'Initial unit rates'!Q142</f>
        <v>0.29637604510271026</v>
      </c>
      <c r="R144" s="365"/>
      <c r="S144" s="365"/>
      <c r="T144" s="365"/>
      <c r="U144" s="365"/>
      <c r="V144" s="365"/>
      <c r="W144" s="365"/>
      <c r="X144" s="365"/>
      <c r="Y144" s="365"/>
      <c r="Z144" s="298"/>
      <c r="AA144" s="298"/>
    </row>
    <row r="145" spans="2:27" x14ac:dyDescent="0.25">
      <c r="E145" t="s">
        <v>49</v>
      </c>
      <c r="G145" t="s">
        <v>183</v>
      </c>
      <c r="H145" s="298"/>
      <c r="I145" s="298"/>
      <c r="J145" s="363">
        <f>'Initial unit rates'!J143</f>
        <v>6.9582283285569105E-2</v>
      </c>
      <c r="K145" s="363">
        <f>'Initial unit rates'!K143</f>
        <v>6.9582283285569105E-2</v>
      </c>
      <c r="L145" s="363">
        <f>'Initial unit rates'!L143</f>
        <v>6.3834789091103253E-2</v>
      </c>
      <c r="M145" s="363">
        <f>'Initial unit rates'!M143</f>
        <v>6.3834789091103253E-2</v>
      </c>
      <c r="N145" s="363">
        <f>'Initial unit rates'!N143</f>
        <v>5.6271816443863407E-2</v>
      </c>
      <c r="O145" s="363">
        <f>'Initial unit rates'!O143</f>
        <v>4.4973603082643393E-2</v>
      </c>
      <c r="P145" s="363">
        <f>'Initial unit rates'!P143</f>
        <v>0</v>
      </c>
      <c r="Q145" s="363">
        <f>'Initial unit rates'!Q143</f>
        <v>7.4487692148118886E-2</v>
      </c>
      <c r="R145" s="365"/>
      <c r="S145" s="365"/>
      <c r="T145" s="365"/>
      <c r="U145" s="365"/>
      <c r="V145" s="365"/>
      <c r="W145" s="365"/>
      <c r="X145" s="365"/>
      <c r="Y145" s="365"/>
      <c r="Z145" s="298"/>
      <c r="AA145" s="298"/>
    </row>
    <row r="146" spans="2:27" x14ac:dyDescent="0.25">
      <c r="E146" t="s">
        <v>50</v>
      </c>
      <c r="G146" t="s">
        <v>183</v>
      </c>
      <c r="H146" s="298"/>
      <c r="I146" s="298"/>
      <c r="J146" s="363">
        <f>'Initial unit rates'!J144</f>
        <v>0.11703960039604976</v>
      </c>
      <c r="K146" s="363">
        <f>'Initial unit rates'!K144</f>
        <v>0.11703960039604976</v>
      </c>
      <c r="L146" s="363">
        <f>'Initial unit rates'!L144</f>
        <v>0.10737213344849116</v>
      </c>
      <c r="M146" s="363">
        <f>'Initial unit rates'!M144</f>
        <v>0.10737213344849116</v>
      </c>
      <c r="N146" s="363">
        <f>'Initial unit rates'!N144</f>
        <v>9.465097434529765E-2</v>
      </c>
      <c r="O146" s="363">
        <f>'Initial unit rates'!O144</f>
        <v>0</v>
      </c>
      <c r="P146" s="363">
        <f>'Initial unit rates'!P144</f>
        <v>0</v>
      </c>
      <c r="Q146" s="363">
        <f>'Initial unit rates'!Q144</f>
        <v>0.125290653192001</v>
      </c>
      <c r="R146" s="365"/>
      <c r="S146" s="365"/>
      <c r="T146" s="365"/>
      <c r="U146" s="365"/>
      <c r="V146" s="365"/>
      <c r="W146" s="365"/>
      <c r="X146" s="365"/>
      <c r="Y146" s="365"/>
      <c r="Z146" s="298"/>
      <c r="AA146" s="298"/>
    </row>
    <row r="147" spans="2:27" x14ac:dyDescent="0.25">
      <c r="E147" t="s">
        <v>124</v>
      </c>
      <c r="G147" t="s">
        <v>183</v>
      </c>
      <c r="H147" s="298"/>
      <c r="I147" s="298"/>
      <c r="J147" s="365"/>
      <c r="K147" s="365"/>
      <c r="L147" s="365"/>
      <c r="M147" s="365"/>
      <c r="N147" s="365"/>
      <c r="O147" s="365"/>
      <c r="P147" s="365"/>
      <c r="Q147" s="365"/>
      <c r="R147" s="365"/>
      <c r="S147" s="365"/>
      <c r="T147" s="365"/>
      <c r="U147" s="365"/>
      <c r="V147" s="365"/>
      <c r="W147" s="365"/>
      <c r="X147" s="365"/>
      <c r="Y147" s="365"/>
      <c r="Z147" s="298"/>
      <c r="AA147" s="298"/>
    </row>
    <row r="148" spans="2:27" x14ac:dyDescent="0.25">
      <c r="E148" s="17" t="s">
        <v>123</v>
      </c>
      <c r="F148" s="17"/>
      <c r="G148" s="17" t="s">
        <v>183</v>
      </c>
      <c r="H148" s="300"/>
      <c r="I148" s="300"/>
      <c r="J148" s="305"/>
      <c r="K148" s="305"/>
      <c r="L148" s="305"/>
      <c r="M148" s="305"/>
      <c r="N148" s="305"/>
      <c r="O148" s="305"/>
      <c r="P148" s="305"/>
      <c r="Q148" s="305"/>
      <c r="R148" s="305"/>
      <c r="S148" s="305"/>
      <c r="T148" s="305"/>
      <c r="U148" s="305"/>
      <c r="V148" s="305"/>
      <c r="W148" s="305"/>
      <c r="X148" s="305"/>
      <c r="Y148" s="305"/>
      <c r="Z148" s="298"/>
      <c r="AA148" s="298"/>
    </row>
    <row r="149" spans="2:27" x14ac:dyDescent="0.25">
      <c r="D149"/>
      <c r="E149"/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</row>
    <row r="150" spans="2:27" x14ac:dyDescent="0.25">
      <c r="B150" s="82" t="s">
        <v>392</v>
      </c>
      <c r="C150" s="82"/>
      <c r="D150" s="82"/>
      <c r="E150" s="82"/>
      <c r="F150" s="82"/>
      <c r="G150" s="82"/>
      <c r="H150" s="82"/>
      <c r="I150" s="82"/>
      <c r="J150" s="236"/>
      <c r="K150" s="236"/>
      <c r="L150" s="236"/>
      <c r="M150" s="236"/>
      <c r="N150" s="236"/>
      <c r="O150" s="236"/>
      <c r="P150" s="236"/>
      <c r="Q150" s="236"/>
      <c r="R150" s="236"/>
      <c r="S150" s="236"/>
      <c r="T150" s="236"/>
      <c r="U150" s="236"/>
      <c r="V150" s="236"/>
      <c r="W150" s="236"/>
      <c r="X150" s="236"/>
      <c r="Y150" s="236"/>
      <c r="Z150" s="82"/>
      <c r="AA150" s="82"/>
    </row>
    <row r="151" spans="2:27" x14ac:dyDescent="0.25">
      <c r="C151" s="62"/>
      <c r="D151"/>
      <c r="E151"/>
      <c r="J151" s="211"/>
      <c r="K151" s="211"/>
      <c r="L151" s="211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X151" s="211"/>
      <c r="Y151" s="211"/>
    </row>
    <row r="152" spans="2:27" x14ac:dyDescent="0.25">
      <c r="C152" s="73" t="s">
        <v>544</v>
      </c>
      <c r="D152"/>
      <c r="E152"/>
      <c r="J152" s="211"/>
      <c r="K152" s="211"/>
      <c r="L152" s="211"/>
      <c r="M152" s="211"/>
      <c r="N152" s="211"/>
      <c r="O152" s="211"/>
      <c r="P152" s="211"/>
      <c r="Q152" s="211"/>
      <c r="R152" s="211"/>
      <c r="S152" s="211"/>
      <c r="T152" s="211"/>
      <c r="U152" s="211"/>
      <c r="V152" s="211"/>
      <c r="W152" s="211"/>
      <c r="X152" s="211"/>
      <c r="Y152" s="211"/>
    </row>
    <row r="153" spans="2:27" x14ac:dyDescent="0.25">
      <c r="C153" s="73" t="s">
        <v>545</v>
      </c>
      <c r="D153"/>
      <c r="E153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</row>
    <row r="154" spans="2:27" x14ac:dyDescent="0.25">
      <c r="C154" s="62"/>
      <c r="D154"/>
      <c r="E154"/>
      <c r="J154" s="211"/>
      <c r="K154" s="211"/>
      <c r="L154" s="211"/>
      <c r="M154" s="211"/>
      <c r="N154" s="211"/>
      <c r="O154" s="211"/>
      <c r="P154" s="211"/>
      <c r="Q154" s="211"/>
      <c r="R154" s="211"/>
      <c r="S154" s="211"/>
      <c r="T154" s="211"/>
      <c r="U154" s="211"/>
      <c r="V154" s="211"/>
      <c r="W154" s="211"/>
      <c r="X154" s="211"/>
      <c r="Y154" s="211"/>
    </row>
    <row r="155" spans="2:27" x14ac:dyDescent="0.25">
      <c r="C155" s="5" t="str">
        <f ca="1">INDEX('Version control'!$H$36:$H$62,MATCH($A$1,'Version control'!$F$36:$F$62,0),1)&amp;"-C: Yardstick charge used for generation"</f>
        <v>Section 516-C: Yardstick charge used for generation</v>
      </c>
      <c r="D155" s="5"/>
      <c r="E155" s="5"/>
      <c r="F155" s="5"/>
      <c r="G155" s="5"/>
      <c r="H155" s="5"/>
      <c r="I155" s="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205"/>
      <c r="Y155" s="205"/>
      <c r="Z155" s="5"/>
      <c r="AA155" s="5"/>
    </row>
    <row r="156" spans="2:27" x14ac:dyDescent="0.25">
      <c r="D156" s="52"/>
      <c r="E156" s="52"/>
      <c r="I156" t="s">
        <v>359</v>
      </c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  <c r="AA156" t="s">
        <v>731</v>
      </c>
    </row>
    <row r="157" spans="2:27" x14ac:dyDescent="0.25">
      <c r="D157"/>
      <c r="E157" s="52" t="s">
        <v>139</v>
      </c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</row>
    <row r="158" spans="2:27" x14ac:dyDescent="0.25">
      <c r="D158"/>
      <c r="F158" s="80" t="s">
        <v>267</v>
      </c>
      <c r="G158" s="80" t="s">
        <v>183</v>
      </c>
      <c r="H158" s="296"/>
      <c r="I158" s="296"/>
      <c r="J158" s="308"/>
      <c r="K158" s="308"/>
      <c r="L158" s="308"/>
      <c r="M158" s="308"/>
      <c r="N158" s="308"/>
      <c r="O158" s="308"/>
      <c r="P158" s="308"/>
      <c r="Q158" s="308"/>
      <c r="R158" s="308"/>
      <c r="S158" s="308"/>
      <c r="T158" s="308"/>
      <c r="U158" s="308"/>
      <c r="V158" s="308"/>
      <c r="W158" s="308"/>
      <c r="X158" s="308"/>
      <c r="Y158" s="308"/>
      <c r="Z158" s="298"/>
      <c r="AA158" s="298"/>
    </row>
    <row r="159" spans="2:27" x14ac:dyDescent="0.25">
      <c r="D159"/>
      <c r="F159" t="s">
        <v>43</v>
      </c>
      <c r="G159" t="s">
        <v>183</v>
      </c>
      <c r="H159" s="298"/>
      <c r="I159" s="298"/>
      <c r="J159" s="365"/>
      <c r="K159" s="365"/>
      <c r="L159" s="365"/>
      <c r="M159" s="365"/>
      <c r="N159" s="365"/>
      <c r="O159" s="365"/>
      <c r="P159" s="365"/>
      <c r="Q159" s="365"/>
      <c r="R159" s="365"/>
      <c r="S159" s="365"/>
      <c r="T159" s="365"/>
      <c r="U159" s="365"/>
      <c r="V159" s="365"/>
      <c r="W159" s="365"/>
      <c r="X159" s="365"/>
      <c r="Y159" s="365"/>
      <c r="Z159" s="298"/>
      <c r="AA159" s="298"/>
    </row>
    <row r="160" spans="2:27" x14ac:dyDescent="0.25">
      <c r="D160"/>
      <c r="F160" t="s">
        <v>44</v>
      </c>
      <c r="G160" t="s">
        <v>183</v>
      </c>
      <c r="H160" s="298"/>
      <c r="I160" s="298"/>
      <c r="J160" s="365"/>
      <c r="K160" s="365"/>
      <c r="L160" s="365"/>
      <c r="M160" s="365"/>
      <c r="N160" s="365"/>
      <c r="O160" s="365"/>
      <c r="P160" s="365"/>
      <c r="Q160" s="365"/>
      <c r="R160" s="364">
        <f t="shared" ref="R160:S160" si="0">hundred * $H51 * R95 / $H37 * (1 - R109) / hours_in_year</f>
        <v>0</v>
      </c>
      <c r="S160" s="364">
        <f t="shared" si="0"/>
        <v>0</v>
      </c>
      <c r="T160" s="364">
        <f t="shared" ref="T160:U160" si="1">hundred * $H51 * T95 / $H37 * (1 - T109) / hours_in_year</f>
        <v>0</v>
      </c>
      <c r="U160" s="364">
        <f t="shared" si="1"/>
        <v>0</v>
      </c>
      <c r="V160" s="364">
        <f t="shared" ref="V160:W160" si="2">hundred * $H51 * V95 / $H37 * (1 - V109) / hours_in_year</f>
        <v>0</v>
      </c>
      <c r="W160" s="364">
        <f t="shared" si="2"/>
        <v>0</v>
      </c>
      <c r="X160" s="364">
        <f t="shared" ref="X160:Y160" si="3">hundred * $H51 * X95 / $H37 * (1 - X109) / hours_in_year</f>
        <v>0</v>
      </c>
      <c r="Y160" s="364">
        <f t="shared" si="3"/>
        <v>0</v>
      </c>
      <c r="Z160" s="298"/>
      <c r="AA160" s="298"/>
    </row>
    <row r="161" spans="5:27" customFormat="1" x14ac:dyDescent="0.25">
      <c r="E161" s="84"/>
      <c r="F161" t="s">
        <v>45</v>
      </c>
      <c r="G161" t="s">
        <v>183</v>
      </c>
      <c r="H161" s="298"/>
      <c r="I161" s="298"/>
      <c r="J161" s="365"/>
      <c r="K161" s="365"/>
      <c r="L161" s="365"/>
      <c r="M161" s="365"/>
      <c r="N161" s="365"/>
      <c r="O161" s="365"/>
      <c r="P161" s="365"/>
      <c r="Q161" s="365"/>
      <c r="R161" s="364">
        <f t="shared" ref="R161:S161" si="4">hundred * $H52 * R96 / $H38 * (1 - R110) / hours_in_year</f>
        <v>0</v>
      </c>
      <c r="S161" s="364">
        <f t="shared" si="4"/>
        <v>0</v>
      </c>
      <c r="T161" s="364">
        <f t="shared" ref="T161:U161" si="5">hundred * $H52 * T96 / $H38 * (1 - T110) / hours_in_year</f>
        <v>0</v>
      </c>
      <c r="U161" s="364">
        <f t="shared" si="5"/>
        <v>0</v>
      </c>
      <c r="V161" s="364">
        <f t="shared" ref="V161:W161" si="6">hundred * $H52 * V96 / $H38 * (1 - V110) / hours_in_year</f>
        <v>0</v>
      </c>
      <c r="W161" s="364">
        <f t="shared" si="6"/>
        <v>0</v>
      </c>
      <c r="X161" s="364">
        <f t="shared" ref="X161:Y161" si="7">hundred * $H52 * X96 / $H38 * (1 - X110) / hours_in_year</f>
        <v>0</v>
      </c>
      <c r="Y161" s="364">
        <f t="shared" si="7"/>
        <v>0</v>
      </c>
      <c r="Z161" s="298"/>
      <c r="AA161" s="298"/>
    </row>
    <row r="162" spans="5:27" customFormat="1" x14ac:dyDescent="0.25">
      <c r="E162" s="84"/>
      <c r="F162" t="s">
        <v>46</v>
      </c>
      <c r="G162" t="s">
        <v>183</v>
      </c>
      <c r="H162" s="298"/>
      <c r="I162" s="298"/>
      <c r="J162" s="365"/>
      <c r="K162" s="365"/>
      <c r="L162" s="365"/>
      <c r="M162" s="365"/>
      <c r="N162" s="365"/>
      <c r="O162" s="365"/>
      <c r="P162" s="365"/>
      <c r="Q162" s="365"/>
      <c r="R162" s="364">
        <f t="shared" ref="R162:S162" si="8">hundred * $H53 * R97 / $H39 * (1 - R111) / hours_in_year</f>
        <v>-0.18739311912388845</v>
      </c>
      <c r="S162" s="364">
        <f t="shared" si="8"/>
        <v>-0.17704834060211724</v>
      </c>
      <c r="T162" s="364">
        <f t="shared" ref="T162:U162" si="9">hundred * $H53 * T97 / $H39 * (1 - T111) / hours_in_year</f>
        <v>-0.18739311912388845</v>
      </c>
      <c r="U162" s="364">
        <f t="shared" si="9"/>
        <v>-0.18739311912388845</v>
      </c>
      <c r="V162" s="364">
        <f t="shared" ref="V162:W162" si="10">hundred * $H53 * V97 / $H39 * (1 - V111) / hours_in_year</f>
        <v>-0.17704834060211724</v>
      </c>
      <c r="W162" s="364">
        <f t="shared" si="10"/>
        <v>-0.17704834060211724</v>
      </c>
      <c r="X162" s="364">
        <f t="shared" ref="X162:Y162" si="11">hundred * $H53 * X97 / $H39 * (1 - X111) / hours_in_year</f>
        <v>-0.16825580628084397</v>
      </c>
      <c r="Y162" s="364">
        <f t="shared" si="11"/>
        <v>-0.16825580628084397</v>
      </c>
      <c r="Z162" s="298"/>
      <c r="AA162" s="298"/>
    </row>
    <row r="163" spans="5:27" customFormat="1" x14ac:dyDescent="0.25">
      <c r="E163" s="84"/>
      <c r="F163" t="s">
        <v>47</v>
      </c>
      <c r="G163" t="s">
        <v>183</v>
      </c>
      <c r="H163" s="298"/>
      <c r="I163" s="298"/>
      <c r="J163" s="365"/>
      <c r="K163" s="365"/>
      <c r="L163" s="365"/>
      <c r="M163" s="365"/>
      <c r="N163" s="365"/>
      <c r="O163" s="365"/>
      <c r="P163" s="365"/>
      <c r="Q163" s="365"/>
      <c r="R163" s="364">
        <f t="shared" ref="R163:S163" si="12">hundred * $H54 * R98 / $H40 * (1 - R112) / hours_in_year</f>
        <v>-4.8018533559660383E-2</v>
      </c>
      <c r="S163" s="364">
        <f t="shared" si="12"/>
        <v>-4.5367736684421213E-2</v>
      </c>
      <c r="T163" s="364">
        <f t="shared" ref="T163:U163" si="13">hundred * $H54 * T98 / $H40 * (1 - T112) / hours_in_year</f>
        <v>-4.8018533559660383E-2</v>
      </c>
      <c r="U163" s="364">
        <f t="shared" si="13"/>
        <v>-4.8018533559660383E-2</v>
      </c>
      <c r="V163" s="364">
        <f t="shared" ref="V163:W163" si="14">hundred * $H54 * V98 / $H40 * (1 - V112) / hours_in_year</f>
        <v>-4.5367736684421213E-2</v>
      </c>
      <c r="W163" s="364">
        <f t="shared" si="14"/>
        <v>-4.5367736684421213E-2</v>
      </c>
      <c r="X163" s="364">
        <f t="shared" ref="X163:Y163" si="15">hundred * $H54 * X98 / $H40 * (1 - X112) / hours_in_year</f>
        <v>-3.8174363243599137E-2</v>
      </c>
      <c r="Y163" s="364">
        <f t="shared" si="15"/>
        <v>-3.8174363243599137E-2</v>
      </c>
      <c r="Z163" s="298"/>
      <c r="AA163" s="298"/>
    </row>
    <row r="164" spans="5:27" customFormat="1" x14ac:dyDescent="0.25">
      <c r="E164" s="84"/>
      <c r="F164" t="s">
        <v>51</v>
      </c>
      <c r="G164" t="s">
        <v>183</v>
      </c>
      <c r="H164" s="298"/>
      <c r="I164" s="298"/>
      <c r="J164" s="365"/>
      <c r="K164" s="365"/>
      <c r="L164" s="365"/>
      <c r="M164" s="365"/>
      <c r="N164" s="365"/>
      <c r="O164" s="365"/>
      <c r="P164" s="365"/>
      <c r="Q164" s="365"/>
      <c r="R164" s="364">
        <f t="shared" ref="R164:S164" si="16">hundred * $H55 * R99 / $H41 * (1 - R113) / hours_in_year</f>
        <v>0</v>
      </c>
      <c r="S164" s="364">
        <f t="shared" si="16"/>
        <v>0</v>
      </c>
      <c r="T164" s="364">
        <f t="shared" ref="T164:U164" si="17">hundred * $H55 * T99 / $H41 * (1 - T113) / hours_in_year</f>
        <v>0</v>
      </c>
      <c r="U164" s="364">
        <f t="shared" si="17"/>
        <v>0</v>
      </c>
      <c r="V164" s="364">
        <f t="shared" ref="V164:W164" si="18">hundred * $H55 * V99 / $H41 * (1 - V113) / hours_in_year</f>
        <v>0</v>
      </c>
      <c r="W164" s="364">
        <f t="shared" si="18"/>
        <v>0</v>
      </c>
      <c r="X164" s="364">
        <f t="shared" ref="X164:Y164" si="19">hundred * $H55 * X99 / $H41 * (1 - X113) / hours_in_year</f>
        <v>0</v>
      </c>
      <c r="Y164" s="364">
        <f t="shared" si="19"/>
        <v>0</v>
      </c>
      <c r="Z164" s="298"/>
      <c r="AA164" s="298"/>
    </row>
    <row r="165" spans="5:27" customFormat="1" x14ac:dyDescent="0.25">
      <c r="E165" s="84"/>
      <c r="F165" t="s">
        <v>48</v>
      </c>
      <c r="G165" t="s">
        <v>183</v>
      </c>
      <c r="H165" s="298"/>
      <c r="I165" s="298"/>
      <c r="J165" s="365"/>
      <c r="K165" s="365"/>
      <c r="L165" s="365"/>
      <c r="M165" s="365"/>
      <c r="N165" s="365"/>
      <c r="O165" s="365"/>
      <c r="P165" s="365"/>
      <c r="Q165" s="365"/>
      <c r="R165" s="364">
        <f t="shared" ref="R165:S165" si="20">hundred * $H56 * R100 / $H42 * (1 - R114) / hours_in_year</f>
        <v>-0.16512697747854016</v>
      </c>
      <c r="S165" s="364">
        <f t="shared" si="20"/>
        <v>-0.15601137057700992</v>
      </c>
      <c r="T165" s="364">
        <f t="shared" ref="T165:U165" si="21">hundred * $H56 * T100 / $H42 * (1 - T114) / hours_in_year</f>
        <v>-0.16512697747854016</v>
      </c>
      <c r="U165" s="364">
        <f t="shared" si="21"/>
        <v>-0.16512697747854016</v>
      </c>
      <c r="V165" s="364">
        <f t="shared" ref="V165:W165" si="22">hundred * $H56 * V100 / $H42 * (1 - V114) / hours_in_year</f>
        <v>-0.15601137057700992</v>
      </c>
      <c r="W165" s="364">
        <f t="shared" si="22"/>
        <v>-0.15601137057700992</v>
      </c>
      <c r="X165" s="364">
        <f t="shared" ref="X165:Y165" si="23">hundred * $H56 * X100 / $H42 * (1 - X114) / hours_in_year</f>
        <v>-0.10500805255401617</v>
      </c>
      <c r="Y165" s="364">
        <f t="shared" si="23"/>
        <v>-0.10500805255401617</v>
      </c>
      <c r="Z165" s="298"/>
      <c r="AA165" s="298"/>
    </row>
    <row r="166" spans="5:27" customFormat="1" x14ac:dyDescent="0.25">
      <c r="E166" s="84"/>
      <c r="F166" t="s">
        <v>49</v>
      </c>
      <c r="G166" t="s">
        <v>183</v>
      </c>
      <c r="H166" s="298"/>
      <c r="I166" s="298"/>
      <c r="J166" s="365"/>
      <c r="K166" s="365"/>
      <c r="L166" s="365"/>
      <c r="M166" s="365"/>
      <c r="N166" s="365"/>
      <c r="O166" s="365"/>
      <c r="P166" s="365"/>
      <c r="Q166" s="365"/>
      <c r="R166" s="364">
        <f t="shared" ref="R166:S166" si="24">hundred * $H57 * R101 / $H43 * (1 - R115) / hours_in_year</f>
        <v>-3.7916980462402015E-2</v>
      </c>
      <c r="S166" s="364">
        <f t="shared" si="24"/>
        <v>-3.5823825884839559E-2</v>
      </c>
      <c r="T166" s="364">
        <f t="shared" ref="T166:U166" si="25">hundred * $H57 * T101 / $H43 * (1 - T115) / hours_in_year</f>
        <v>-3.7916980462402015E-2</v>
      </c>
      <c r="U166" s="364">
        <f t="shared" si="25"/>
        <v>-3.7916980462402015E-2</v>
      </c>
      <c r="V166" s="364">
        <f t="shared" ref="V166:W166" si="26">hundred * $H57 * V101 / $H43 * (1 - V115) / hours_in_year</f>
        <v>-3.5823825884839559E-2</v>
      </c>
      <c r="W166" s="364">
        <f t="shared" si="26"/>
        <v>-3.5823825884839559E-2</v>
      </c>
      <c r="X166" s="364">
        <f t="shared" ref="X166:Y166" si="27">hundred * $H57 * X101 / $H43 * (1 - X115) / hours_in_year</f>
        <v>0</v>
      </c>
      <c r="Y166" s="364">
        <f t="shared" si="27"/>
        <v>0</v>
      </c>
      <c r="Z166" s="298"/>
      <c r="AA166" s="298"/>
    </row>
    <row r="167" spans="5:27" customFormat="1" x14ac:dyDescent="0.25">
      <c r="E167" s="84"/>
      <c r="F167" t="s">
        <v>50</v>
      </c>
      <c r="G167" t="s">
        <v>183</v>
      </c>
      <c r="H167" s="298"/>
      <c r="I167" s="298"/>
      <c r="J167" s="365"/>
      <c r="K167" s="365"/>
      <c r="L167" s="365"/>
      <c r="M167" s="365"/>
      <c r="N167" s="365"/>
      <c r="O167" s="365"/>
      <c r="P167" s="365"/>
      <c r="Q167" s="365"/>
      <c r="R167" s="364">
        <f t="shared" ref="R167:S167" si="28">hundred * $H58 * R102 / $H44 * (1 - R116) / hours_in_year</f>
        <v>-6.6616415036827902E-3</v>
      </c>
      <c r="S167" s="364">
        <f t="shared" si="28"/>
        <v>0</v>
      </c>
      <c r="T167" s="364">
        <f t="shared" ref="T167:U167" si="29">hundred * $H58 * T102 / $H44 * (1 - T116) / hours_in_year</f>
        <v>-6.6616415036827902E-3</v>
      </c>
      <c r="U167" s="364">
        <f t="shared" si="29"/>
        <v>-6.6616415036827902E-3</v>
      </c>
      <c r="V167" s="364">
        <f t="shared" ref="V167:W167" si="30">hundred * $H58 * V102 / $H44 * (1 - V116) / hours_in_year</f>
        <v>0</v>
      </c>
      <c r="W167" s="364">
        <f t="shared" si="30"/>
        <v>0</v>
      </c>
      <c r="X167" s="364">
        <f t="shared" ref="X167:Y167" si="31">hundred * $H58 * X102 / $H44 * (1 - X116) / hours_in_year</f>
        <v>0</v>
      </c>
      <c r="Y167" s="364">
        <f t="shared" si="31"/>
        <v>0</v>
      </c>
      <c r="Z167" s="298"/>
      <c r="AA167" s="298"/>
    </row>
    <row r="168" spans="5:27" customFormat="1" x14ac:dyDescent="0.25">
      <c r="E168" s="84"/>
      <c r="F168" t="s">
        <v>124</v>
      </c>
      <c r="G168" t="s">
        <v>183</v>
      </c>
      <c r="H168" s="298"/>
      <c r="I168" s="298"/>
      <c r="J168" s="365"/>
      <c r="K168" s="365"/>
      <c r="L168" s="365"/>
      <c r="M168" s="365"/>
      <c r="N168" s="365"/>
      <c r="O168" s="365"/>
      <c r="P168" s="365"/>
      <c r="Q168" s="365"/>
      <c r="R168" s="365"/>
      <c r="S168" s="365"/>
      <c r="T168" s="365"/>
      <c r="U168" s="365"/>
      <c r="V168" s="365"/>
      <c r="W168" s="365"/>
      <c r="X168" s="365"/>
      <c r="Y168" s="365"/>
      <c r="Z168" s="298"/>
      <c r="AA168" s="298"/>
    </row>
    <row r="169" spans="5:27" customFormat="1" x14ac:dyDescent="0.25">
      <c r="E169" s="84"/>
      <c r="F169" s="17" t="s">
        <v>123</v>
      </c>
      <c r="G169" s="17" t="s">
        <v>183</v>
      </c>
      <c r="H169" s="300"/>
      <c r="I169" s="300"/>
      <c r="J169" s="305"/>
      <c r="K169" s="305"/>
      <c r="L169" s="305"/>
      <c r="M169" s="305"/>
      <c r="N169" s="305"/>
      <c r="O169" s="305"/>
      <c r="P169" s="305"/>
      <c r="Q169" s="305"/>
      <c r="R169" s="305"/>
      <c r="S169" s="305"/>
      <c r="T169" s="305"/>
      <c r="U169" s="305"/>
      <c r="V169" s="305"/>
      <c r="W169" s="305"/>
      <c r="X169" s="305"/>
      <c r="Y169" s="305"/>
      <c r="Z169" s="298"/>
      <c r="AA169" s="298"/>
    </row>
    <row r="170" spans="5:27" customFormat="1" x14ac:dyDescent="0.25">
      <c r="E170" s="84"/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</row>
    <row r="171" spans="5:27" customFormat="1" x14ac:dyDescent="0.25">
      <c r="E171" s="52" t="s">
        <v>116</v>
      </c>
      <c r="J171" s="211"/>
      <c r="K171" s="211"/>
      <c r="L171" s="211"/>
      <c r="M171" s="211"/>
      <c r="N171" s="211"/>
      <c r="O171" s="211"/>
      <c r="P171" s="211"/>
      <c r="Q171" s="211"/>
      <c r="R171" s="211"/>
      <c r="S171" s="211"/>
      <c r="T171" s="211"/>
      <c r="U171" s="211"/>
      <c r="V171" s="211"/>
      <c r="W171" s="211"/>
      <c r="X171" s="211"/>
      <c r="Y171" s="211"/>
    </row>
    <row r="172" spans="5:27" customFormat="1" x14ac:dyDescent="0.25">
      <c r="E172" s="84"/>
      <c r="F172" s="80" t="s">
        <v>267</v>
      </c>
      <c r="G172" s="80" t="s">
        <v>183</v>
      </c>
      <c r="H172" s="296"/>
      <c r="I172" s="296"/>
      <c r="J172" s="308"/>
      <c r="K172" s="308"/>
      <c r="L172" s="308"/>
      <c r="M172" s="308"/>
      <c r="N172" s="308"/>
      <c r="O172" s="308"/>
      <c r="P172" s="308"/>
      <c r="Q172" s="308"/>
      <c r="R172" s="309">
        <f t="shared" ref="R172:S172" si="32">hundred * $H63 * R93 / $H35 / hours_in_year</f>
        <v>-7.3988315420688511E-2</v>
      </c>
      <c r="S172" s="309">
        <f t="shared" si="32"/>
        <v>-6.9903892578460469E-2</v>
      </c>
      <c r="T172" s="309">
        <f t="shared" ref="T172:U172" si="33">hundred * $H63 * T93 / $H35 / hours_in_year</f>
        <v>-7.3988315420688511E-2</v>
      </c>
      <c r="U172" s="309">
        <f t="shared" si="33"/>
        <v>-7.3988315420688511E-2</v>
      </c>
      <c r="V172" s="309">
        <f t="shared" ref="V172:W172" si="34">hundred * $H63 * V93 / $H35 / hours_in_year</f>
        <v>-6.9903892578460469E-2</v>
      </c>
      <c r="W172" s="309">
        <f t="shared" si="34"/>
        <v>-6.9903892578460469E-2</v>
      </c>
      <c r="X172" s="309">
        <f t="shared" ref="X172:Y172" si="35">hundred * $H63 * X93 / $H35 / hours_in_year</f>
        <v>-6.856473754822176E-2</v>
      </c>
      <c r="Y172" s="309">
        <f t="shared" si="35"/>
        <v>-6.856473754822176E-2</v>
      </c>
      <c r="Z172" s="298"/>
      <c r="AA172" s="298"/>
    </row>
    <row r="173" spans="5:27" customFormat="1" x14ac:dyDescent="0.25">
      <c r="E173" s="84"/>
      <c r="F173" t="s">
        <v>43</v>
      </c>
      <c r="G173" t="s">
        <v>183</v>
      </c>
      <c r="H173" s="298"/>
      <c r="I173" s="298"/>
      <c r="J173" s="365"/>
      <c r="K173" s="365"/>
      <c r="L173" s="365"/>
      <c r="M173" s="365"/>
      <c r="N173" s="365"/>
      <c r="O173" s="365"/>
      <c r="P173" s="365"/>
      <c r="Q173" s="365"/>
      <c r="R173" s="364">
        <f t="shared" ref="R173:S173" si="36">hundred * $H64 * R94 / $H36 / hours_in_year</f>
        <v>0</v>
      </c>
      <c r="S173" s="364">
        <f t="shared" si="36"/>
        <v>0</v>
      </c>
      <c r="T173" s="364">
        <f t="shared" ref="T173:U173" si="37">hundred * $H64 * T94 / $H36 / hours_in_year</f>
        <v>0</v>
      </c>
      <c r="U173" s="364">
        <f t="shared" si="37"/>
        <v>0</v>
      </c>
      <c r="V173" s="364">
        <f t="shared" ref="V173:W173" si="38">hundred * $H64 * V94 / $H36 / hours_in_year</f>
        <v>0</v>
      </c>
      <c r="W173" s="364">
        <f t="shared" si="38"/>
        <v>0</v>
      </c>
      <c r="X173" s="364">
        <f t="shared" ref="X173:Y173" si="39">hundred * $H64 * X94 / $H36 / hours_in_year</f>
        <v>0</v>
      </c>
      <c r="Y173" s="364">
        <f t="shared" si="39"/>
        <v>0</v>
      </c>
      <c r="Z173" s="298"/>
      <c r="AA173" s="298"/>
    </row>
    <row r="174" spans="5:27" customFormat="1" x14ac:dyDescent="0.25">
      <c r="E174" s="84"/>
      <c r="F174" t="s">
        <v>44</v>
      </c>
      <c r="G174" t="s">
        <v>183</v>
      </c>
      <c r="H174" s="298"/>
      <c r="I174" s="298"/>
      <c r="J174" s="365"/>
      <c r="K174" s="365"/>
      <c r="L174" s="365"/>
      <c r="M174" s="365"/>
      <c r="N174" s="365"/>
      <c r="O174" s="365"/>
      <c r="P174" s="365"/>
      <c r="Q174" s="365"/>
      <c r="R174" s="364">
        <f t="shared" ref="R174:S174" si="40">hundred * $H65 * R95 / $H37 / hours_in_year</f>
        <v>0</v>
      </c>
      <c r="S174" s="364">
        <f t="shared" si="40"/>
        <v>0</v>
      </c>
      <c r="T174" s="364">
        <f t="shared" ref="T174:U174" si="41">hundred * $H65 * T95 / $H37 / hours_in_year</f>
        <v>0</v>
      </c>
      <c r="U174" s="364">
        <f t="shared" si="41"/>
        <v>0</v>
      </c>
      <c r="V174" s="364">
        <f t="shared" ref="V174:W174" si="42">hundred * $H65 * V95 / $H37 / hours_in_year</f>
        <v>0</v>
      </c>
      <c r="W174" s="364">
        <f t="shared" si="42"/>
        <v>0</v>
      </c>
      <c r="X174" s="364">
        <f t="shared" ref="X174:Y174" si="43">hundred * $H65 * X95 / $H37 / hours_in_year</f>
        <v>0</v>
      </c>
      <c r="Y174" s="364">
        <f t="shared" si="43"/>
        <v>0</v>
      </c>
      <c r="Z174" s="298"/>
      <c r="AA174" s="298"/>
    </row>
    <row r="175" spans="5:27" customFormat="1" x14ac:dyDescent="0.25">
      <c r="E175" s="84"/>
      <c r="F175" t="s">
        <v>45</v>
      </c>
      <c r="G175" t="s">
        <v>183</v>
      </c>
      <c r="H175" s="298"/>
      <c r="I175" s="298"/>
      <c r="J175" s="365"/>
      <c r="K175" s="365"/>
      <c r="L175" s="365"/>
      <c r="M175" s="365"/>
      <c r="N175" s="365"/>
      <c r="O175" s="365"/>
      <c r="P175" s="365"/>
      <c r="Q175" s="365"/>
      <c r="R175" s="364">
        <f t="shared" ref="R175:S175" si="44">hundred * $H66 * R96 / $H38 / hours_in_year</f>
        <v>0</v>
      </c>
      <c r="S175" s="364">
        <f t="shared" si="44"/>
        <v>0</v>
      </c>
      <c r="T175" s="364">
        <f t="shared" ref="T175:U175" si="45">hundred * $H66 * T96 / $H38 / hours_in_year</f>
        <v>0</v>
      </c>
      <c r="U175" s="364">
        <f t="shared" si="45"/>
        <v>0</v>
      </c>
      <c r="V175" s="364">
        <f t="shared" ref="V175:W175" si="46">hundred * $H66 * V96 / $H38 / hours_in_year</f>
        <v>0</v>
      </c>
      <c r="W175" s="364">
        <f t="shared" si="46"/>
        <v>0</v>
      </c>
      <c r="X175" s="364">
        <f t="shared" ref="X175:Y175" si="47">hundred * $H66 * X96 / $H38 / hours_in_year</f>
        <v>0</v>
      </c>
      <c r="Y175" s="364">
        <f t="shared" si="47"/>
        <v>0</v>
      </c>
      <c r="Z175" s="298"/>
      <c r="AA175" s="298"/>
    </row>
    <row r="176" spans="5:27" customFormat="1" x14ac:dyDescent="0.25">
      <c r="E176" s="84"/>
      <c r="F176" t="s">
        <v>46</v>
      </c>
      <c r="G176" t="s">
        <v>183</v>
      </c>
      <c r="H176" s="298"/>
      <c r="I176" s="298"/>
      <c r="J176" s="365"/>
      <c r="K176" s="365"/>
      <c r="L176" s="365"/>
      <c r="M176" s="365"/>
      <c r="N176" s="365"/>
      <c r="O176" s="365"/>
      <c r="P176" s="365"/>
      <c r="Q176" s="365"/>
      <c r="R176" s="364">
        <f t="shared" ref="R176:S176" si="48">hundred * $H67 * R97 / $H39 / hours_in_year</f>
        <v>-0.14057217965379512</v>
      </c>
      <c r="S176" s="364">
        <f t="shared" si="48"/>
        <v>-0.13281208647833675</v>
      </c>
      <c r="T176" s="364">
        <f t="shared" ref="T176:U176" si="49">hundred * $H67 * T97 / $H39 / hours_in_year</f>
        <v>-0.14057217965379512</v>
      </c>
      <c r="U176" s="364">
        <f t="shared" si="49"/>
        <v>-0.14057217965379512</v>
      </c>
      <c r="V176" s="364">
        <f t="shared" ref="V176:W176" si="50">hundred * $H67 * V97 / $H39 / hours_in_year</f>
        <v>-0.13281208647833675</v>
      </c>
      <c r="W176" s="364">
        <f t="shared" si="50"/>
        <v>-0.13281208647833675</v>
      </c>
      <c r="X176" s="364">
        <f t="shared" ref="X176:Y176" si="51">hundred * $H67 * X97 / $H39 / hours_in_year</f>
        <v>-0.13026779363392416</v>
      </c>
      <c r="Y176" s="364">
        <f t="shared" si="51"/>
        <v>-0.13026779363392416</v>
      </c>
      <c r="Z176" s="298"/>
      <c r="AA176" s="298"/>
    </row>
    <row r="177" spans="2:27" x14ac:dyDescent="0.25">
      <c r="D177"/>
      <c r="F177" t="s">
        <v>47</v>
      </c>
      <c r="G177" t="s">
        <v>183</v>
      </c>
      <c r="H177" s="298"/>
      <c r="I177" s="298"/>
      <c r="J177" s="365"/>
      <c r="K177" s="365"/>
      <c r="L177" s="365"/>
      <c r="M177" s="365"/>
      <c r="N177" s="365"/>
      <c r="O177" s="365"/>
      <c r="P177" s="365"/>
      <c r="Q177" s="365"/>
      <c r="R177" s="364">
        <f t="shared" ref="R177:S177" si="52">hundred * $H68 * R98 / $H40 / hours_in_year</f>
        <v>-3.6020905985335555E-2</v>
      </c>
      <c r="S177" s="364">
        <f t="shared" si="52"/>
        <v>-3.4032421582525174E-2</v>
      </c>
      <c r="T177" s="364">
        <f t="shared" ref="T177:U177" si="53">hundred * $H68 * T98 / $H40 / hours_in_year</f>
        <v>-3.6020905985335555E-2</v>
      </c>
      <c r="U177" s="364">
        <f t="shared" si="53"/>
        <v>-3.6020905985335555E-2</v>
      </c>
      <c r="V177" s="364">
        <f t="shared" ref="V177:W177" si="54">hundred * $H68 * V98 / $H40 / hours_in_year</f>
        <v>-3.4032421582525174E-2</v>
      </c>
      <c r="W177" s="364">
        <f t="shared" si="54"/>
        <v>-3.4032421582525174E-2</v>
      </c>
      <c r="X177" s="364">
        <f t="shared" ref="X177:Y177" si="55">hundred * $H68 * X98 / $H40 / hours_in_year</f>
        <v>-3.3380459483243079E-2</v>
      </c>
      <c r="Y177" s="364">
        <f t="shared" si="55"/>
        <v>-3.3380459483243079E-2</v>
      </c>
      <c r="Z177" s="298"/>
      <c r="AA177" s="298"/>
    </row>
    <row r="178" spans="2:27" x14ac:dyDescent="0.25">
      <c r="D178"/>
      <c r="F178" t="s">
        <v>51</v>
      </c>
      <c r="G178" t="s">
        <v>183</v>
      </c>
      <c r="H178" s="298"/>
      <c r="I178" s="298"/>
      <c r="J178" s="365"/>
      <c r="K178" s="365"/>
      <c r="L178" s="365"/>
      <c r="M178" s="365"/>
      <c r="N178" s="365"/>
      <c r="O178" s="365"/>
      <c r="P178" s="365"/>
      <c r="Q178" s="365"/>
      <c r="R178" s="364">
        <f t="shared" ref="R178:S178" si="56">hundred * $H69 * R99 / $H41 / hours_in_year</f>
        <v>0</v>
      </c>
      <c r="S178" s="364">
        <f t="shared" si="56"/>
        <v>0</v>
      </c>
      <c r="T178" s="364">
        <f t="shared" ref="T178:U178" si="57">hundred * $H69 * T99 / $H41 / hours_in_year</f>
        <v>0</v>
      </c>
      <c r="U178" s="364">
        <f t="shared" si="57"/>
        <v>0</v>
      </c>
      <c r="V178" s="364">
        <f t="shared" ref="V178:W178" si="58">hundred * $H69 * V99 / $H41 / hours_in_year</f>
        <v>0</v>
      </c>
      <c r="W178" s="364">
        <f t="shared" si="58"/>
        <v>0</v>
      </c>
      <c r="X178" s="364">
        <f t="shared" ref="X178:Y178" si="59">hundred * $H69 * X99 / $H41 / hours_in_year</f>
        <v>0</v>
      </c>
      <c r="Y178" s="364">
        <f t="shared" si="59"/>
        <v>0</v>
      </c>
      <c r="Z178" s="298"/>
      <c r="AA178" s="298"/>
    </row>
    <row r="179" spans="2:27" x14ac:dyDescent="0.25">
      <c r="D179"/>
      <c r="F179" t="s">
        <v>48</v>
      </c>
      <c r="G179" t="s">
        <v>183</v>
      </c>
      <c r="H179" s="298"/>
      <c r="I179" s="298"/>
      <c r="J179" s="365"/>
      <c r="K179" s="365"/>
      <c r="L179" s="365"/>
      <c r="M179" s="365"/>
      <c r="N179" s="365"/>
      <c r="O179" s="365"/>
      <c r="P179" s="365"/>
      <c r="Q179" s="365"/>
      <c r="R179" s="364">
        <f t="shared" ref="R179:S179" si="60">hundred * $H70 * R100 / $H42 / hours_in_year</f>
        <v>-0.15496294665929083</v>
      </c>
      <c r="S179" s="364">
        <f t="shared" si="60"/>
        <v>-0.14640843105185486</v>
      </c>
      <c r="T179" s="364">
        <f t="shared" ref="T179:U179" si="61">hundred * $H70 * T100 / $H42 / hours_in_year</f>
        <v>-0.15496294665929083</v>
      </c>
      <c r="U179" s="364">
        <f t="shared" si="61"/>
        <v>-0.15496294665929083</v>
      </c>
      <c r="V179" s="364">
        <f t="shared" ref="V179:W179" si="62">hundred * $H70 * V100 / $H42 / hours_in_year</f>
        <v>-0.14640843105185486</v>
      </c>
      <c r="W179" s="364">
        <f t="shared" si="62"/>
        <v>-0.14640843105185486</v>
      </c>
      <c r="X179" s="364">
        <f t="shared" ref="X179:Y179" si="63">hundred * $H70 * X100 / $H42 / hours_in_year</f>
        <v>-0.1436036718363021</v>
      </c>
      <c r="Y179" s="364">
        <f t="shared" si="63"/>
        <v>-0.1436036718363021</v>
      </c>
      <c r="Z179" s="298"/>
      <c r="AA179" s="298"/>
    </row>
    <row r="180" spans="2:27" x14ac:dyDescent="0.25">
      <c r="D180"/>
      <c r="F180" t="s">
        <v>49</v>
      </c>
      <c r="G180" t="s">
        <v>183</v>
      </c>
      <c r="H180" s="298"/>
      <c r="I180" s="298"/>
      <c r="J180" s="365"/>
      <c r="K180" s="365"/>
      <c r="L180" s="365"/>
      <c r="M180" s="365"/>
      <c r="N180" s="365"/>
      <c r="O180" s="365"/>
      <c r="P180" s="365"/>
      <c r="Q180" s="365"/>
      <c r="R180" s="364">
        <f t="shared" ref="R180:S180" si="64">hundred * $H71 * R101 / $H43 / hours_in_year</f>
        <v>-3.8946576337242134E-2</v>
      </c>
      <c r="S180" s="364">
        <f t="shared" si="64"/>
        <v>-3.67965843403446E-2</v>
      </c>
      <c r="T180" s="364">
        <f t="shared" ref="T180:U180" si="65">hundred * $H71 * T101 / $H43 / hours_in_year</f>
        <v>-3.8946576337242134E-2</v>
      </c>
      <c r="U180" s="364">
        <f t="shared" si="65"/>
        <v>-3.8946576337242134E-2</v>
      </c>
      <c r="V180" s="364">
        <f t="shared" ref="V180:W180" si="66">hundred * $H71 * V101 / $H43 / hours_in_year</f>
        <v>-3.67965843403446E-2</v>
      </c>
      <c r="W180" s="364">
        <f t="shared" si="66"/>
        <v>-3.67965843403446E-2</v>
      </c>
      <c r="X180" s="364">
        <f t="shared" ref="X180:Y180" si="67">hundred * $H71 * X101 / $H43 / hours_in_year</f>
        <v>0</v>
      </c>
      <c r="Y180" s="364">
        <f t="shared" si="67"/>
        <v>0</v>
      </c>
      <c r="Z180" s="298"/>
      <c r="AA180" s="298"/>
    </row>
    <row r="181" spans="2:27" x14ac:dyDescent="0.25">
      <c r="D181"/>
      <c r="F181" t="s">
        <v>50</v>
      </c>
      <c r="G181" t="s">
        <v>183</v>
      </c>
      <c r="H181" s="298"/>
      <c r="I181" s="298"/>
      <c r="J181" s="365"/>
      <c r="K181" s="365"/>
      <c r="L181" s="365"/>
      <c r="M181" s="365"/>
      <c r="N181" s="365"/>
      <c r="O181" s="365"/>
      <c r="P181" s="365"/>
      <c r="Q181" s="365"/>
      <c r="R181" s="364">
        <f t="shared" ref="R181:S181" si="68">hundred * $H72 * R102 / $H44 / hours_in_year</f>
        <v>-6.5509372732102125E-2</v>
      </c>
      <c r="S181" s="364">
        <f t="shared" si="68"/>
        <v>0</v>
      </c>
      <c r="T181" s="364">
        <f t="shared" ref="T181:U181" si="69">hundred * $H72 * T102 / $H44 / hours_in_year</f>
        <v>-6.5509372732102125E-2</v>
      </c>
      <c r="U181" s="364">
        <f t="shared" si="69"/>
        <v>-6.5509372732102125E-2</v>
      </c>
      <c r="V181" s="364">
        <f t="shared" ref="V181:W181" si="70">hundred * $H72 * V102 / $H44 / hours_in_year</f>
        <v>0</v>
      </c>
      <c r="W181" s="364">
        <f t="shared" si="70"/>
        <v>0</v>
      </c>
      <c r="X181" s="364">
        <f t="shared" ref="X181:Y181" si="71">hundred * $H72 * X102 / $H44 / hours_in_year</f>
        <v>0</v>
      </c>
      <c r="Y181" s="364">
        <f t="shared" si="71"/>
        <v>0</v>
      </c>
      <c r="Z181" s="298"/>
      <c r="AA181" s="298"/>
    </row>
    <row r="182" spans="2:27" x14ac:dyDescent="0.25">
      <c r="D182"/>
      <c r="F182" t="s">
        <v>124</v>
      </c>
      <c r="G182" t="s">
        <v>183</v>
      </c>
      <c r="H182" s="298"/>
      <c r="I182" s="298"/>
      <c r="J182" s="365"/>
      <c r="K182" s="365"/>
      <c r="L182" s="365"/>
      <c r="M182" s="365"/>
      <c r="N182" s="365"/>
      <c r="O182" s="365"/>
      <c r="P182" s="365"/>
      <c r="Q182" s="365"/>
      <c r="R182" s="365"/>
      <c r="S182" s="365"/>
      <c r="T182" s="365"/>
      <c r="U182" s="365"/>
      <c r="V182" s="365"/>
      <c r="W182" s="365"/>
      <c r="X182" s="365"/>
      <c r="Y182" s="365"/>
      <c r="Z182" s="298"/>
      <c r="AA182" s="298"/>
    </row>
    <row r="183" spans="2:27" x14ac:dyDescent="0.25">
      <c r="D183"/>
      <c r="F183" s="17" t="s">
        <v>123</v>
      </c>
      <c r="G183" s="17" t="s">
        <v>183</v>
      </c>
      <c r="H183" s="300"/>
      <c r="I183" s="300"/>
      <c r="J183" s="305"/>
      <c r="K183" s="305"/>
      <c r="L183" s="305"/>
      <c r="M183" s="305"/>
      <c r="N183" s="305"/>
      <c r="O183" s="305"/>
      <c r="P183" s="305"/>
      <c r="Q183" s="305"/>
      <c r="R183" s="305"/>
      <c r="S183" s="305"/>
      <c r="T183" s="305"/>
      <c r="U183" s="305"/>
      <c r="V183" s="305"/>
      <c r="W183" s="305"/>
      <c r="X183" s="305"/>
      <c r="Y183" s="305"/>
      <c r="Z183" s="298"/>
      <c r="AA183" s="298"/>
    </row>
    <row r="184" spans="2:27" x14ac:dyDescent="0.25">
      <c r="D184"/>
      <c r="E184"/>
      <c r="J184" s="211"/>
      <c r="K184" s="211"/>
      <c r="L184" s="211"/>
      <c r="M184" s="211"/>
      <c r="N184" s="211"/>
      <c r="O184" s="211"/>
      <c r="P184" s="211"/>
      <c r="Q184" s="211"/>
      <c r="R184" s="211"/>
      <c r="S184" s="211"/>
      <c r="T184" s="211"/>
      <c r="U184" s="211"/>
      <c r="V184" s="211"/>
      <c r="W184" s="211"/>
      <c r="X184" s="211"/>
      <c r="Y184" s="211"/>
    </row>
    <row r="185" spans="2:27" x14ac:dyDescent="0.25">
      <c r="B185" s="82" t="s">
        <v>393</v>
      </c>
      <c r="C185" s="82"/>
      <c r="D185" s="82"/>
      <c r="E185" s="82"/>
      <c r="F185" s="82"/>
      <c r="G185" s="82"/>
      <c r="H185" s="82"/>
      <c r="I185" s="82"/>
      <c r="J185" s="236"/>
      <c r="K185" s="236"/>
      <c r="L185" s="236"/>
      <c r="M185" s="236"/>
      <c r="N185" s="236"/>
      <c r="O185" s="236"/>
      <c r="P185" s="236"/>
      <c r="Q185" s="236"/>
      <c r="R185" s="236"/>
      <c r="S185" s="236"/>
      <c r="T185" s="236"/>
      <c r="U185" s="236"/>
      <c r="V185" s="236"/>
      <c r="W185" s="236"/>
      <c r="X185" s="236"/>
      <c r="Y185" s="236"/>
      <c r="Z185" s="82"/>
      <c r="AA185" s="82"/>
    </row>
    <row r="186" spans="2:27" x14ac:dyDescent="0.25">
      <c r="B186" s="366"/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</row>
    <row r="187" spans="2:27" x14ac:dyDescent="0.25">
      <c r="B187" s="366"/>
      <c r="C187" s="73" t="s">
        <v>535</v>
      </c>
      <c r="J187" s="211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1"/>
      <c r="V187" s="211"/>
      <c r="W187" s="211"/>
      <c r="X187" s="211"/>
      <c r="Y187" s="211"/>
    </row>
    <row r="188" spans="2:27" x14ac:dyDescent="0.25">
      <c r="B188" s="366"/>
      <c r="C188" s="73" t="s">
        <v>732</v>
      </c>
      <c r="I188" t="s">
        <v>359</v>
      </c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  <c r="AA188" t="s">
        <v>733</v>
      </c>
    </row>
    <row r="189" spans="2:27" x14ac:dyDescent="0.25">
      <c r="B189" s="366"/>
      <c r="J189" s="211"/>
      <c r="K189" s="211"/>
      <c r="L189" s="211"/>
      <c r="M189" s="211"/>
      <c r="N189" s="211"/>
      <c r="O189" s="211"/>
      <c r="P189" s="211"/>
      <c r="Q189" s="211"/>
      <c r="R189" s="211"/>
      <c r="S189" s="211"/>
      <c r="T189" s="211"/>
      <c r="U189" s="211"/>
      <c r="V189" s="211"/>
      <c r="W189" s="211"/>
      <c r="X189" s="211"/>
      <c r="Y189" s="211"/>
    </row>
    <row r="190" spans="2:27" x14ac:dyDescent="0.25">
      <c r="C190" s="5" t="str">
        <f ca="1">INDEX('Version control'!$H$36:$H$62,MATCH($A$1,'Version control'!$F$36:$F$62,0),1)&amp;"-D: Reactive power charges, all customer categories"</f>
        <v>Section 516-D: Reactive power charges, all customer categories</v>
      </c>
      <c r="D190" s="5"/>
      <c r="E190" s="5"/>
      <c r="F190" s="5"/>
      <c r="G190" s="5"/>
      <c r="H190" s="5"/>
      <c r="I190" s="5"/>
      <c r="J190" s="205"/>
      <c r="K190" s="205"/>
      <c r="L190" s="205"/>
      <c r="M190" s="205"/>
      <c r="N190" s="205"/>
      <c r="O190" s="205"/>
      <c r="P190" s="205"/>
      <c r="Q190" s="205"/>
      <c r="R190" s="205"/>
      <c r="S190" s="205"/>
      <c r="T190" s="205"/>
      <c r="U190" s="205"/>
      <c r="V190" s="205"/>
      <c r="W190" s="205"/>
      <c r="X190" s="205"/>
      <c r="Y190" s="205"/>
      <c r="Z190" s="5"/>
      <c r="AA190" s="5"/>
    </row>
    <row r="191" spans="2:27" x14ac:dyDescent="0.25">
      <c r="C191" s="52"/>
      <c r="D191"/>
      <c r="E191" s="52"/>
      <c r="I191" t="s">
        <v>359</v>
      </c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  <c r="AA191" t="s">
        <v>804</v>
      </c>
    </row>
    <row r="192" spans="2:27" x14ac:dyDescent="0.25">
      <c r="E192" s="52" t="s">
        <v>139</v>
      </c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</row>
    <row r="193" spans="4:27" x14ac:dyDescent="0.25">
      <c r="F193" s="80" t="s">
        <v>267</v>
      </c>
      <c r="G193" s="80" t="s">
        <v>258</v>
      </c>
      <c r="H193" s="296"/>
      <c r="I193" s="296"/>
      <c r="J193" s="308"/>
      <c r="K193" s="308"/>
      <c r="L193" s="308"/>
      <c r="M193" s="308"/>
      <c r="N193" s="308"/>
      <c r="O193" s="308"/>
      <c r="P193" s="308"/>
      <c r="Q193" s="308"/>
      <c r="R193" s="308"/>
      <c r="S193" s="308"/>
      <c r="T193" s="308"/>
      <c r="U193" s="308"/>
      <c r="V193" s="308"/>
      <c r="W193" s="308"/>
      <c r="X193" s="308"/>
      <c r="Y193" s="308"/>
      <c r="Z193" s="298"/>
      <c r="AA193" s="298"/>
    </row>
    <row r="194" spans="4:27" x14ac:dyDescent="0.25">
      <c r="F194" t="s">
        <v>43</v>
      </c>
      <c r="G194" t="s">
        <v>258</v>
      </c>
      <c r="H194" s="298"/>
      <c r="I194" s="298"/>
      <c r="J194" s="365"/>
      <c r="K194" s="365"/>
      <c r="L194" s="365"/>
      <c r="M194" s="365"/>
      <c r="N194" s="365"/>
      <c r="O194" s="365"/>
      <c r="P194" s="365"/>
      <c r="Q194" s="365"/>
      <c r="R194" s="365"/>
      <c r="S194" s="365"/>
      <c r="T194" s="365"/>
      <c r="U194" s="365"/>
      <c r="V194" s="365"/>
      <c r="W194" s="365"/>
      <c r="X194" s="365"/>
      <c r="Y194" s="365"/>
      <c r="Z194" s="298"/>
      <c r="AA194" s="298"/>
    </row>
    <row r="195" spans="4:27" x14ac:dyDescent="0.25">
      <c r="F195" t="s">
        <v>44</v>
      </c>
      <c r="G195" t="s">
        <v>258</v>
      </c>
      <c r="H195" s="298"/>
      <c r="I195" s="298"/>
      <c r="J195" s="364">
        <f t="shared" ref="J195:K195" si="72">ABS(J125 + J160)*(1-J82)*PowerFactor*$H23</f>
        <v>0</v>
      </c>
      <c r="K195" s="364">
        <f t="shared" si="72"/>
        <v>0</v>
      </c>
      <c r="L195" s="364">
        <f t="shared" ref="L195:M195" si="73">ABS(L125 + L160)*(1-L82)*PowerFactor*$H23</f>
        <v>0</v>
      </c>
      <c r="M195" s="364">
        <f t="shared" si="73"/>
        <v>0</v>
      </c>
      <c r="N195" s="364">
        <f t="shared" ref="N195:P195" si="74">ABS(N125 + N160)*(1-N82)*PowerFactor*$H23</f>
        <v>0</v>
      </c>
      <c r="O195" s="364">
        <f t="shared" si="74"/>
        <v>0</v>
      </c>
      <c r="P195" s="364">
        <f t="shared" si="74"/>
        <v>0</v>
      </c>
      <c r="Q195" s="364">
        <f t="shared" ref="Q195:S195" si="75">ABS(Q125 + Q160)*(1-Q82)*PowerFactor*$H23</f>
        <v>0</v>
      </c>
      <c r="R195" s="364">
        <f t="shared" si="75"/>
        <v>0</v>
      </c>
      <c r="S195" s="364">
        <f t="shared" si="75"/>
        <v>0</v>
      </c>
      <c r="T195" s="364">
        <f t="shared" ref="T195:U195" si="76">ABS(T125 + T160)*(1-T82)*PowerFactor*$H23</f>
        <v>0</v>
      </c>
      <c r="U195" s="364">
        <f t="shared" si="76"/>
        <v>0</v>
      </c>
      <c r="V195" s="364">
        <f t="shared" ref="V195:W195" si="77">ABS(V125 + V160)*(1-V82)*PowerFactor*$H23</f>
        <v>0</v>
      </c>
      <c r="W195" s="364">
        <f t="shared" si="77"/>
        <v>0</v>
      </c>
      <c r="X195" s="364">
        <f t="shared" ref="X195:Y195" si="78">ABS(X125 + X160)*(1-X82)*PowerFactor*$H23</f>
        <v>0</v>
      </c>
      <c r="Y195" s="364">
        <f t="shared" si="78"/>
        <v>0</v>
      </c>
      <c r="Z195" s="298"/>
      <c r="AA195" s="298"/>
    </row>
    <row r="196" spans="4:27" x14ac:dyDescent="0.25">
      <c r="F196" t="s">
        <v>45</v>
      </c>
      <c r="G196" t="s">
        <v>258</v>
      </c>
      <c r="H196" s="298"/>
      <c r="I196" s="298"/>
      <c r="J196" s="364">
        <f t="shared" ref="J196:K196" si="79">ABS(J126 + J161)*(1-J83)*PowerFactor*$H24</f>
        <v>0</v>
      </c>
      <c r="K196" s="364">
        <f t="shared" si="79"/>
        <v>0</v>
      </c>
      <c r="L196" s="364">
        <f t="shared" ref="L196:M196" si="80">ABS(L126 + L161)*(1-L83)*PowerFactor*$H24</f>
        <v>0</v>
      </c>
      <c r="M196" s="364">
        <f t="shared" si="80"/>
        <v>0</v>
      </c>
      <c r="N196" s="364">
        <f t="shared" ref="N196:P196" si="81">ABS(N126 + N161)*(1-N83)*PowerFactor*$H24</f>
        <v>0</v>
      </c>
      <c r="O196" s="364">
        <f t="shared" si="81"/>
        <v>0</v>
      </c>
      <c r="P196" s="364">
        <f t="shared" si="81"/>
        <v>0</v>
      </c>
      <c r="Q196" s="364">
        <f t="shared" ref="Q196:S196" si="82">ABS(Q126 + Q161)*(1-Q83)*PowerFactor*$H24</f>
        <v>0</v>
      </c>
      <c r="R196" s="364">
        <f t="shared" si="82"/>
        <v>0</v>
      </c>
      <c r="S196" s="364">
        <f t="shared" si="82"/>
        <v>0</v>
      </c>
      <c r="T196" s="364">
        <f t="shared" ref="T196:U196" si="83">ABS(T126 + T161)*(1-T83)*PowerFactor*$H24</f>
        <v>0</v>
      </c>
      <c r="U196" s="364">
        <f t="shared" si="83"/>
        <v>0</v>
      </c>
      <c r="V196" s="364">
        <f t="shared" ref="V196:W196" si="84">ABS(V126 + V161)*(1-V83)*PowerFactor*$H24</f>
        <v>0</v>
      </c>
      <c r="W196" s="364">
        <f t="shared" si="84"/>
        <v>0</v>
      </c>
      <c r="X196" s="364">
        <f t="shared" ref="X196:Y196" si="85">ABS(X126 + X161)*(1-X83)*PowerFactor*$H24</f>
        <v>0</v>
      </c>
      <c r="Y196" s="364">
        <f t="shared" si="85"/>
        <v>0</v>
      </c>
      <c r="Z196" s="298"/>
      <c r="AA196" s="298"/>
    </row>
    <row r="197" spans="4:27" x14ac:dyDescent="0.25">
      <c r="F197" t="s">
        <v>46</v>
      </c>
      <c r="G197" t="s">
        <v>258</v>
      </c>
      <c r="H197" s="298"/>
      <c r="I197" s="298"/>
      <c r="J197" s="364">
        <f t="shared" ref="J197:K197" si="86">ABS(J127 + J162)*(1-J84)*PowerFactor*$H25</f>
        <v>4.376742773545738E-2</v>
      </c>
      <c r="K197" s="364">
        <f t="shared" si="86"/>
        <v>4.376742773545738E-2</v>
      </c>
      <c r="L197" s="364">
        <f t="shared" ref="L197:M197" si="87">ABS(L127 + L162)*(1-L84)*PowerFactor*$H25</f>
        <v>4.0152239717210568E-2</v>
      </c>
      <c r="M197" s="364">
        <f t="shared" si="87"/>
        <v>4.0152239717210568E-2</v>
      </c>
      <c r="N197" s="364">
        <f t="shared" ref="N197:P197" si="88">ABS(N127 + N162)*(1-N84)*PowerFactor*$H25</f>
        <v>3.5395111276270763E-2</v>
      </c>
      <c r="O197" s="364">
        <f t="shared" si="88"/>
        <v>2.8288507217338849E-2</v>
      </c>
      <c r="P197" s="364">
        <f t="shared" si="88"/>
        <v>2.081780096508758E-2</v>
      </c>
      <c r="Q197" s="364">
        <f t="shared" ref="Q197:S197" si="89">ABS(Q127 + Q162)*(1-Q84)*PowerFactor*$H25</f>
        <v>4.6852942003843663E-2</v>
      </c>
      <c r="R197" s="364">
        <f t="shared" si="89"/>
        <v>2.4497492535391407E-2</v>
      </c>
      <c r="S197" s="364">
        <f t="shared" si="89"/>
        <v>2.3145142268731794E-2</v>
      </c>
      <c r="T197" s="364">
        <f t="shared" ref="T197:U197" si="90">ABS(T127 + T162)*(1-T84)*PowerFactor*$H25</f>
        <v>2.4497492535391407E-2</v>
      </c>
      <c r="U197" s="364">
        <f t="shared" si="90"/>
        <v>2.4497492535391407E-2</v>
      </c>
      <c r="V197" s="364">
        <f t="shared" ref="V197:W197" si="91">ABS(V127 + V162)*(1-V84)*PowerFactor*$H25</f>
        <v>2.3145142268731794E-2</v>
      </c>
      <c r="W197" s="364">
        <f t="shared" si="91"/>
        <v>2.3145142268731794E-2</v>
      </c>
      <c r="X197" s="364">
        <f t="shared" ref="X197:Y197" si="92">ABS(X127 + X162)*(1-X84)*PowerFactor*$H25</f>
        <v>2.199571349082579E-2</v>
      </c>
      <c r="Y197" s="364">
        <f t="shared" si="92"/>
        <v>2.199571349082579E-2</v>
      </c>
      <c r="Z197" s="298"/>
      <c r="AA197" s="298"/>
    </row>
    <row r="198" spans="4:27" x14ac:dyDescent="0.25">
      <c r="F198" t="s">
        <v>47</v>
      </c>
      <c r="G198" t="s">
        <v>258</v>
      </c>
      <c r="H198" s="298"/>
      <c r="I198" s="298"/>
      <c r="J198" s="364">
        <f t="shared" ref="J198:K198" si="93">ABS(J128 + J163)*(1-J85)*PowerFactor*$H26</f>
        <v>1.2795295427881695E-2</v>
      </c>
      <c r="K198" s="364">
        <f t="shared" si="93"/>
        <v>1.2795295427881695E-2</v>
      </c>
      <c r="L198" s="364">
        <f t="shared" ref="L198:M198" si="94">ABS(L128 + L163)*(1-L85)*PowerFactor*$H26</f>
        <v>1.1738404467773213E-2</v>
      </c>
      <c r="M198" s="364">
        <f t="shared" si="94"/>
        <v>1.1738404467773213E-2</v>
      </c>
      <c r="N198" s="364">
        <f t="shared" ref="N198:P198" si="95">ABS(N128 + N163)*(1-N85)*PowerFactor*$H26</f>
        <v>1.0347670149135358E-2</v>
      </c>
      <c r="O198" s="364">
        <f t="shared" si="95"/>
        <v>8.2700726496288714E-3</v>
      </c>
      <c r="P198" s="364">
        <f t="shared" si="95"/>
        <v>0</v>
      </c>
      <c r="Q198" s="364">
        <f t="shared" ref="Q198:S198" si="96">ABS(Q128 + Q163)*(1-Q85)*PowerFactor*$H26</f>
        <v>1.3697337623497473E-2</v>
      </c>
      <c r="R198" s="364">
        <f t="shared" si="96"/>
        <v>7.1617792146080762E-3</v>
      </c>
      <c r="S198" s="364">
        <f t="shared" si="96"/>
        <v>6.7664230769690784E-3</v>
      </c>
      <c r="T198" s="364">
        <f t="shared" ref="T198:U198" si="97">ABS(T128 + T163)*(1-T85)*PowerFactor*$H26</f>
        <v>7.1617792146080762E-3</v>
      </c>
      <c r="U198" s="364">
        <f t="shared" si="97"/>
        <v>7.1617792146080762E-3</v>
      </c>
      <c r="V198" s="364">
        <f t="shared" ref="V198:W198" si="98">ABS(V128 + V163)*(1-V85)*PowerFactor*$H26</f>
        <v>6.7664230769690784E-3</v>
      </c>
      <c r="W198" s="364">
        <f t="shared" si="98"/>
        <v>6.7664230769690784E-3</v>
      </c>
      <c r="X198" s="364">
        <f t="shared" ref="X198:Y198" si="99">ABS(X128 + X163)*(1-X85)*PowerFactor*$H26</f>
        <v>5.693559151889278E-3</v>
      </c>
      <c r="Y198" s="364">
        <f t="shared" si="99"/>
        <v>5.693559151889278E-3</v>
      </c>
      <c r="Z198" s="298"/>
      <c r="AA198" s="298"/>
    </row>
    <row r="199" spans="4:27" x14ac:dyDescent="0.25">
      <c r="F199" t="s">
        <v>51</v>
      </c>
      <c r="G199" t="s">
        <v>258</v>
      </c>
      <c r="H199" s="298"/>
      <c r="I199" s="298"/>
      <c r="J199" s="364">
        <f t="shared" ref="J199:K199" si="100">ABS(J129 + J164)*(1-J86)*PowerFactor*$H27</f>
        <v>0</v>
      </c>
      <c r="K199" s="364">
        <f t="shared" si="100"/>
        <v>0</v>
      </c>
      <c r="L199" s="364">
        <f t="shared" ref="L199:M199" si="101">ABS(L129 + L164)*(1-L86)*PowerFactor*$H27</f>
        <v>0</v>
      </c>
      <c r="M199" s="364">
        <f t="shared" si="101"/>
        <v>0</v>
      </c>
      <c r="N199" s="364">
        <f t="shared" ref="N199:P199" si="102">ABS(N129 + N164)*(1-N86)*PowerFactor*$H27</f>
        <v>0</v>
      </c>
      <c r="O199" s="364">
        <f t="shared" si="102"/>
        <v>0</v>
      </c>
      <c r="P199" s="364">
        <f t="shared" si="102"/>
        <v>0</v>
      </c>
      <c r="Q199" s="364">
        <f t="shared" ref="Q199:S199" si="103">ABS(Q129 + Q164)*(1-Q86)*PowerFactor*$H27</f>
        <v>0</v>
      </c>
      <c r="R199" s="364">
        <f t="shared" si="103"/>
        <v>0</v>
      </c>
      <c r="S199" s="364">
        <f t="shared" si="103"/>
        <v>0</v>
      </c>
      <c r="T199" s="364">
        <f t="shared" ref="T199:U199" si="104">ABS(T129 + T164)*(1-T86)*PowerFactor*$H27</f>
        <v>0</v>
      </c>
      <c r="U199" s="364">
        <f t="shared" si="104"/>
        <v>0</v>
      </c>
      <c r="V199" s="364">
        <f t="shared" ref="V199:W199" si="105">ABS(V129 + V164)*(1-V86)*PowerFactor*$H27</f>
        <v>0</v>
      </c>
      <c r="W199" s="364">
        <f t="shared" si="105"/>
        <v>0</v>
      </c>
      <c r="X199" s="364">
        <f t="shared" ref="X199:Y199" si="106">ABS(X129 + X164)*(1-X86)*PowerFactor*$H27</f>
        <v>0</v>
      </c>
      <c r="Y199" s="364">
        <f t="shared" si="106"/>
        <v>0</v>
      </c>
      <c r="Z199" s="298"/>
      <c r="AA199" s="298"/>
    </row>
    <row r="200" spans="4:27" x14ac:dyDescent="0.25">
      <c r="F200" t="s">
        <v>48</v>
      </c>
      <c r="G200" t="s">
        <v>258</v>
      </c>
      <c r="H200" s="298"/>
      <c r="I200" s="298"/>
      <c r="J200" s="364">
        <f t="shared" ref="J200:K200" si="107">ABS(J130 + J165)*(1-J87)*PowerFactor*$H28</f>
        <v>4.4000686887407575E-2</v>
      </c>
      <c r="K200" s="364">
        <f t="shared" si="107"/>
        <v>4.4000686887407575E-2</v>
      </c>
      <c r="L200" s="364">
        <f t="shared" ref="L200:M200" si="108">ABS(L130 + L165)*(1-L87)*PowerFactor*$H28</f>
        <v>4.0366231671271638E-2</v>
      </c>
      <c r="M200" s="364">
        <f t="shared" si="108"/>
        <v>4.0366231671271638E-2</v>
      </c>
      <c r="N200" s="364">
        <f t="shared" ref="N200:P200" si="109">ABS(N130 + N165)*(1-N87)*PowerFactor*$H28</f>
        <v>2.8467000035287564E-2</v>
      </c>
      <c r="O200" s="364">
        <f t="shared" si="109"/>
        <v>0</v>
      </c>
      <c r="P200" s="364">
        <f t="shared" si="109"/>
        <v>0</v>
      </c>
      <c r="Q200" s="364">
        <f t="shared" ref="Q200:S200" si="110">ABS(Q130 + Q165)*(1-Q87)*PowerFactor*$H28</f>
        <v>4.7102645449617203E-2</v>
      </c>
      <c r="R200" s="364">
        <f t="shared" si="110"/>
        <v>2.4628052283344842E-2</v>
      </c>
      <c r="S200" s="364">
        <f t="shared" si="110"/>
        <v>2.3268494645983729E-2</v>
      </c>
      <c r="T200" s="364">
        <f t="shared" ref="T200:U200" si="111">ABS(T130 + T165)*(1-T87)*PowerFactor*$H28</f>
        <v>2.4628052283344842E-2</v>
      </c>
      <c r="U200" s="364">
        <f t="shared" si="111"/>
        <v>2.4628052283344842E-2</v>
      </c>
      <c r="V200" s="364">
        <f t="shared" ref="V200:W200" si="112">ABS(V130 + V165)*(1-V87)*PowerFactor*$H28</f>
        <v>2.3268494645983729E-2</v>
      </c>
      <c r="W200" s="364">
        <f t="shared" si="112"/>
        <v>2.3268494645983729E-2</v>
      </c>
      <c r="X200" s="364">
        <f t="shared" ref="X200:Y200" si="113">ABS(X130 + X165)*(1-X87)*PowerFactor*$H28</f>
        <v>1.5661546332177173E-2</v>
      </c>
      <c r="Y200" s="364">
        <f t="shared" si="113"/>
        <v>1.5661546332177173E-2</v>
      </c>
      <c r="Z200" s="298"/>
      <c r="AA200" s="298"/>
    </row>
    <row r="201" spans="4:27" x14ac:dyDescent="0.25">
      <c r="F201" t="s">
        <v>49</v>
      </c>
      <c r="G201" t="s">
        <v>258</v>
      </c>
      <c r="H201" s="298"/>
      <c r="I201" s="298"/>
      <c r="J201" s="364">
        <f t="shared" ref="J201:K201" si="114">ABS(J131 + J166)*(1-J88)*PowerFactor*$H29</f>
        <v>1.0103577322844916E-2</v>
      </c>
      <c r="K201" s="364">
        <f t="shared" si="114"/>
        <v>1.0103577322844916E-2</v>
      </c>
      <c r="L201" s="364">
        <f t="shared" ref="L201:M201" si="115">ABS(L131 + L166)*(1-L88)*PowerFactor*$H29</f>
        <v>9.2690221851805654E-3</v>
      </c>
      <c r="M201" s="364">
        <f t="shared" si="115"/>
        <v>9.2690221851805654E-3</v>
      </c>
      <c r="N201" s="364">
        <f t="shared" ref="N201:P201" si="116">ABS(N131 + N166)*(1-N88)*PowerFactor*$H29</f>
        <v>0</v>
      </c>
      <c r="O201" s="364">
        <f t="shared" si="116"/>
        <v>0</v>
      </c>
      <c r="P201" s="364">
        <f t="shared" si="116"/>
        <v>0</v>
      </c>
      <c r="Q201" s="364">
        <f t="shared" ref="Q201:S201" si="117">ABS(Q131 + Q166)*(1-Q88)*PowerFactor*$H29</f>
        <v>1.081585888939735E-2</v>
      </c>
      <c r="R201" s="364">
        <f t="shared" si="117"/>
        <v>5.655171502039761E-3</v>
      </c>
      <c r="S201" s="364">
        <f t="shared" si="117"/>
        <v>5.3429855639181099E-3</v>
      </c>
      <c r="T201" s="364">
        <f t="shared" ref="T201:U201" si="118">ABS(T131 + T166)*(1-T88)*PowerFactor*$H29</f>
        <v>5.655171502039761E-3</v>
      </c>
      <c r="U201" s="364">
        <f t="shared" si="118"/>
        <v>5.655171502039761E-3</v>
      </c>
      <c r="V201" s="364">
        <f t="shared" ref="V201:W201" si="119">ABS(V131 + V166)*(1-V88)*PowerFactor*$H29</f>
        <v>5.3429855639181099E-3</v>
      </c>
      <c r="W201" s="364">
        <f t="shared" si="119"/>
        <v>5.3429855639181099E-3</v>
      </c>
      <c r="X201" s="364">
        <f t="shared" ref="X201:Y201" si="120">ABS(X131 + X166)*(1-X88)*PowerFactor*$H29</f>
        <v>0</v>
      </c>
      <c r="Y201" s="364">
        <f t="shared" si="120"/>
        <v>0</v>
      </c>
      <c r="Z201" s="298"/>
      <c r="AA201" s="298"/>
    </row>
    <row r="202" spans="4:27" x14ac:dyDescent="0.25">
      <c r="F202" t="s">
        <v>50</v>
      </c>
      <c r="G202" t="s">
        <v>258</v>
      </c>
      <c r="H202" s="298"/>
      <c r="I202" s="298"/>
      <c r="J202" s="364">
        <f t="shared" ref="J202:K202" si="121">ABS(J132 + J167)*(1-J89)*PowerFactor*$H30</f>
        <v>0</v>
      </c>
      <c r="K202" s="364">
        <f t="shared" si="121"/>
        <v>0</v>
      </c>
      <c r="L202" s="364">
        <f t="shared" ref="L202:M202" si="122">ABS(L132 + L167)*(1-L89)*PowerFactor*$H30</f>
        <v>0</v>
      </c>
      <c r="M202" s="364">
        <f t="shared" si="122"/>
        <v>0</v>
      </c>
      <c r="N202" s="364">
        <f t="shared" ref="N202:P202" si="123">ABS(N132 + N167)*(1-N89)*PowerFactor*$H30</f>
        <v>0</v>
      </c>
      <c r="O202" s="364">
        <f t="shared" si="123"/>
        <v>0</v>
      </c>
      <c r="P202" s="364">
        <f t="shared" si="123"/>
        <v>0</v>
      </c>
      <c r="Q202" s="364">
        <f t="shared" ref="Q202:S202" si="124">ABS(Q132 + Q167)*(1-Q89)*PowerFactor*$H30</f>
        <v>1.9002403038667871E-3</v>
      </c>
      <c r="R202" s="364">
        <f t="shared" si="124"/>
        <v>9.9355815597679253E-4</v>
      </c>
      <c r="S202" s="364">
        <f t="shared" si="124"/>
        <v>0</v>
      </c>
      <c r="T202" s="364">
        <f t="shared" ref="T202:U202" si="125">ABS(T132 + T167)*(1-T89)*PowerFactor*$H30</f>
        <v>9.9355815597679253E-4</v>
      </c>
      <c r="U202" s="364">
        <f t="shared" si="125"/>
        <v>9.9355815597679253E-4</v>
      </c>
      <c r="V202" s="364">
        <f t="shared" ref="V202:W202" si="126">ABS(V132 + V167)*(1-V89)*PowerFactor*$H30</f>
        <v>0</v>
      </c>
      <c r="W202" s="364">
        <f t="shared" si="126"/>
        <v>0</v>
      </c>
      <c r="X202" s="364">
        <f t="shared" ref="X202:Y202" si="127">ABS(X132 + X167)*(1-X89)*PowerFactor*$H30</f>
        <v>0</v>
      </c>
      <c r="Y202" s="364">
        <f t="shared" si="127"/>
        <v>0</v>
      </c>
      <c r="Z202" s="298"/>
      <c r="AA202" s="298"/>
    </row>
    <row r="203" spans="4:27" x14ac:dyDescent="0.25">
      <c r="F203" t="s">
        <v>124</v>
      </c>
      <c r="G203" t="s">
        <v>258</v>
      </c>
      <c r="H203" s="298"/>
      <c r="I203" s="298"/>
      <c r="J203" s="365"/>
      <c r="K203" s="365"/>
      <c r="L203" s="365"/>
      <c r="M203" s="365"/>
      <c r="N203" s="365"/>
      <c r="O203" s="365"/>
      <c r="P203" s="365"/>
      <c r="Q203" s="365"/>
      <c r="R203" s="365"/>
      <c r="S203" s="365"/>
      <c r="T203" s="365"/>
      <c r="U203" s="365"/>
      <c r="V203" s="365"/>
      <c r="W203" s="365"/>
      <c r="X203" s="365"/>
      <c r="Y203" s="365"/>
      <c r="Z203" s="298"/>
      <c r="AA203" s="298"/>
    </row>
    <row r="204" spans="4:27" x14ac:dyDescent="0.25">
      <c r="F204" s="17" t="s">
        <v>123</v>
      </c>
      <c r="G204" s="17" t="s">
        <v>258</v>
      </c>
      <c r="H204" s="300"/>
      <c r="I204" s="300"/>
      <c r="J204" s="305"/>
      <c r="K204" s="305"/>
      <c r="L204" s="305"/>
      <c r="M204" s="305"/>
      <c r="N204" s="305"/>
      <c r="O204" s="305"/>
      <c r="P204" s="305"/>
      <c r="Q204" s="305"/>
      <c r="R204" s="305"/>
      <c r="S204" s="305"/>
      <c r="T204" s="305"/>
      <c r="U204" s="305"/>
      <c r="V204" s="305"/>
      <c r="W204" s="305"/>
      <c r="X204" s="305"/>
      <c r="Y204" s="305"/>
      <c r="Z204" s="298"/>
      <c r="AA204" s="298"/>
    </row>
    <row r="205" spans="4:27" x14ac:dyDescent="0.25">
      <c r="D205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</row>
    <row r="206" spans="4:27" x14ac:dyDescent="0.25">
      <c r="E206" s="52" t="s">
        <v>116</v>
      </c>
      <c r="J206" s="211"/>
      <c r="K206" s="211"/>
      <c r="L206" s="211"/>
      <c r="M206" s="211"/>
      <c r="N206" s="211"/>
      <c r="O206" s="211"/>
      <c r="P206" s="211"/>
      <c r="Q206" s="211"/>
      <c r="R206" s="211"/>
      <c r="S206" s="211"/>
      <c r="T206" s="211"/>
      <c r="U206" s="211"/>
      <c r="V206" s="211"/>
      <c r="W206" s="211"/>
      <c r="X206" s="211"/>
      <c r="Y206" s="211"/>
    </row>
    <row r="207" spans="4:27" x14ac:dyDescent="0.25">
      <c r="F207" s="80" t="s">
        <v>267</v>
      </c>
      <c r="G207" s="80" t="s">
        <v>258</v>
      </c>
      <c r="H207" s="296"/>
      <c r="I207" s="296"/>
      <c r="J207" s="473">
        <f t="shared" ref="J207:K207" si="128">ABS(J137 + J172)*(1-J81)*PowerFactor*$H22</f>
        <v>1.728066784726677E-2</v>
      </c>
      <c r="K207" s="473">
        <f t="shared" si="128"/>
        <v>1.728066784726677E-2</v>
      </c>
      <c r="L207" s="473">
        <f t="shared" ref="L207:M207" si="129">ABS(L137 + L172)*(1-L81)*PowerFactor*$H22</f>
        <v>1.5853285280341769E-2</v>
      </c>
      <c r="M207" s="473">
        <f t="shared" si="129"/>
        <v>1.5853285280341769E-2</v>
      </c>
      <c r="N207" s="473">
        <f t="shared" ref="N207:P207" si="130">ABS(N137 + N172)*(1-N81)*PowerFactor*$H22</f>
        <v>1.3975031045444872E-2</v>
      </c>
      <c r="O207" s="473">
        <f t="shared" si="130"/>
        <v>1.1169134728971363E-2</v>
      </c>
      <c r="P207" s="473">
        <f t="shared" si="130"/>
        <v>1.0604144152979925E-2</v>
      </c>
      <c r="Q207" s="473">
        <f t="shared" ref="Q207:S207" si="131">ABS(Q137 + Q172)*(1-Q81)*PowerFactor*$H22</f>
        <v>1.8498919637896669E-2</v>
      </c>
      <c r="R207" s="473">
        <f t="shared" si="131"/>
        <v>9.6723306234430713E-3</v>
      </c>
      <c r="S207" s="473">
        <f t="shared" si="131"/>
        <v>9.1383829600674826E-3</v>
      </c>
      <c r="T207" s="473">
        <f t="shared" ref="T207:U207" si="132">ABS(T137 + T172)*(1-T81)*PowerFactor*$H22</f>
        <v>9.6723306234430713E-3</v>
      </c>
      <c r="U207" s="473">
        <f t="shared" si="132"/>
        <v>9.6723306234430713E-3</v>
      </c>
      <c r="V207" s="473">
        <f t="shared" ref="V207:W207" si="133">ABS(V137 + V172)*(1-V81)*PowerFactor*$H22</f>
        <v>9.1383829600674826E-3</v>
      </c>
      <c r="W207" s="473">
        <f t="shared" si="133"/>
        <v>9.1383829600674826E-3</v>
      </c>
      <c r="X207" s="473">
        <f t="shared" ref="X207:Y207" si="134">ABS(X137 + X172)*(1-X81)*PowerFactor*$H22</f>
        <v>8.9633181524033535E-3</v>
      </c>
      <c r="Y207" s="473">
        <f t="shared" si="134"/>
        <v>8.9633181524033535E-3</v>
      </c>
      <c r="Z207" s="298"/>
      <c r="AA207" s="298"/>
    </row>
    <row r="208" spans="4:27" x14ac:dyDescent="0.25">
      <c r="F208" t="s">
        <v>43</v>
      </c>
      <c r="G208" t="s">
        <v>258</v>
      </c>
      <c r="H208" s="298"/>
      <c r="I208" s="298"/>
      <c r="J208" s="364">
        <f t="shared" ref="J208:K208" si="135">ABS(J138 + J173)*(1-J81)*PowerFactor*$H22</f>
        <v>0</v>
      </c>
      <c r="K208" s="364">
        <f t="shared" si="135"/>
        <v>0</v>
      </c>
      <c r="L208" s="364">
        <f t="shared" ref="L208:M208" si="136">ABS(L138 + L173)*(1-L81)*PowerFactor*$H22</f>
        <v>0</v>
      </c>
      <c r="M208" s="364">
        <f t="shared" si="136"/>
        <v>0</v>
      </c>
      <c r="N208" s="364">
        <f t="shared" ref="N208:P208" si="137">ABS(N138 + N173)*(1-N81)*PowerFactor*$H22</f>
        <v>0</v>
      </c>
      <c r="O208" s="364">
        <f t="shared" si="137"/>
        <v>0</v>
      </c>
      <c r="P208" s="364">
        <f t="shared" si="137"/>
        <v>0</v>
      </c>
      <c r="Q208" s="364">
        <f t="shared" ref="Q208:S208" si="138">ABS(Q138 + Q173)*(1-Q81)*PowerFactor*$H22</f>
        <v>0</v>
      </c>
      <c r="R208" s="364">
        <f t="shared" si="138"/>
        <v>0</v>
      </c>
      <c r="S208" s="364">
        <f t="shared" si="138"/>
        <v>0</v>
      </c>
      <c r="T208" s="364">
        <f t="shared" ref="T208:U208" si="139">ABS(T138 + T173)*(1-T81)*PowerFactor*$H22</f>
        <v>0</v>
      </c>
      <c r="U208" s="364">
        <f t="shared" si="139"/>
        <v>0</v>
      </c>
      <c r="V208" s="364">
        <f t="shared" ref="V208:W208" si="140">ABS(V138 + V173)*(1-V81)*PowerFactor*$H22</f>
        <v>0</v>
      </c>
      <c r="W208" s="364">
        <f t="shared" si="140"/>
        <v>0</v>
      </c>
      <c r="X208" s="364">
        <f t="shared" ref="X208:Y208" si="141">ABS(X138 + X173)*(1-X81)*PowerFactor*$H22</f>
        <v>0</v>
      </c>
      <c r="Y208" s="364">
        <f t="shared" si="141"/>
        <v>0</v>
      </c>
      <c r="Z208" s="298"/>
      <c r="AA208" s="298"/>
    </row>
    <row r="209" spans="3:27" x14ac:dyDescent="0.25">
      <c r="F209" t="s">
        <v>44</v>
      </c>
      <c r="G209" t="s">
        <v>258</v>
      </c>
      <c r="H209" s="298"/>
      <c r="I209" s="298"/>
      <c r="J209" s="364">
        <f t="shared" ref="J209:K209" si="142">ABS(J139 + J174)*(1-J82)*PowerFactor*$H23</f>
        <v>0</v>
      </c>
      <c r="K209" s="364">
        <f t="shared" si="142"/>
        <v>0</v>
      </c>
      <c r="L209" s="364">
        <f t="shared" ref="L209:M209" si="143">ABS(L139 + L174)*(1-L82)*PowerFactor*$H23</f>
        <v>0</v>
      </c>
      <c r="M209" s="364">
        <f t="shared" si="143"/>
        <v>0</v>
      </c>
      <c r="N209" s="364">
        <f t="shared" ref="N209:P209" si="144">ABS(N139 + N174)*(1-N82)*PowerFactor*$H23</f>
        <v>0</v>
      </c>
      <c r="O209" s="364">
        <f t="shared" si="144"/>
        <v>0</v>
      </c>
      <c r="P209" s="364">
        <f t="shared" si="144"/>
        <v>0</v>
      </c>
      <c r="Q209" s="364">
        <f t="shared" ref="Q209:S209" si="145">ABS(Q139 + Q174)*(1-Q82)*PowerFactor*$H23</f>
        <v>0</v>
      </c>
      <c r="R209" s="364">
        <f t="shared" si="145"/>
        <v>0</v>
      </c>
      <c r="S209" s="364">
        <f t="shared" si="145"/>
        <v>0</v>
      </c>
      <c r="T209" s="364">
        <f t="shared" ref="T209:U209" si="146">ABS(T139 + T174)*(1-T82)*PowerFactor*$H23</f>
        <v>0</v>
      </c>
      <c r="U209" s="364">
        <f t="shared" si="146"/>
        <v>0</v>
      </c>
      <c r="V209" s="364">
        <f t="shared" ref="V209:W209" si="147">ABS(V139 + V174)*(1-V82)*PowerFactor*$H23</f>
        <v>0</v>
      </c>
      <c r="W209" s="364">
        <f t="shared" si="147"/>
        <v>0</v>
      </c>
      <c r="X209" s="364">
        <f t="shared" ref="X209:Y209" si="148">ABS(X139 + X174)*(1-X82)*PowerFactor*$H23</f>
        <v>0</v>
      </c>
      <c r="Y209" s="364">
        <f t="shared" si="148"/>
        <v>0</v>
      </c>
      <c r="Z209" s="298"/>
      <c r="AA209" s="298"/>
    </row>
    <row r="210" spans="3:27" x14ac:dyDescent="0.25">
      <c r="F210" t="s">
        <v>45</v>
      </c>
      <c r="G210" t="s">
        <v>258</v>
      </c>
      <c r="H210" s="298"/>
      <c r="I210" s="298"/>
      <c r="J210" s="364">
        <f t="shared" ref="J210:K210" si="149">ABS(J140 + J175)*(1-J83)*PowerFactor*$H24</f>
        <v>0</v>
      </c>
      <c r="K210" s="364">
        <f t="shared" si="149"/>
        <v>0</v>
      </c>
      <c r="L210" s="364">
        <f t="shared" ref="L210:M210" si="150">ABS(L140 + L175)*(1-L83)*PowerFactor*$H24</f>
        <v>0</v>
      </c>
      <c r="M210" s="364">
        <f t="shared" si="150"/>
        <v>0</v>
      </c>
      <c r="N210" s="364">
        <f t="shared" ref="N210:P210" si="151">ABS(N140 + N175)*(1-N83)*PowerFactor*$H24</f>
        <v>0</v>
      </c>
      <c r="O210" s="364">
        <f t="shared" si="151"/>
        <v>0</v>
      </c>
      <c r="P210" s="364">
        <f t="shared" si="151"/>
        <v>0</v>
      </c>
      <c r="Q210" s="364">
        <f t="shared" ref="Q210:S210" si="152">ABS(Q140 + Q175)*(1-Q83)*PowerFactor*$H24</f>
        <v>0</v>
      </c>
      <c r="R210" s="364">
        <f t="shared" si="152"/>
        <v>0</v>
      </c>
      <c r="S210" s="364">
        <f t="shared" si="152"/>
        <v>0</v>
      </c>
      <c r="T210" s="364">
        <f t="shared" ref="T210:U210" si="153">ABS(T140 + T175)*(1-T83)*PowerFactor*$H24</f>
        <v>0</v>
      </c>
      <c r="U210" s="364">
        <f t="shared" si="153"/>
        <v>0</v>
      </c>
      <c r="V210" s="364">
        <f t="shared" ref="V210:W210" si="154">ABS(V140 + V175)*(1-V83)*PowerFactor*$H24</f>
        <v>0</v>
      </c>
      <c r="W210" s="364">
        <f t="shared" si="154"/>
        <v>0</v>
      </c>
      <c r="X210" s="364">
        <f t="shared" ref="X210:Y210" si="155">ABS(X140 + X175)*(1-X83)*PowerFactor*$H24</f>
        <v>0</v>
      </c>
      <c r="Y210" s="364">
        <f t="shared" si="155"/>
        <v>0</v>
      </c>
      <c r="Z210" s="298"/>
      <c r="AA210" s="298"/>
    </row>
    <row r="211" spans="3:27" x14ac:dyDescent="0.25">
      <c r="F211" t="s">
        <v>46</v>
      </c>
      <c r="G211" t="s">
        <v>258</v>
      </c>
      <c r="H211" s="298"/>
      <c r="I211" s="298"/>
      <c r="J211" s="364">
        <f t="shared" ref="J211:K211" si="156">ABS(J141 + J176)*(1-J84)*PowerFactor*$H25</f>
        <v>3.2831956388674595E-2</v>
      </c>
      <c r="K211" s="364">
        <f t="shared" si="156"/>
        <v>3.2831956388674595E-2</v>
      </c>
      <c r="L211" s="364">
        <f t="shared" ref="L211:M211" si="157">ABS(L141 + L176)*(1-L84)*PowerFactor*$H25</f>
        <v>3.0120037925717255E-2</v>
      </c>
      <c r="M211" s="364">
        <f t="shared" si="157"/>
        <v>3.0120037925717255E-2</v>
      </c>
      <c r="N211" s="364">
        <f t="shared" ref="N211:P211" si="158">ABS(N141 + N176)*(1-N84)*PowerFactor*$H25</f>
        <v>2.6551497538736091E-2</v>
      </c>
      <c r="O211" s="364">
        <f t="shared" si="158"/>
        <v>2.12205076540962E-2</v>
      </c>
      <c r="P211" s="364">
        <f t="shared" si="158"/>
        <v>1.6117654778020497E-2</v>
      </c>
      <c r="Q211" s="364">
        <f t="shared" ref="Q211:S211" si="159">ABS(Q141 + Q176)*(1-Q84)*PowerFactor*$H25</f>
        <v>3.5146542260812173E-2</v>
      </c>
      <c r="R211" s="364">
        <f t="shared" si="159"/>
        <v>1.8376693540577048E-2</v>
      </c>
      <c r="S211" s="364">
        <f t="shared" si="159"/>
        <v>1.7362233535169629E-2</v>
      </c>
      <c r="T211" s="364">
        <f t="shared" ref="T211:U211" si="160">ABS(T141 + T176)*(1-T84)*PowerFactor*$H25</f>
        <v>1.8376693540577048E-2</v>
      </c>
      <c r="U211" s="364">
        <f t="shared" si="160"/>
        <v>1.8376693540577048E-2</v>
      </c>
      <c r="V211" s="364">
        <f t="shared" ref="V211:W211" si="161">ABS(V141 + V176)*(1-V84)*PowerFactor*$H25</f>
        <v>1.7362233535169629E-2</v>
      </c>
      <c r="W211" s="364">
        <f t="shared" si="161"/>
        <v>1.7362233535169629E-2</v>
      </c>
      <c r="X211" s="364">
        <f t="shared" ref="X211:Y211" si="162">ABS(X141 + X176)*(1-X84)*PowerFactor*$H25</f>
        <v>1.7029623697331128E-2</v>
      </c>
      <c r="Y211" s="364">
        <f t="shared" si="162"/>
        <v>1.7029623697331128E-2</v>
      </c>
      <c r="Z211" s="298"/>
      <c r="AA211" s="298"/>
    </row>
    <row r="212" spans="3:27" x14ac:dyDescent="0.25">
      <c r="F212" t="s">
        <v>47</v>
      </c>
      <c r="G212" t="s">
        <v>258</v>
      </c>
      <c r="H212" s="298"/>
      <c r="I212" s="298"/>
      <c r="J212" s="364">
        <f t="shared" ref="J212:K212" si="163">ABS(J142 + J177)*(1-J85)*PowerFactor*$H26</f>
        <v>9.598338380943679E-3</v>
      </c>
      <c r="K212" s="364">
        <f t="shared" si="163"/>
        <v>9.598338380943679E-3</v>
      </c>
      <c r="L212" s="364">
        <f t="shared" ref="L212:M212" si="164">ABS(L142 + L177)*(1-L85)*PowerFactor*$H26</f>
        <v>8.8055159624181641E-3</v>
      </c>
      <c r="M212" s="364">
        <f t="shared" si="164"/>
        <v>8.8055159624181641E-3</v>
      </c>
      <c r="N212" s="364">
        <f t="shared" ref="N212:P212" si="165">ABS(N142 + N177)*(1-N85)*PowerFactor*$H26</f>
        <v>7.7622623178645869E-3</v>
      </c>
      <c r="O212" s="364">
        <f t="shared" si="165"/>
        <v>6.203761075586736E-3</v>
      </c>
      <c r="P212" s="364">
        <f t="shared" si="165"/>
        <v>0</v>
      </c>
      <c r="Q212" s="364">
        <f t="shared" ref="Q212:S212" si="166">ABS(Q142 + Q177)*(1-Q85)*PowerFactor*$H26</f>
        <v>1.0275001633950181E-2</v>
      </c>
      <c r="R212" s="364">
        <f t="shared" si="166"/>
        <v>5.3723793013505843E-3</v>
      </c>
      <c r="S212" s="364">
        <f t="shared" si="166"/>
        <v>5.0758045163891482E-3</v>
      </c>
      <c r="T212" s="364">
        <f t="shared" ref="T212:U212" si="167">ABS(T142 + T177)*(1-T85)*PowerFactor*$H26</f>
        <v>5.3723793013505843E-3</v>
      </c>
      <c r="U212" s="364">
        <f t="shared" si="167"/>
        <v>5.3723793013505843E-3</v>
      </c>
      <c r="V212" s="364">
        <f t="shared" ref="V212:W212" si="168">ABS(V142 + V177)*(1-V85)*PowerFactor*$H26</f>
        <v>5.0758045163891482E-3</v>
      </c>
      <c r="W212" s="364">
        <f t="shared" si="168"/>
        <v>5.0758045163891482E-3</v>
      </c>
      <c r="X212" s="364">
        <f t="shared" ref="X212:Y212" si="169">ABS(X142 + X177)*(1-X85)*PowerFactor*$H26</f>
        <v>4.9785668819755631E-3</v>
      </c>
      <c r="Y212" s="364">
        <f t="shared" si="169"/>
        <v>4.9785668819755631E-3</v>
      </c>
      <c r="Z212" s="298"/>
      <c r="AA212" s="298"/>
    </row>
    <row r="213" spans="3:27" x14ac:dyDescent="0.25">
      <c r="F213" t="s">
        <v>51</v>
      </c>
      <c r="G213" t="s">
        <v>258</v>
      </c>
      <c r="H213" s="298"/>
      <c r="I213" s="298"/>
      <c r="J213" s="364">
        <f t="shared" ref="J213:K213" si="170">ABS(J143 + J178)*(1-J86)*PowerFactor*$H27</f>
        <v>0</v>
      </c>
      <c r="K213" s="364">
        <f t="shared" si="170"/>
        <v>0</v>
      </c>
      <c r="L213" s="364">
        <f t="shared" ref="L213:M213" si="171">ABS(L143 + L178)*(1-L86)*PowerFactor*$H27</f>
        <v>0</v>
      </c>
      <c r="M213" s="364">
        <f t="shared" si="171"/>
        <v>0</v>
      </c>
      <c r="N213" s="364">
        <f t="shared" ref="N213:P213" si="172">ABS(N143 + N178)*(1-N86)*PowerFactor*$H27</f>
        <v>0</v>
      </c>
      <c r="O213" s="364">
        <f t="shared" si="172"/>
        <v>0</v>
      </c>
      <c r="P213" s="364">
        <f t="shared" si="172"/>
        <v>0</v>
      </c>
      <c r="Q213" s="364">
        <f t="shared" ref="Q213:S213" si="173">ABS(Q143 + Q178)*(1-Q86)*PowerFactor*$H27</f>
        <v>0</v>
      </c>
      <c r="R213" s="364">
        <f t="shared" si="173"/>
        <v>0</v>
      </c>
      <c r="S213" s="364">
        <f t="shared" si="173"/>
        <v>0</v>
      </c>
      <c r="T213" s="364">
        <f t="shared" ref="T213:U213" si="174">ABS(T143 + T178)*(1-T86)*PowerFactor*$H27</f>
        <v>0</v>
      </c>
      <c r="U213" s="364">
        <f t="shared" si="174"/>
        <v>0</v>
      </c>
      <c r="V213" s="364">
        <f t="shared" ref="V213:W213" si="175">ABS(V143 + V178)*(1-V86)*PowerFactor*$H27</f>
        <v>0</v>
      </c>
      <c r="W213" s="364">
        <f t="shared" si="175"/>
        <v>0</v>
      </c>
      <c r="X213" s="364">
        <f t="shared" ref="X213:Y213" si="176">ABS(X143 + X178)*(1-X86)*PowerFactor*$H27</f>
        <v>0</v>
      </c>
      <c r="Y213" s="364">
        <f t="shared" si="176"/>
        <v>0</v>
      </c>
      <c r="Z213" s="298"/>
      <c r="AA213" s="298"/>
    </row>
    <row r="214" spans="3:27" x14ac:dyDescent="0.25">
      <c r="F214" t="s">
        <v>48</v>
      </c>
      <c r="G214" t="s">
        <v>258</v>
      </c>
      <c r="H214" s="298"/>
      <c r="I214" s="298"/>
      <c r="J214" s="364">
        <f t="shared" ref="J214:K214" si="177">ABS(J144 + J179)*(1-J87)*PowerFactor*$H28</f>
        <v>4.1292320608191484E-2</v>
      </c>
      <c r="K214" s="364">
        <f t="shared" si="177"/>
        <v>4.1292320608191484E-2</v>
      </c>
      <c r="L214" s="364">
        <f t="shared" ref="L214:M214" si="178">ABS(L144 + L179)*(1-L87)*PowerFactor*$H28</f>
        <v>3.7881576353111505E-2</v>
      </c>
      <c r="M214" s="364">
        <f t="shared" si="178"/>
        <v>3.7881576353111505E-2</v>
      </c>
      <c r="N214" s="364">
        <f t="shared" ref="N214:P214" si="179">ABS(N144 + N179)*(1-N87)*PowerFactor*$H28</f>
        <v>2.6714775958347519E-2</v>
      </c>
      <c r="O214" s="364">
        <f t="shared" si="179"/>
        <v>0</v>
      </c>
      <c r="P214" s="364">
        <f t="shared" si="179"/>
        <v>0</v>
      </c>
      <c r="Q214" s="364">
        <f t="shared" ref="Q214:S214" si="180">ABS(Q144 + Q179)*(1-Q87)*PowerFactor*$H28</f>
        <v>4.4203344879058984E-2</v>
      </c>
      <c r="R214" s="364">
        <f t="shared" si="180"/>
        <v>2.3112126259333822E-2</v>
      </c>
      <c r="S214" s="364">
        <f t="shared" si="180"/>
        <v>2.1836253226013132E-2</v>
      </c>
      <c r="T214" s="364">
        <f t="shared" ref="T214:U214" si="181">ABS(T144 + T179)*(1-T87)*PowerFactor*$H28</f>
        <v>2.3112126259333822E-2</v>
      </c>
      <c r="U214" s="364">
        <f t="shared" si="181"/>
        <v>2.3112126259333822E-2</v>
      </c>
      <c r="V214" s="364">
        <f t="shared" ref="V214:W214" si="182">ABS(V144 + V179)*(1-V87)*PowerFactor*$H28</f>
        <v>2.1836253226013132E-2</v>
      </c>
      <c r="W214" s="364">
        <f t="shared" si="182"/>
        <v>2.1836253226013132E-2</v>
      </c>
      <c r="X214" s="364">
        <f t="shared" ref="X214:Y214" si="183">ABS(X144 + X179)*(1-X87)*PowerFactor*$H28</f>
        <v>2.1417934198694873E-2</v>
      </c>
      <c r="Y214" s="364">
        <f t="shared" si="183"/>
        <v>2.1417934198694873E-2</v>
      </c>
      <c r="Z214" s="298"/>
      <c r="AA214" s="298"/>
    </row>
    <row r="215" spans="3:27" x14ac:dyDescent="0.25">
      <c r="F215" t="s">
        <v>49</v>
      </c>
      <c r="G215" t="s">
        <v>258</v>
      </c>
      <c r="H215" s="298"/>
      <c r="I215" s="298"/>
      <c r="J215" s="364">
        <f t="shared" ref="J215:K215" si="184">ABS(J145 + J180)*(1-J88)*PowerFactor*$H29</f>
        <v>1.0377929378464016E-2</v>
      </c>
      <c r="K215" s="364">
        <f t="shared" si="184"/>
        <v>1.0377929378464016E-2</v>
      </c>
      <c r="L215" s="364">
        <f t="shared" ref="L215:M215" si="185">ABS(L145 + L180)*(1-L88)*PowerFactor*$H29</f>
        <v>9.5207127704877593E-3</v>
      </c>
      <c r="M215" s="364">
        <f t="shared" si="185"/>
        <v>9.5207127704877593E-3</v>
      </c>
      <c r="N215" s="364">
        <f t="shared" ref="N215:P215" si="186">ABS(N145 + N180)*(1-N88)*PowerFactor*$H29</f>
        <v>0</v>
      </c>
      <c r="O215" s="364">
        <f t="shared" si="186"/>
        <v>0</v>
      </c>
      <c r="P215" s="364">
        <f t="shared" si="186"/>
        <v>0</v>
      </c>
      <c r="Q215" s="364">
        <f t="shared" ref="Q215:S215" si="187">ABS(Q145 + Q180)*(1-Q88)*PowerFactor*$H29</f>
        <v>1.1109552204623719E-2</v>
      </c>
      <c r="R215" s="364">
        <f t="shared" si="187"/>
        <v>5.8087317586584825E-3</v>
      </c>
      <c r="S215" s="364">
        <f t="shared" si="187"/>
        <v>5.4880687384972447E-3</v>
      </c>
      <c r="T215" s="364">
        <f t="shared" ref="T215:U215" si="188">ABS(T145 + T180)*(1-T88)*PowerFactor*$H29</f>
        <v>5.8087317586584825E-3</v>
      </c>
      <c r="U215" s="364">
        <f t="shared" si="188"/>
        <v>5.8087317586584825E-3</v>
      </c>
      <c r="V215" s="364">
        <f t="shared" ref="V215:W215" si="189">ABS(V145 + V180)*(1-V88)*PowerFactor*$H29</f>
        <v>5.4880687384972447E-3</v>
      </c>
      <c r="W215" s="364">
        <f t="shared" si="189"/>
        <v>5.4880687384972447E-3</v>
      </c>
      <c r="X215" s="364">
        <f t="shared" ref="X215:Y215" si="190">ABS(X145 + X180)*(1-X88)*PowerFactor*$H29</f>
        <v>0</v>
      </c>
      <c r="Y215" s="364">
        <f t="shared" si="190"/>
        <v>0</v>
      </c>
      <c r="Z215" s="298"/>
      <c r="AA215" s="298"/>
    </row>
    <row r="216" spans="3:27" x14ac:dyDescent="0.25">
      <c r="F216" t="s">
        <v>50</v>
      </c>
      <c r="G216" t="s">
        <v>258</v>
      </c>
      <c r="H216" s="298"/>
      <c r="I216" s="298"/>
      <c r="J216" s="364">
        <f t="shared" ref="J216:K216" si="191">ABS(J146 + J181)*(1-J89)*PowerFactor*$H30</f>
        <v>0</v>
      </c>
      <c r="K216" s="364">
        <f t="shared" si="191"/>
        <v>0</v>
      </c>
      <c r="L216" s="364">
        <f t="shared" ref="L216:M216" si="192">ABS(L146 + L181)*(1-L89)*PowerFactor*$H30</f>
        <v>0</v>
      </c>
      <c r="M216" s="364">
        <f t="shared" si="192"/>
        <v>0</v>
      </c>
      <c r="N216" s="364">
        <f t="shared" ref="N216:P216" si="193">ABS(N146 + N181)*(1-N89)*PowerFactor*$H30</f>
        <v>0</v>
      </c>
      <c r="O216" s="364">
        <f t="shared" si="193"/>
        <v>0</v>
      </c>
      <c r="P216" s="364">
        <f t="shared" si="193"/>
        <v>0</v>
      </c>
      <c r="Q216" s="364">
        <f t="shared" ref="Q216:S216" si="194">ABS(Q146 + Q181)*(1-Q89)*PowerFactor*$H30</f>
        <v>1.8686618047181532E-2</v>
      </c>
      <c r="R216" s="364">
        <f t="shared" si="194"/>
        <v>9.7704704666141465E-3</v>
      </c>
      <c r="S216" s="364">
        <f t="shared" si="194"/>
        <v>0</v>
      </c>
      <c r="T216" s="364">
        <f t="shared" ref="T216:U216" si="195">ABS(T146 + T181)*(1-T89)*PowerFactor*$H30</f>
        <v>9.7704704666141465E-3</v>
      </c>
      <c r="U216" s="364">
        <f t="shared" si="195"/>
        <v>9.7704704666141465E-3</v>
      </c>
      <c r="V216" s="364">
        <f t="shared" ref="V216:W216" si="196">ABS(V146 + V181)*(1-V89)*PowerFactor*$H30</f>
        <v>0</v>
      </c>
      <c r="W216" s="364">
        <f t="shared" si="196"/>
        <v>0</v>
      </c>
      <c r="X216" s="364">
        <f t="shared" ref="X216:Y216" si="197">ABS(X146 + X181)*(1-X89)*PowerFactor*$H30</f>
        <v>0</v>
      </c>
      <c r="Y216" s="364">
        <f t="shared" si="197"/>
        <v>0</v>
      </c>
      <c r="Z216" s="298"/>
      <c r="AA216" s="298"/>
    </row>
    <row r="217" spans="3:27" x14ac:dyDescent="0.25">
      <c r="F217" t="s">
        <v>124</v>
      </c>
      <c r="G217" t="s">
        <v>258</v>
      </c>
      <c r="H217" s="298"/>
      <c r="I217" s="298"/>
      <c r="J217" s="365"/>
      <c r="K217" s="365"/>
      <c r="L217" s="365"/>
      <c r="M217" s="365"/>
      <c r="N217" s="365"/>
      <c r="O217" s="365"/>
      <c r="P217" s="365"/>
      <c r="Q217" s="365"/>
      <c r="R217" s="365"/>
      <c r="S217" s="365"/>
      <c r="T217" s="365"/>
      <c r="U217" s="365"/>
      <c r="V217" s="365"/>
      <c r="W217" s="365"/>
      <c r="X217" s="365"/>
      <c r="Y217" s="365"/>
      <c r="Z217" s="298"/>
      <c r="AA217" s="298"/>
    </row>
    <row r="218" spans="3:27" x14ac:dyDescent="0.25">
      <c r="F218" s="17" t="s">
        <v>123</v>
      </c>
      <c r="G218" s="17" t="s">
        <v>258</v>
      </c>
      <c r="H218" s="300"/>
      <c r="I218" s="300"/>
      <c r="J218" s="305"/>
      <c r="K218" s="305"/>
      <c r="L218" s="305"/>
      <c r="M218" s="305"/>
      <c r="N218" s="305"/>
      <c r="O218" s="305"/>
      <c r="P218" s="305"/>
      <c r="Q218" s="305"/>
      <c r="R218" s="305"/>
      <c r="S218" s="305"/>
      <c r="T218" s="305"/>
      <c r="U218" s="305"/>
      <c r="V218" s="305"/>
      <c r="W218" s="305"/>
      <c r="X218" s="305"/>
      <c r="Y218" s="305"/>
      <c r="Z218" s="298"/>
      <c r="AA218" s="298"/>
    </row>
    <row r="219" spans="3:27" x14ac:dyDescent="0.25">
      <c r="J219" s="211"/>
      <c r="K219" s="211"/>
      <c r="L219" s="211"/>
      <c r="M219" s="211"/>
      <c r="N219" s="211"/>
      <c r="O219" s="211"/>
      <c r="P219" s="211"/>
      <c r="Q219" s="211"/>
      <c r="R219" s="211"/>
      <c r="S219" s="211"/>
      <c r="T219" s="211"/>
      <c r="U219" s="211"/>
      <c r="V219" s="211"/>
      <c r="W219" s="211"/>
      <c r="X219" s="211"/>
      <c r="Y219" s="211"/>
    </row>
    <row r="220" spans="3:27" x14ac:dyDescent="0.25">
      <c r="C220" s="5" t="str">
        <f ca="1">INDEX('Version control'!$H$36:$H$62,MATCH($A$1,'Version control'!$F$36:$F$62,0),1)&amp;"-E: Reactive power charges for applicable customers"</f>
        <v>Section 516-E: Reactive power charges for applicable customers</v>
      </c>
      <c r="D220" s="5"/>
      <c r="E220" s="5"/>
      <c r="F220" s="5"/>
      <c r="G220" s="5"/>
      <c r="H220" s="5"/>
      <c r="I220" s="5"/>
      <c r="J220" s="205"/>
      <c r="K220" s="205"/>
      <c r="L220" s="205"/>
      <c r="M220" s="205"/>
      <c r="N220" s="205"/>
      <c r="O220" s="205"/>
      <c r="P220" s="205"/>
      <c r="Q220" s="205"/>
      <c r="R220" s="205"/>
      <c r="S220" s="205"/>
      <c r="T220" s="205"/>
      <c r="U220" s="205"/>
      <c r="V220" s="205"/>
      <c r="W220" s="205"/>
      <c r="X220" s="205"/>
      <c r="Y220" s="205"/>
      <c r="Z220" s="5"/>
      <c r="AA220" s="5"/>
    </row>
    <row r="221" spans="3:27" x14ac:dyDescent="0.25">
      <c r="D221" s="52"/>
      <c r="E221" s="52"/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</row>
    <row r="222" spans="3:27" x14ac:dyDescent="0.25">
      <c r="D222"/>
      <c r="E222" s="52" t="s">
        <v>139</v>
      </c>
      <c r="J222" s="211"/>
      <c r="K222" s="211"/>
      <c r="L222" s="211"/>
      <c r="M222" s="211"/>
      <c r="N222" s="211"/>
      <c r="O222" s="211"/>
      <c r="P222" s="211"/>
      <c r="Q222" s="211"/>
      <c r="R222" s="211"/>
      <c r="S222" s="211"/>
      <c r="T222" s="211"/>
      <c r="U222" s="211"/>
      <c r="V222" s="211"/>
      <c r="W222" s="211"/>
      <c r="X222" s="211"/>
      <c r="Y222" s="211"/>
    </row>
    <row r="223" spans="3:27" x14ac:dyDescent="0.25">
      <c r="D223"/>
      <c r="F223" s="80" t="s">
        <v>267</v>
      </c>
      <c r="G223" s="80" t="s">
        <v>258</v>
      </c>
      <c r="H223" s="296"/>
      <c r="I223" s="296"/>
      <c r="J223" s="308"/>
      <c r="K223" s="308"/>
      <c r="L223" s="308"/>
      <c r="M223" s="308"/>
      <c r="N223" s="308"/>
      <c r="O223" s="308"/>
      <c r="P223" s="308"/>
      <c r="Q223" s="308"/>
      <c r="R223" s="308"/>
      <c r="S223" s="308"/>
      <c r="T223" s="308"/>
      <c r="U223" s="308"/>
      <c r="V223" s="308"/>
      <c r="W223" s="308"/>
      <c r="X223" s="308"/>
      <c r="Y223" s="308"/>
      <c r="Z223" s="298"/>
      <c r="AA223" s="298"/>
    </row>
    <row r="224" spans="3:27" x14ac:dyDescent="0.25">
      <c r="D224"/>
      <c r="F224" t="s">
        <v>43</v>
      </c>
      <c r="G224" t="s">
        <v>258</v>
      </c>
      <c r="H224" s="298"/>
      <c r="I224" s="298"/>
      <c r="J224" s="365"/>
      <c r="K224" s="365"/>
      <c r="L224" s="365"/>
      <c r="M224" s="365"/>
      <c r="N224" s="365"/>
      <c r="O224" s="365"/>
      <c r="P224" s="365"/>
      <c r="Q224" s="365"/>
      <c r="R224" s="365"/>
      <c r="S224" s="365"/>
      <c r="T224" s="365"/>
      <c r="U224" s="365"/>
      <c r="V224" s="365"/>
      <c r="W224" s="365"/>
      <c r="X224" s="365"/>
      <c r="Y224" s="365"/>
      <c r="Z224" s="298"/>
      <c r="AA224" s="298"/>
    </row>
    <row r="225" spans="5:27" customFormat="1" x14ac:dyDescent="0.25">
      <c r="E225" s="84"/>
      <c r="F225" t="s">
        <v>44</v>
      </c>
      <c r="G225" t="s">
        <v>258</v>
      </c>
      <c r="H225" s="298"/>
      <c r="I225" s="298"/>
      <c r="J225" s="364">
        <f t="shared" ref="J225:Y232" si="198">J$78 * J195</f>
        <v>0</v>
      </c>
      <c r="K225" s="364">
        <f t="shared" si="198"/>
        <v>0</v>
      </c>
      <c r="L225" s="364">
        <f t="shared" si="198"/>
        <v>0</v>
      </c>
      <c r="M225" s="364">
        <f t="shared" si="198"/>
        <v>0</v>
      </c>
      <c r="N225" s="364">
        <f t="shared" si="198"/>
        <v>0</v>
      </c>
      <c r="O225" s="364">
        <f t="shared" si="198"/>
        <v>0</v>
      </c>
      <c r="P225" s="364">
        <f t="shared" si="198"/>
        <v>0</v>
      </c>
      <c r="Q225" s="364">
        <f t="shared" si="198"/>
        <v>0</v>
      </c>
      <c r="R225" s="364">
        <f t="shared" si="198"/>
        <v>0</v>
      </c>
      <c r="S225" s="364">
        <f t="shared" si="198"/>
        <v>0</v>
      </c>
      <c r="T225" s="364">
        <f t="shared" si="198"/>
        <v>0</v>
      </c>
      <c r="U225" s="364">
        <f t="shared" si="198"/>
        <v>0</v>
      </c>
      <c r="V225" s="364">
        <f t="shared" si="198"/>
        <v>0</v>
      </c>
      <c r="W225" s="364">
        <f t="shared" si="198"/>
        <v>0</v>
      </c>
      <c r="X225" s="364">
        <f t="shared" si="198"/>
        <v>0</v>
      </c>
      <c r="Y225" s="364">
        <f t="shared" si="198"/>
        <v>0</v>
      </c>
      <c r="Z225" s="298"/>
      <c r="AA225" s="298"/>
    </row>
    <row r="226" spans="5:27" customFormat="1" x14ac:dyDescent="0.25">
      <c r="E226" s="84"/>
      <c r="F226" t="s">
        <v>45</v>
      </c>
      <c r="G226" t="s">
        <v>258</v>
      </c>
      <c r="H226" s="298"/>
      <c r="I226" s="298"/>
      <c r="J226" s="364">
        <f t="shared" si="198"/>
        <v>0</v>
      </c>
      <c r="K226" s="364">
        <f t="shared" si="198"/>
        <v>0</v>
      </c>
      <c r="L226" s="364">
        <f t="shared" si="198"/>
        <v>0</v>
      </c>
      <c r="M226" s="364">
        <f t="shared" si="198"/>
        <v>0</v>
      </c>
      <c r="N226" s="364">
        <f t="shared" si="198"/>
        <v>0</v>
      </c>
      <c r="O226" s="364">
        <f t="shared" si="198"/>
        <v>0</v>
      </c>
      <c r="P226" s="364">
        <f t="shared" si="198"/>
        <v>0</v>
      </c>
      <c r="Q226" s="364">
        <f t="shared" si="198"/>
        <v>0</v>
      </c>
      <c r="R226" s="364">
        <f t="shared" si="198"/>
        <v>0</v>
      </c>
      <c r="S226" s="364">
        <f t="shared" si="198"/>
        <v>0</v>
      </c>
      <c r="T226" s="364">
        <f t="shared" si="198"/>
        <v>0</v>
      </c>
      <c r="U226" s="364">
        <f t="shared" si="198"/>
        <v>0</v>
      </c>
      <c r="V226" s="364">
        <f t="shared" si="198"/>
        <v>0</v>
      </c>
      <c r="W226" s="364">
        <f t="shared" si="198"/>
        <v>0</v>
      </c>
      <c r="X226" s="364">
        <f t="shared" si="198"/>
        <v>0</v>
      </c>
      <c r="Y226" s="364">
        <f t="shared" si="198"/>
        <v>0</v>
      </c>
      <c r="Z226" s="298"/>
      <c r="AA226" s="298"/>
    </row>
    <row r="227" spans="5:27" customFormat="1" x14ac:dyDescent="0.25">
      <c r="E227" s="84"/>
      <c r="F227" t="s">
        <v>46</v>
      </c>
      <c r="G227" t="s">
        <v>258</v>
      </c>
      <c r="H227" s="298"/>
      <c r="I227" s="298"/>
      <c r="J227" s="364">
        <f t="shared" si="198"/>
        <v>0</v>
      </c>
      <c r="K227" s="364">
        <f t="shared" si="198"/>
        <v>0</v>
      </c>
      <c r="L227" s="364">
        <f t="shared" si="198"/>
        <v>0</v>
      </c>
      <c r="M227" s="364">
        <f t="shared" si="198"/>
        <v>0</v>
      </c>
      <c r="N227" s="364">
        <f t="shared" si="198"/>
        <v>3.5395111276270763E-2</v>
      </c>
      <c r="O227" s="364">
        <f t="shared" si="198"/>
        <v>2.8288507217338849E-2</v>
      </c>
      <c r="P227" s="364">
        <f t="shared" si="198"/>
        <v>2.081780096508758E-2</v>
      </c>
      <c r="Q227" s="364">
        <f t="shared" si="198"/>
        <v>0</v>
      </c>
      <c r="R227" s="364">
        <f t="shared" si="198"/>
        <v>0</v>
      </c>
      <c r="S227" s="364">
        <f t="shared" si="198"/>
        <v>0</v>
      </c>
      <c r="T227" s="364">
        <f t="shared" si="198"/>
        <v>2.4497492535391407E-2</v>
      </c>
      <c r="U227" s="364">
        <f t="shared" si="198"/>
        <v>0</v>
      </c>
      <c r="V227" s="364">
        <f t="shared" si="198"/>
        <v>2.3145142268731794E-2</v>
      </c>
      <c r="W227" s="364">
        <f t="shared" si="198"/>
        <v>0</v>
      </c>
      <c r="X227" s="364">
        <f t="shared" si="198"/>
        <v>2.199571349082579E-2</v>
      </c>
      <c r="Y227" s="364">
        <f t="shared" si="198"/>
        <v>0</v>
      </c>
      <c r="Z227" s="298"/>
      <c r="AA227" s="298"/>
    </row>
    <row r="228" spans="5:27" customFormat="1" x14ac:dyDescent="0.25">
      <c r="E228" s="84"/>
      <c r="F228" t="s">
        <v>47</v>
      </c>
      <c r="G228" t="s">
        <v>258</v>
      </c>
      <c r="H228" s="298"/>
      <c r="I228" s="298"/>
      <c r="J228" s="364">
        <f t="shared" si="198"/>
        <v>0</v>
      </c>
      <c r="K228" s="364">
        <f t="shared" si="198"/>
        <v>0</v>
      </c>
      <c r="L228" s="364">
        <f t="shared" si="198"/>
        <v>0</v>
      </c>
      <c r="M228" s="364">
        <f t="shared" si="198"/>
        <v>0</v>
      </c>
      <c r="N228" s="364">
        <f t="shared" si="198"/>
        <v>1.0347670149135358E-2</v>
      </c>
      <c r="O228" s="364">
        <f t="shared" si="198"/>
        <v>8.2700726496288714E-3</v>
      </c>
      <c r="P228" s="364">
        <f t="shared" si="198"/>
        <v>0</v>
      </c>
      <c r="Q228" s="364">
        <f t="shared" si="198"/>
        <v>0</v>
      </c>
      <c r="R228" s="364">
        <f t="shared" si="198"/>
        <v>0</v>
      </c>
      <c r="S228" s="364">
        <f t="shared" si="198"/>
        <v>0</v>
      </c>
      <c r="T228" s="364">
        <f t="shared" si="198"/>
        <v>7.1617792146080762E-3</v>
      </c>
      <c r="U228" s="364">
        <f t="shared" si="198"/>
        <v>0</v>
      </c>
      <c r="V228" s="364">
        <f t="shared" si="198"/>
        <v>6.7664230769690784E-3</v>
      </c>
      <c r="W228" s="364">
        <f t="shared" si="198"/>
        <v>0</v>
      </c>
      <c r="X228" s="364">
        <f t="shared" si="198"/>
        <v>5.693559151889278E-3</v>
      </c>
      <c r="Y228" s="364">
        <f t="shared" si="198"/>
        <v>0</v>
      </c>
      <c r="Z228" s="298"/>
      <c r="AA228" s="298"/>
    </row>
    <row r="229" spans="5:27" customFormat="1" x14ac:dyDescent="0.25">
      <c r="E229" s="84"/>
      <c r="F229" t="s">
        <v>51</v>
      </c>
      <c r="G229" t="s">
        <v>258</v>
      </c>
      <c r="H229" s="298"/>
      <c r="I229" s="298"/>
      <c r="J229" s="364">
        <f t="shared" si="198"/>
        <v>0</v>
      </c>
      <c r="K229" s="364">
        <f t="shared" si="198"/>
        <v>0</v>
      </c>
      <c r="L229" s="364">
        <f t="shared" si="198"/>
        <v>0</v>
      </c>
      <c r="M229" s="364">
        <f t="shared" si="198"/>
        <v>0</v>
      </c>
      <c r="N229" s="364">
        <f t="shared" si="198"/>
        <v>0</v>
      </c>
      <c r="O229" s="364">
        <f t="shared" si="198"/>
        <v>0</v>
      </c>
      <c r="P229" s="364">
        <f t="shared" si="198"/>
        <v>0</v>
      </c>
      <c r="Q229" s="364">
        <f t="shared" si="198"/>
        <v>0</v>
      </c>
      <c r="R229" s="364">
        <f t="shared" si="198"/>
        <v>0</v>
      </c>
      <c r="S229" s="364">
        <f t="shared" si="198"/>
        <v>0</v>
      </c>
      <c r="T229" s="364">
        <f t="shared" si="198"/>
        <v>0</v>
      </c>
      <c r="U229" s="364">
        <f t="shared" si="198"/>
        <v>0</v>
      </c>
      <c r="V229" s="364">
        <f t="shared" si="198"/>
        <v>0</v>
      </c>
      <c r="W229" s="364">
        <f t="shared" si="198"/>
        <v>0</v>
      </c>
      <c r="X229" s="364">
        <f t="shared" si="198"/>
        <v>0</v>
      </c>
      <c r="Y229" s="364">
        <f t="shared" si="198"/>
        <v>0</v>
      </c>
      <c r="Z229" s="298"/>
      <c r="AA229" s="298"/>
    </row>
    <row r="230" spans="5:27" customFormat="1" x14ac:dyDescent="0.25">
      <c r="E230" s="84"/>
      <c r="F230" t="s">
        <v>48</v>
      </c>
      <c r="G230" t="s">
        <v>258</v>
      </c>
      <c r="H230" s="298"/>
      <c r="I230" s="298"/>
      <c r="J230" s="364">
        <f t="shared" si="198"/>
        <v>0</v>
      </c>
      <c r="K230" s="364">
        <f t="shared" si="198"/>
        <v>0</v>
      </c>
      <c r="L230" s="364">
        <f t="shared" si="198"/>
        <v>0</v>
      </c>
      <c r="M230" s="364">
        <f t="shared" si="198"/>
        <v>0</v>
      </c>
      <c r="N230" s="364">
        <f t="shared" si="198"/>
        <v>2.8467000035287564E-2</v>
      </c>
      <c r="O230" s="364">
        <f t="shared" si="198"/>
        <v>0</v>
      </c>
      <c r="P230" s="364">
        <f t="shared" si="198"/>
        <v>0</v>
      </c>
      <c r="Q230" s="364">
        <f t="shared" si="198"/>
        <v>0</v>
      </c>
      <c r="R230" s="364">
        <f t="shared" si="198"/>
        <v>0</v>
      </c>
      <c r="S230" s="364">
        <f t="shared" si="198"/>
        <v>0</v>
      </c>
      <c r="T230" s="364">
        <f t="shared" si="198"/>
        <v>2.4628052283344842E-2</v>
      </c>
      <c r="U230" s="364">
        <f t="shared" si="198"/>
        <v>0</v>
      </c>
      <c r="V230" s="364">
        <f t="shared" si="198"/>
        <v>2.3268494645983729E-2</v>
      </c>
      <c r="W230" s="364">
        <f t="shared" si="198"/>
        <v>0</v>
      </c>
      <c r="X230" s="364">
        <f t="shared" si="198"/>
        <v>1.5661546332177173E-2</v>
      </c>
      <c r="Y230" s="364">
        <f t="shared" si="198"/>
        <v>0</v>
      </c>
      <c r="Z230" s="298"/>
      <c r="AA230" s="298"/>
    </row>
    <row r="231" spans="5:27" customFormat="1" x14ac:dyDescent="0.25">
      <c r="E231" s="84"/>
      <c r="F231" t="s">
        <v>49</v>
      </c>
      <c r="G231" t="s">
        <v>258</v>
      </c>
      <c r="H231" s="298"/>
      <c r="I231" s="298"/>
      <c r="J231" s="364">
        <f t="shared" si="198"/>
        <v>0</v>
      </c>
      <c r="K231" s="364">
        <f t="shared" si="198"/>
        <v>0</v>
      </c>
      <c r="L231" s="364">
        <f t="shared" si="198"/>
        <v>0</v>
      </c>
      <c r="M231" s="364">
        <f t="shared" si="198"/>
        <v>0</v>
      </c>
      <c r="N231" s="364">
        <f t="shared" si="198"/>
        <v>0</v>
      </c>
      <c r="O231" s="364">
        <f t="shared" si="198"/>
        <v>0</v>
      </c>
      <c r="P231" s="364">
        <f t="shared" si="198"/>
        <v>0</v>
      </c>
      <c r="Q231" s="364">
        <f t="shared" si="198"/>
        <v>0</v>
      </c>
      <c r="R231" s="364">
        <f t="shared" si="198"/>
        <v>0</v>
      </c>
      <c r="S231" s="364">
        <f t="shared" si="198"/>
        <v>0</v>
      </c>
      <c r="T231" s="364">
        <f t="shared" si="198"/>
        <v>5.655171502039761E-3</v>
      </c>
      <c r="U231" s="364">
        <f t="shared" si="198"/>
        <v>0</v>
      </c>
      <c r="V231" s="364">
        <f t="shared" si="198"/>
        <v>5.3429855639181099E-3</v>
      </c>
      <c r="W231" s="364">
        <f t="shared" si="198"/>
        <v>0</v>
      </c>
      <c r="X231" s="364">
        <f t="shared" si="198"/>
        <v>0</v>
      </c>
      <c r="Y231" s="364">
        <f t="shared" si="198"/>
        <v>0</v>
      </c>
      <c r="Z231" s="298"/>
      <c r="AA231" s="298"/>
    </row>
    <row r="232" spans="5:27" customFormat="1" x14ac:dyDescent="0.25">
      <c r="E232" s="84"/>
      <c r="F232" t="s">
        <v>50</v>
      </c>
      <c r="G232" t="s">
        <v>258</v>
      </c>
      <c r="H232" s="298"/>
      <c r="I232" s="298"/>
      <c r="J232" s="364">
        <f t="shared" si="198"/>
        <v>0</v>
      </c>
      <c r="K232" s="364">
        <f t="shared" si="198"/>
        <v>0</v>
      </c>
      <c r="L232" s="364">
        <f t="shared" si="198"/>
        <v>0</v>
      </c>
      <c r="M232" s="364">
        <f t="shared" si="198"/>
        <v>0</v>
      </c>
      <c r="N232" s="364">
        <f t="shared" si="198"/>
        <v>0</v>
      </c>
      <c r="O232" s="364">
        <f t="shared" si="198"/>
        <v>0</v>
      </c>
      <c r="P232" s="364">
        <f t="shared" si="198"/>
        <v>0</v>
      </c>
      <c r="Q232" s="364">
        <f t="shared" si="198"/>
        <v>0</v>
      </c>
      <c r="R232" s="364">
        <f t="shared" si="198"/>
        <v>0</v>
      </c>
      <c r="S232" s="364">
        <f t="shared" si="198"/>
        <v>0</v>
      </c>
      <c r="T232" s="364">
        <f t="shared" si="198"/>
        <v>9.9355815597679253E-4</v>
      </c>
      <c r="U232" s="364">
        <f t="shared" si="198"/>
        <v>0</v>
      </c>
      <c r="V232" s="364">
        <f t="shared" si="198"/>
        <v>0</v>
      </c>
      <c r="W232" s="364">
        <f t="shared" si="198"/>
        <v>0</v>
      </c>
      <c r="X232" s="364">
        <f t="shared" si="198"/>
        <v>0</v>
      </c>
      <c r="Y232" s="364">
        <f t="shared" si="198"/>
        <v>0</v>
      </c>
      <c r="Z232" s="298"/>
      <c r="AA232" s="298"/>
    </row>
    <row r="233" spans="5:27" customFormat="1" x14ac:dyDescent="0.25">
      <c r="E233" s="84"/>
      <c r="F233" t="s">
        <v>124</v>
      </c>
      <c r="G233" t="s">
        <v>258</v>
      </c>
      <c r="H233" s="298"/>
      <c r="I233" s="298"/>
      <c r="J233" s="365"/>
      <c r="K233" s="365"/>
      <c r="L233" s="365"/>
      <c r="M233" s="365"/>
      <c r="N233" s="365"/>
      <c r="O233" s="365"/>
      <c r="P233" s="365"/>
      <c r="Q233" s="365"/>
      <c r="R233" s="365"/>
      <c r="S233" s="365"/>
      <c r="T233" s="365"/>
      <c r="U233" s="365"/>
      <c r="V233" s="365"/>
      <c r="W233" s="365"/>
      <c r="X233" s="365"/>
      <c r="Y233" s="365"/>
      <c r="Z233" s="298"/>
      <c r="AA233" s="298"/>
    </row>
    <row r="234" spans="5:27" customFormat="1" x14ac:dyDescent="0.25">
      <c r="E234" s="84"/>
      <c r="F234" s="17" t="s">
        <v>123</v>
      </c>
      <c r="G234" s="17" t="s">
        <v>258</v>
      </c>
      <c r="H234" s="300"/>
      <c r="I234" s="300"/>
      <c r="J234" s="305"/>
      <c r="K234" s="305"/>
      <c r="L234" s="305"/>
      <c r="M234" s="305"/>
      <c r="N234" s="305"/>
      <c r="O234" s="305"/>
      <c r="P234" s="305"/>
      <c r="Q234" s="305"/>
      <c r="R234" s="305"/>
      <c r="S234" s="305"/>
      <c r="T234" s="305"/>
      <c r="U234" s="305"/>
      <c r="V234" s="305"/>
      <c r="W234" s="305"/>
      <c r="X234" s="305"/>
      <c r="Y234" s="305"/>
      <c r="Z234" s="298"/>
      <c r="AA234" s="298"/>
    </row>
    <row r="235" spans="5:27" customFormat="1" x14ac:dyDescent="0.25">
      <c r="E235" s="84"/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</row>
    <row r="236" spans="5:27" customFormat="1" x14ac:dyDescent="0.25">
      <c r="E236" s="52" t="s">
        <v>116</v>
      </c>
      <c r="J236" s="211"/>
      <c r="K236" s="211"/>
      <c r="L236" s="211"/>
      <c r="M236" s="211"/>
      <c r="N236" s="211"/>
      <c r="O236" s="211"/>
      <c r="P236" s="211"/>
      <c r="Q236" s="211"/>
      <c r="R236" s="211"/>
      <c r="S236" s="211"/>
      <c r="T236" s="211"/>
      <c r="U236" s="211"/>
      <c r="V236" s="211"/>
      <c r="W236" s="211"/>
      <c r="X236" s="211"/>
      <c r="Y236" s="211"/>
    </row>
    <row r="237" spans="5:27" customFormat="1" x14ac:dyDescent="0.25">
      <c r="E237" s="84"/>
      <c r="F237" s="80" t="s">
        <v>267</v>
      </c>
      <c r="G237" s="80" t="s">
        <v>258</v>
      </c>
      <c r="H237" s="296"/>
      <c r="I237" s="296"/>
      <c r="J237" s="309">
        <f t="shared" ref="J237:Y246" si="199">J$78 * J207</f>
        <v>0</v>
      </c>
      <c r="K237" s="309">
        <f t="shared" si="199"/>
        <v>0</v>
      </c>
      <c r="L237" s="309">
        <f t="shared" si="199"/>
        <v>0</v>
      </c>
      <c r="M237" s="309">
        <f t="shared" si="199"/>
        <v>0</v>
      </c>
      <c r="N237" s="309">
        <f t="shared" si="199"/>
        <v>1.3975031045444872E-2</v>
      </c>
      <c r="O237" s="309">
        <f t="shared" si="199"/>
        <v>1.1169134728971363E-2</v>
      </c>
      <c r="P237" s="309">
        <f t="shared" si="199"/>
        <v>1.0604144152979925E-2</v>
      </c>
      <c r="Q237" s="309">
        <f t="shared" si="199"/>
        <v>0</v>
      </c>
      <c r="R237" s="309">
        <f t="shared" si="199"/>
        <v>0</v>
      </c>
      <c r="S237" s="309">
        <f t="shared" si="199"/>
        <v>0</v>
      </c>
      <c r="T237" s="309">
        <f t="shared" si="199"/>
        <v>9.6723306234430713E-3</v>
      </c>
      <c r="U237" s="309">
        <f t="shared" si="199"/>
        <v>0</v>
      </c>
      <c r="V237" s="309">
        <f t="shared" si="199"/>
        <v>9.1383829600674826E-3</v>
      </c>
      <c r="W237" s="309">
        <f t="shared" si="199"/>
        <v>0</v>
      </c>
      <c r="X237" s="309">
        <f t="shared" si="199"/>
        <v>8.9633181524033535E-3</v>
      </c>
      <c r="Y237" s="309">
        <f t="shared" si="199"/>
        <v>0</v>
      </c>
      <c r="Z237" s="298"/>
      <c r="AA237" s="298"/>
    </row>
    <row r="238" spans="5:27" customFormat="1" x14ac:dyDescent="0.25">
      <c r="E238" s="84"/>
      <c r="F238" t="s">
        <v>43</v>
      </c>
      <c r="G238" t="s">
        <v>258</v>
      </c>
      <c r="H238" s="298"/>
      <c r="I238" s="298"/>
      <c r="J238" s="364">
        <f t="shared" si="199"/>
        <v>0</v>
      </c>
      <c r="K238" s="364">
        <f t="shared" si="199"/>
        <v>0</v>
      </c>
      <c r="L238" s="364">
        <f t="shared" si="199"/>
        <v>0</v>
      </c>
      <c r="M238" s="364">
        <f t="shared" si="199"/>
        <v>0</v>
      </c>
      <c r="N238" s="364">
        <f t="shared" si="199"/>
        <v>0</v>
      </c>
      <c r="O238" s="364">
        <f t="shared" si="199"/>
        <v>0</v>
      </c>
      <c r="P238" s="364">
        <f t="shared" si="199"/>
        <v>0</v>
      </c>
      <c r="Q238" s="364">
        <f t="shared" si="199"/>
        <v>0</v>
      </c>
      <c r="R238" s="364">
        <f t="shared" si="199"/>
        <v>0</v>
      </c>
      <c r="S238" s="364">
        <f t="shared" si="199"/>
        <v>0</v>
      </c>
      <c r="T238" s="364">
        <f t="shared" si="199"/>
        <v>0</v>
      </c>
      <c r="U238" s="364">
        <f t="shared" si="199"/>
        <v>0</v>
      </c>
      <c r="V238" s="364">
        <f t="shared" si="199"/>
        <v>0</v>
      </c>
      <c r="W238" s="364">
        <f t="shared" si="199"/>
        <v>0</v>
      </c>
      <c r="X238" s="364">
        <f t="shared" si="199"/>
        <v>0</v>
      </c>
      <c r="Y238" s="364">
        <f t="shared" si="199"/>
        <v>0</v>
      </c>
      <c r="Z238" s="298"/>
      <c r="AA238" s="298"/>
    </row>
    <row r="239" spans="5:27" customFormat="1" x14ac:dyDescent="0.25">
      <c r="E239" s="84"/>
      <c r="F239" t="s">
        <v>44</v>
      </c>
      <c r="G239" t="s">
        <v>258</v>
      </c>
      <c r="H239" s="298"/>
      <c r="I239" s="298"/>
      <c r="J239" s="364">
        <f t="shared" si="199"/>
        <v>0</v>
      </c>
      <c r="K239" s="364">
        <f t="shared" si="199"/>
        <v>0</v>
      </c>
      <c r="L239" s="364">
        <f t="shared" si="199"/>
        <v>0</v>
      </c>
      <c r="M239" s="364">
        <f t="shared" si="199"/>
        <v>0</v>
      </c>
      <c r="N239" s="364">
        <f t="shared" si="199"/>
        <v>0</v>
      </c>
      <c r="O239" s="364">
        <f t="shared" si="199"/>
        <v>0</v>
      </c>
      <c r="P239" s="364">
        <f t="shared" si="199"/>
        <v>0</v>
      </c>
      <c r="Q239" s="364">
        <f t="shared" si="199"/>
        <v>0</v>
      </c>
      <c r="R239" s="364">
        <f t="shared" si="199"/>
        <v>0</v>
      </c>
      <c r="S239" s="364">
        <f t="shared" si="199"/>
        <v>0</v>
      </c>
      <c r="T239" s="364">
        <f t="shared" si="199"/>
        <v>0</v>
      </c>
      <c r="U239" s="364">
        <f t="shared" si="199"/>
        <v>0</v>
      </c>
      <c r="V239" s="364">
        <f t="shared" si="199"/>
        <v>0</v>
      </c>
      <c r="W239" s="364">
        <f t="shared" si="199"/>
        <v>0</v>
      </c>
      <c r="X239" s="364">
        <f t="shared" si="199"/>
        <v>0</v>
      </c>
      <c r="Y239" s="364">
        <f t="shared" si="199"/>
        <v>0</v>
      </c>
      <c r="Z239" s="298"/>
      <c r="AA239" s="298"/>
    </row>
    <row r="240" spans="5:27" customFormat="1" x14ac:dyDescent="0.25">
      <c r="E240" s="84"/>
      <c r="F240" t="s">
        <v>45</v>
      </c>
      <c r="G240" t="s">
        <v>258</v>
      </c>
      <c r="H240" s="298"/>
      <c r="I240" s="298"/>
      <c r="J240" s="364">
        <f t="shared" si="199"/>
        <v>0</v>
      </c>
      <c r="K240" s="364">
        <f t="shared" si="199"/>
        <v>0</v>
      </c>
      <c r="L240" s="364">
        <f t="shared" si="199"/>
        <v>0</v>
      </c>
      <c r="M240" s="364">
        <f t="shared" si="199"/>
        <v>0</v>
      </c>
      <c r="N240" s="364">
        <f t="shared" si="199"/>
        <v>0</v>
      </c>
      <c r="O240" s="364">
        <f t="shared" si="199"/>
        <v>0</v>
      </c>
      <c r="P240" s="364">
        <f t="shared" si="199"/>
        <v>0</v>
      </c>
      <c r="Q240" s="364">
        <f t="shared" si="199"/>
        <v>0</v>
      </c>
      <c r="R240" s="364">
        <f t="shared" si="199"/>
        <v>0</v>
      </c>
      <c r="S240" s="364">
        <f t="shared" si="199"/>
        <v>0</v>
      </c>
      <c r="T240" s="364">
        <f t="shared" si="199"/>
        <v>0</v>
      </c>
      <c r="U240" s="364">
        <f t="shared" si="199"/>
        <v>0</v>
      </c>
      <c r="V240" s="364">
        <f t="shared" si="199"/>
        <v>0</v>
      </c>
      <c r="W240" s="364">
        <f t="shared" si="199"/>
        <v>0</v>
      </c>
      <c r="X240" s="364">
        <f t="shared" si="199"/>
        <v>0</v>
      </c>
      <c r="Y240" s="364">
        <f t="shared" si="199"/>
        <v>0</v>
      </c>
      <c r="Z240" s="298"/>
      <c r="AA240" s="298"/>
    </row>
    <row r="241" spans="2:27" x14ac:dyDescent="0.25">
      <c r="D241"/>
      <c r="F241" t="s">
        <v>46</v>
      </c>
      <c r="G241" t="s">
        <v>258</v>
      </c>
      <c r="H241" s="298"/>
      <c r="I241" s="298"/>
      <c r="J241" s="364">
        <f t="shared" si="199"/>
        <v>0</v>
      </c>
      <c r="K241" s="364">
        <f t="shared" si="199"/>
        <v>0</v>
      </c>
      <c r="L241" s="364">
        <f t="shared" si="199"/>
        <v>0</v>
      </c>
      <c r="M241" s="364">
        <f t="shared" si="199"/>
        <v>0</v>
      </c>
      <c r="N241" s="364">
        <f t="shared" si="199"/>
        <v>2.6551497538736091E-2</v>
      </c>
      <c r="O241" s="364">
        <f t="shared" si="199"/>
        <v>2.12205076540962E-2</v>
      </c>
      <c r="P241" s="364">
        <f t="shared" si="199"/>
        <v>1.6117654778020497E-2</v>
      </c>
      <c r="Q241" s="364">
        <f t="shared" si="199"/>
        <v>0</v>
      </c>
      <c r="R241" s="364">
        <f t="shared" si="199"/>
        <v>0</v>
      </c>
      <c r="S241" s="364">
        <f t="shared" si="199"/>
        <v>0</v>
      </c>
      <c r="T241" s="364">
        <f t="shared" si="199"/>
        <v>1.8376693540577048E-2</v>
      </c>
      <c r="U241" s="364">
        <f t="shared" si="199"/>
        <v>0</v>
      </c>
      <c r="V241" s="364">
        <f t="shared" si="199"/>
        <v>1.7362233535169629E-2</v>
      </c>
      <c r="W241" s="364">
        <f t="shared" si="199"/>
        <v>0</v>
      </c>
      <c r="X241" s="364">
        <f t="shared" si="199"/>
        <v>1.7029623697331128E-2</v>
      </c>
      <c r="Y241" s="364">
        <f t="shared" si="199"/>
        <v>0</v>
      </c>
      <c r="Z241" s="298"/>
      <c r="AA241" s="298"/>
    </row>
    <row r="242" spans="2:27" x14ac:dyDescent="0.25">
      <c r="D242"/>
      <c r="F242" t="s">
        <v>47</v>
      </c>
      <c r="G242" t="s">
        <v>258</v>
      </c>
      <c r="H242" s="298"/>
      <c r="I242" s="298"/>
      <c r="J242" s="364">
        <f t="shared" si="199"/>
        <v>0</v>
      </c>
      <c r="K242" s="364">
        <f t="shared" si="199"/>
        <v>0</v>
      </c>
      <c r="L242" s="364">
        <f t="shared" si="199"/>
        <v>0</v>
      </c>
      <c r="M242" s="364">
        <f t="shared" si="199"/>
        <v>0</v>
      </c>
      <c r="N242" s="364">
        <f t="shared" si="199"/>
        <v>7.7622623178645869E-3</v>
      </c>
      <c r="O242" s="364">
        <f t="shared" si="199"/>
        <v>6.203761075586736E-3</v>
      </c>
      <c r="P242" s="364">
        <f t="shared" si="199"/>
        <v>0</v>
      </c>
      <c r="Q242" s="364">
        <f t="shared" si="199"/>
        <v>0</v>
      </c>
      <c r="R242" s="364">
        <f t="shared" si="199"/>
        <v>0</v>
      </c>
      <c r="S242" s="364">
        <f t="shared" si="199"/>
        <v>0</v>
      </c>
      <c r="T242" s="364">
        <f t="shared" si="199"/>
        <v>5.3723793013505843E-3</v>
      </c>
      <c r="U242" s="364">
        <f t="shared" si="199"/>
        <v>0</v>
      </c>
      <c r="V242" s="364">
        <f t="shared" si="199"/>
        <v>5.0758045163891482E-3</v>
      </c>
      <c r="W242" s="364">
        <f t="shared" si="199"/>
        <v>0</v>
      </c>
      <c r="X242" s="364">
        <f t="shared" si="199"/>
        <v>4.9785668819755631E-3</v>
      </c>
      <c r="Y242" s="364">
        <f t="shared" si="199"/>
        <v>0</v>
      </c>
      <c r="Z242" s="298"/>
      <c r="AA242" s="298"/>
    </row>
    <row r="243" spans="2:27" x14ac:dyDescent="0.25">
      <c r="D243"/>
      <c r="F243" t="s">
        <v>51</v>
      </c>
      <c r="G243" t="s">
        <v>258</v>
      </c>
      <c r="H243" s="298"/>
      <c r="I243" s="298"/>
      <c r="J243" s="364">
        <f t="shared" si="199"/>
        <v>0</v>
      </c>
      <c r="K243" s="364">
        <f t="shared" si="199"/>
        <v>0</v>
      </c>
      <c r="L243" s="364">
        <f t="shared" si="199"/>
        <v>0</v>
      </c>
      <c r="M243" s="364">
        <f t="shared" si="199"/>
        <v>0</v>
      </c>
      <c r="N243" s="364">
        <f t="shared" si="199"/>
        <v>0</v>
      </c>
      <c r="O243" s="364">
        <f t="shared" si="199"/>
        <v>0</v>
      </c>
      <c r="P243" s="364">
        <f t="shared" si="199"/>
        <v>0</v>
      </c>
      <c r="Q243" s="364">
        <f t="shared" si="199"/>
        <v>0</v>
      </c>
      <c r="R243" s="364">
        <f t="shared" si="199"/>
        <v>0</v>
      </c>
      <c r="S243" s="364">
        <f t="shared" si="199"/>
        <v>0</v>
      </c>
      <c r="T243" s="364">
        <f t="shared" si="199"/>
        <v>0</v>
      </c>
      <c r="U243" s="364">
        <f t="shared" si="199"/>
        <v>0</v>
      </c>
      <c r="V243" s="364">
        <f t="shared" si="199"/>
        <v>0</v>
      </c>
      <c r="W243" s="364">
        <f t="shared" si="199"/>
        <v>0</v>
      </c>
      <c r="X243" s="364">
        <f t="shared" si="199"/>
        <v>0</v>
      </c>
      <c r="Y243" s="364">
        <f t="shared" si="199"/>
        <v>0</v>
      </c>
      <c r="Z243" s="298"/>
      <c r="AA243" s="298"/>
    </row>
    <row r="244" spans="2:27" x14ac:dyDescent="0.25">
      <c r="D244"/>
      <c r="F244" t="s">
        <v>48</v>
      </c>
      <c r="G244" t="s">
        <v>258</v>
      </c>
      <c r="H244" s="298"/>
      <c r="I244" s="298"/>
      <c r="J244" s="364">
        <f t="shared" si="199"/>
        <v>0</v>
      </c>
      <c r="K244" s="364">
        <f t="shared" si="199"/>
        <v>0</v>
      </c>
      <c r="L244" s="364">
        <f t="shared" si="199"/>
        <v>0</v>
      </c>
      <c r="M244" s="364">
        <f t="shared" si="199"/>
        <v>0</v>
      </c>
      <c r="N244" s="364">
        <f t="shared" si="199"/>
        <v>2.6714775958347519E-2</v>
      </c>
      <c r="O244" s="364">
        <f t="shared" si="199"/>
        <v>0</v>
      </c>
      <c r="P244" s="364">
        <f t="shared" si="199"/>
        <v>0</v>
      </c>
      <c r="Q244" s="364">
        <f t="shared" si="199"/>
        <v>0</v>
      </c>
      <c r="R244" s="364">
        <f t="shared" si="199"/>
        <v>0</v>
      </c>
      <c r="S244" s="364">
        <f t="shared" si="199"/>
        <v>0</v>
      </c>
      <c r="T244" s="364">
        <f t="shared" si="199"/>
        <v>2.3112126259333822E-2</v>
      </c>
      <c r="U244" s="364">
        <f t="shared" si="199"/>
        <v>0</v>
      </c>
      <c r="V244" s="364">
        <f t="shared" si="199"/>
        <v>2.1836253226013132E-2</v>
      </c>
      <c r="W244" s="364">
        <f t="shared" si="199"/>
        <v>0</v>
      </c>
      <c r="X244" s="364">
        <f t="shared" si="199"/>
        <v>2.1417934198694873E-2</v>
      </c>
      <c r="Y244" s="364">
        <f t="shared" si="199"/>
        <v>0</v>
      </c>
      <c r="Z244" s="298"/>
      <c r="AA244" s="298"/>
    </row>
    <row r="245" spans="2:27" x14ac:dyDescent="0.25">
      <c r="D245"/>
      <c r="F245" t="s">
        <v>49</v>
      </c>
      <c r="G245" t="s">
        <v>258</v>
      </c>
      <c r="H245" s="298"/>
      <c r="I245" s="298"/>
      <c r="J245" s="364">
        <f t="shared" si="199"/>
        <v>0</v>
      </c>
      <c r="K245" s="364">
        <f t="shared" si="199"/>
        <v>0</v>
      </c>
      <c r="L245" s="364">
        <f t="shared" si="199"/>
        <v>0</v>
      </c>
      <c r="M245" s="364">
        <f t="shared" si="199"/>
        <v>0</v>
      </c>
      <c r="N245" s="364">
        <f t="shared" si="199"/>
        <v>0</v>
      </c>
      <c r="O245" s="364">
        <f t="shared" si="199"/>
        <v>0</v>
      </c>
      <c r="P245" s="364">
        <f t="shared" si="199"/>
        <v>0</v>
      </c>
      <c r="Q245" s="364">
        <f t="shared" si="199"/>
        <v>0</v>
      </c>
      <c r="R245" s="364">
        <f t="shared" si="199"/>
        <v>0</v>
      </c>
      <c r="S245" s="364">
        <f t="shared" si="199"/>
        <v>0</v>
      </c>
      <c r="T245" s="364">
        <f t="shared" si="199"/>
        <v>5.8087317586584825E-3</v>
      </c>
      <c r="U245" s="364">
        <f t="shared" si="199"/>
        <v>0</v>
      </c>
      <c r="V245" s="364">
        <f t="shared" si="199"/>
        <v>5.4880687384972447E-3</v>
      </c>
      <c r="W245" s="364">
        <f t="shared" si="199"/>
        <v>0</v>
      </c>
      <c r="X245" s="364">
        <f t="shared" si="199"/>
        <v>0</v>
      </c>
      <c r="Y245" s="364">
        <f t="shared" si="199"/>
        <v>0</v>
      </c>
      <c r="Z245" s="298"/>
      <c r="AA245" s="298"/>
    </row>
    <row r="246" spans="2:27" x14ac:dyDescent="0.25">
      <c r="D246"/>
      <c r="F246" t="s">
        <v>50</v>
      </c>
      <c r="G246" t="s">
        <v>258</v>
      </c>
      <c r="H246" s="298"/>
      <c r="I246" s="298"/>
      <c r="J246" s="364">
        <f t="shared" si="199"/>
        <v>0</v>
      </c>
      <c r="K246" s="364">
        <f t="shared" si="199"/>
        <v>0</v>
      </c>
      <c r="L246" s="364">
        <f t="shared" si="199"/>
        <v>0</v>
      </c>
      <c r="M246" s="364">
        <f t="shared" si="199"/>
        <v>0</v>
      </c>
      <c r="N246" s="364">
        <f t="shared" si="199"/>
        <v>0</v>
      </c>
      <c r="O246" s="364">
        <f t="shared" si="199"/>
        <v>0</v>
      </c>
      <c r="P246" s="364">
        <f t="shared" si="199"/>
        <v>0</v>
      </c>
      <c r="Q246" s="364">
        <f t="shared" si="199"/>
        <v>0</v>
      </c>
      <c r="R246" s="364">
        <f t="shared" si="199"/>
        <v>0</v>
      </c>
      <c r="S246" s="364">
        <f t="shared" si="199"/>
        <v>0</v>
      </c>
      <c r="T246" s="364">
        <f t="shared" si="199"/>
        <v>9.7704704666141465E-3</v>
      </c>
      <c r="U246" s="364">
        <f t="shared" si="199"/>
        <v>0</v>
      </c>
      <c r="V246" s="364">
        <f t="shared" si="199"/>
        <v>0</v>
      </c>
      <c r="W246" s="364">
        <f t="shared" si="199"/>
        <v>0</v>
      </c>
      <c r="X246" s="364">
        <f t="shared" si="199"/>
        <v>0</v>
      </c>
      <c r="Y246" s="364">
        <f t="shared" si="199"/>
        <v>0</v>
      </c>
      <c r="Z246" s="298"/>
      <c r="AA246" s="298"/>
    </row>
    <row r="247" spans="2:27" x14ac:dyDescent="0.25">
      <c r="D247"/>
      <c r="F247" t="s">
        <v>124</v>
      </c>
      <c r="G247" t="s">
        <v>258</v>
      </c>
      <c r="H247" s="298"/>
      <c r="I247" s="298"/>
      <c r="J247" s="365"/>
      <c r="K247" s="365"/>
      <c r="L247" s="365"/>
      <c r="M247" s="365"/>
      <c r="N247" s="365"/>
      <c r="O247" s="365"/>
      <c r="P247" s="365"/>
      <c r="Q247" s="365"/>
      <c r="R247" s="365"/>
      <c r="S247" s="365"/>
      <c r="T247" s="365"/>
      <c r="U247" s="365"/>
      <c r="V247" s="365"/>
      <c r="W247" s="365"/>
      <c r="X247" s="365"/>
      <c r="Y247" s="365"/>
      <c r="Z247" s="298"/>
      <c r="AA247" s="298"/>
    </row>
    <row r="248" spans="2:27" x14ac:dyDescent="0.25">
      <c r="D248"/>
      <c r="F248" s="17" t="s">
        <v>123</v>
      </c>
      <c r="G248" s="17" t="s">
        <v>258</v>
      </c>
      <c r="H248" s="300"/>
      <c r="I248" s="300"/>
      <c r="J248" s="305"/>
      <c r="K248" s="305"/>
      <c r="L248" s="305"/>
      <c r="M248" s="305"/>
      <c r="N248" s="305"/>
      <c r="O248" s="305"/>
      <c r="P248" s="305"/>
      <c r="Q248" s="305"/>
      <c r="R248" s="305"/>
      <c r="S248" s="305"/>
      <c r="T248" s="305"/>
      <c r="U248" s="305"/>
      <c r="V248" s="305"/>
      <c r="W248" s="305"/>
      <c r="X248" s="305"/>
      <c r="Y248" s="305"/>
      <c r="Z248" s="298"/>
      <c r="AA248" s="298"/>
    </row>
    <row r="249" spans="2:27" x14ac:dyDescent="0.25">
      <c r="C249" s="76"/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</row>
    <row r="250" spans="2:27" x14ac:dyDescent="0.25">
      <c r="E250" t="s">
        <v>421</v>
      </c>
      <c r="G250" t="s">
        <v>258</v>
      </c>
      <c r="H250" s="298"/>
      <c r="I250" s="298" t="s">
        <v>359</v>
      </c>
      <c r="J250" s="299">
        <f t="shared" ref="J250:Y250" si="200">SUM(J223:J234,J237:J248)</f>
        <v>0</v>
      </c>
      <c r="K250" s="299">
        <f t="shared" si="200"/>
        <v>0</v>
      </c>
      <c r="L250" s="299">
        <f t="shared" si="200"/>
        <v>0</v>
      </c>
      <c r="M250" s="299">
        <f t="shared" si="200"/>
        <v>0</v>
      </c>
      <c r="N250" s="299">
        <f t="shared" si="200"/>
        <v>0.14921334832108674</v>
      </c>
      <c r="O250" s="299">
        <f t="shared" si="200"/>
        <v>7.5151983325622007E-2</v>
      </c>
      <c r="P250" s="299">
        <f t="shared" si="200"/>
        <v>4.7539599896088004E-2</v>
      </c>
      <c r="Q250" s="299">
        <f t="shared" si="200"/>
        <v>0</v>
      </c>
      <c r="R250" s="299">
        <f t="shared" si="200"/>
        <v>0</v>
      </c>
      <c r="S250" s="299">
        <f t="shared" si="200"/>
        <v>0</v>
      </c>
      <c r="T250" s="299">
        <f t="shared" si="200"/>
        <v>0.13504878564133801</v>
      </c>
      <c r="U250" s="299">
        <f t="shared" si="200"/>
        <v>0</v>
      </c>
      <c r="V250" s="299">
        <f t="shared" si="200"/>
        <v>0.11742378853173932</v>
      </c>
      <c r="W250" s="299">
        <f t="shared" si="200"/>
        <v>0</v>
      </c>
      <c r="X250" s="299">
        <f t="shared" si="200"/>
        <v>9.5740261905297164E-2</v>
      </c>
      <c r="Y250" s="299">
        <f t="shared" si="200"/>
        <v>0</v>
      </c>
      <c r="Z250" s="298"/>
      <c r="AA250" s="298" t="s">
        <v>804</v>
      </c>
    </row>
    <row r="251" spans="2:27" x14ac:dyDescent="0.25">
      <c r="C251" s="76"/>
    </row>
    <row r="252" spans="2:27" x14ac:dyDescent="0.25">
      <c r="B252" s="82" t="s">
        <v>109</v>
      </c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82"/>
      <c r="Z252" s="82"/>
      <c r="AA252" s="82"/>
    </row>
    <row r="254" spans="2:27" x14ac:dyDescent="0.25">
      <c r="E254" t="s">
        <v>415</v>
      </c>
      <c r="G254" s="46" t="s">
        <v>588</v>
      </c>
      <c r="H254" s="263">
        <f t="array" ref="H254">SUM(IF(ISERROR(H21:Y250), 1))</f>
        <v>0</v>
      </c>
    </row>
    <row r="256" spans="2:27" x14ac:dyDescent="0.25">
      <c r="B256" s="82" t="s">
        <v>110</v>
      </c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82"/>
      <c r="Z256" s="82"/>
      <c r="AA256" s="82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15" width="24.5703125" hidden="1" customWidth="1"/>
    <col min="316" max="16384" width="8.5703125" hidden="1"/>
  </cols>
  <sheetData>
    <row r="1" spans="1:27" s="8" customFormat="1" x14ac:dyDescent="0.25">
      <c r="A1" s="8" t="str">
        <f ca="1">MID(CELL("filename",A1),FIND("]",CELL("filename",A1))+1,255)</f>
        <v>Fixed charges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H165 &amp; IF(H165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D9" s="73" t="s">
        <v>404</v>
      </c>
      <c r="E9"/>
    </row>
    <row r="10" spans="1:27" x14ac:dyDescent="0.25">
      <c r="D10" s="252" t="s">
        <v>823</v>
      </c>
      <c r="E10"/>
    </row>
    <row r="11" spans="1:27" x14ac:dyDescent="0.25">
      <c r="D11" s="73" t="s">
        <v>405</v>
      </c>
      <c r="E11"/>
    </row>
    <row r="12" spans="1:27" x14ac:dyDescent="0.25">
      <c r="D12" s="252" t="s">
        <v>824</v>
      </c>
      <c r="E12"/>
    </row>
    <row r="14" spans="1:27" x14ac:dyDescent="0.25">
      <c r="B14" s="82" t="s">
        <v>659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</row>
    <row r="16" spans="1:27" x14ac:dyDescent="0.25">
      <c r="C16" s="5" t="str">
        <f ca="1">INDEX('Version control'!$H$36:$H$62,MATCH($A$1,'Version control'!$F$36:$F$62,0),1)&amp;"-A: Volumes (discounted MPANs &amp; maximum load)"</f>
        <v>Section 517-A: Volumes (discounted MPANs &amp; maximum load)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7" spans="3:27" x14ac:dyDescent="0.25">
      <c r="D17"/>
      <c r="E17" s="52"/>
      <c r="I17" t="s">
        <v>359</v>
      </c>
      <c r="AA17" t="s">
        <v>825</v>
      </c>
    </row>
    <row r="18" spans="3:27" x14ac:dyDescent="0.25">
      <c r="C18" s="76"/>
      <c r="E18" t="s">
        <v>402</v>
      </c>
      <c r="G18" t="s">
        <v>74</v>
      </c>
      <c r="J18" s="229">
        <f>'Volume adjustments'!J275</f>
        <v>1924111.5351780879</v>
      </c>
      <c r="K18" s="229">
        <f>'Volume adjustments'!K275</f>
        <v>93043.729371061141</v>
      </c>
      <c r="L18" s="229">
        <f>'Volume adjustments'!L275</f>
        <v>127521.10315850574</v>
      </c>
      <c r="M18" s="229">
        <f>'Volume adjustments'!M275</f>
        <v>5473</v>
      </c>
      <c r="N18" s="229">
        <f>'Volume adjustments'!N275</f>
        <v>11339.754132436588</v>
      </c>
      <c r="O18" s="229">
        <f>'Volume adjustments'!O275</f>
        <v>303.19250235942349</v>
      </c>
      <c r="P18" s="229">
        <f>'Volume adjustments'!P275</f>
        <v>1301.8191428069956</v>
      </c>
      <c r="Q18" s="229">
        <f>'Volume adjustments'!Q275</f>
        <v>4874.0599354170627</v>
      </c>
      <c r="R18" s="229">
        <f>'Volume adjustments'!R275</f>
        <v>1153</v>
      </c>
      <c r="S18" s="229">
        <f>'Volume adjustments'!S275</f>
        <v>4</v>
      </c>
      <c r="T18" s="229">
        <f>'Volume adjustments'!T275</f>
        <v>496</v>
      </c>
      <c r="U18" s="229">
        <f>'Volume adjustments'!U275</f>
        <v>0</v>
      </c>
      <c r="V18" s="229">
        <f>'Volume adjustments'!V275</f>
        <v>9</v>
      </c>
      <c r="W18" s="229">
        <f>'Volume adjustments'!W275</f>
        <v>0</v>
      </c>
      <c r="X18" s="229">
        <f>'Volume adjustments'!X275</f>
        <v>261</v>
      </c>
      <c r="Y18" s="229">
        <f>'Volume adjustments'!Y275</f>
        <v>0</v>
      </c>
    </row>
    <row r="19" spans="3:27" x14ac:dyDescent="0.25">
      <c r="C19" s="76"/>
      <c r="E19"/>
      <c r="J19" s="229"/>
      <c r="K19" s="229"/>
      <c r="L19" s="229"/>
      <c r="M19" s="229"/>
      <c r="N19" s="229"/>
      <c r="O19" s="229"/>
      <c r="P19" s="229"/>
      <c r="Q19" s="229"/>
      <c r="R19" s="229"/>
      <c r="S19" s="229"/>
      <c r="T19" s="229"/>
      <c r="U19" s="229"/>
      <c r="V19" s="229"/>
      <c r="W19" s="229"/>
      <c r="X19" s="229"/>
      <c r="Y19" s="229"/>
    </row>
    <row r="20" spans="3:27" x14ac:dyDescent="0.25">
      <c r="C20" s="76"/>
      <c r="E20" t="s">
        <v>247</v>
      </c>
      <c r="G20" t="s">
        <v>102</v>
      </c>
      <c r="H20" s="79"/>
      <c r="J20" s="229">
        <f>'System peak demand'!J200</f>
        <v>1410.4576390745815</v>
      </c>
      <c r="K20" s="229">
        <f>'System peak demand'!K200</f>
        <v>273.71693776181661</v>
      </c>
      <c r="L20" s="229">
        <f>'System peak demand'!L200</f>
        <v>556.2348790902422</v>
      </c>
      <c r="M20" s="229">
        <f>'System peak demand'!M200</f>
        <v>18.0051369235516</v>
      </c>
      <c r="N20" s="229">
        <f>'System peak demand'!N200</f>
        <v>511.03388899962738</v>
      </c>
      <c r="O20" s="229">
        <f>'System peak demand'!O200</f>
        <v>46.74155911936024</v>
      </c>
      <c r="P20" s="229">
        <f>'System peak demand'!P200</f>
        <v>495.61067443308809</v>
      </c>
      <c r="Q20" s="229">
        <f>'System peak demand'!Q200</f>
        <v>53.432078697809438</v>
      </c>
      <c r="R20" s="229">
        <f>'System peak demand'!R200</f>
        <v>0</v>
      </c>
      <c r="S20" s="229">
        <f>'System peak demand'!S200</f>
        <v>0</v>
      </c>
      <c r="T20" s="229">
        <f>'System peak demand'!T200</f>
        <v>0</v>
      </c>
      <c r="U20" s="229">
        <f>'System peak demand'!U200</f>
        <v>0</v>
      </c>
      <c r="V20" s="229">
        <f>'System peak demand'!V200</f>
        <v>0</v>
      </c>
      <c r="W20" s="229">
        <f>'System peak demand'!W200</f>
        <v>0</v>
      </c>
      <c r="X20" s="229">
        <f>'System peak demand'!X200</f>
        <v>0</v>
      </c>
      <c r="Y20" s="229">
        <f>'System peak demand'!Y200</f>
        <v>0</v>
      </c>
    </row>
    <row r="21" spans="3:27" x14ac:dyDescent="0.25"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</row>
    <row r="22" spans="3:27" x14ac:dyDescent="0.25">
      <c r="C22" s="5" t="str">
        <f ca="1">INDEX('Version control'!$H$36:$H$62,MATCH($A$1,'Version control'!$F$36:$F$62,0),1)&amp;"-B: Capacity elements allocated to fixed charges"</f>
        <v>Section 517-B: Capacity elements allocated to fixed charges</v>
      </c>
      <c r="D22" s="5"/>
      <c r="E22" s="5"/>
      <c r="F22" s="5"/>
      <c r="G22" s="5"/>
      <c r="H22" s="5"/>
      <c r="I22" s="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5"/>
      <c r="AA22" s="5"/>
    </row>
    <row r="23" spans="3:27" x14ac:dyDescent="0.25">
      <c r="D23"/>
      <c r="E23" s="52"/>
      <c r="I23" t="s">
        <v>359</v>
      </c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AA23" t="s">
        <v>825</v>
      </c>
    </row>
    <row r="24" spans="3:27" x14ac:dyDescent="0.25">
      <c r="C24" s="76"/>
      <c r="E24" s="52" t="s">
        <v>139</v>
      </c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</row>
    <row r="25" spans="3:27" x14ac:dyDescent="0.25">
      <c r="C25" s="76"/>
      <c r="E25" s="73"/>
      <c r="F25" s="80" t="s">
        <v>267</v>
      </c>
      <c r="G25" s="80" t="s">
        <v>251</v>
      </c>
      <c r="H25" s="80"/>
      <c r="I25" s="80"/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  <c r="U25" s="201"/>
      <c r="V25" s="201"/>
      <c r="W25" s="201"/>
      <c r="X25" s="201"/>
      <c r="Y25" s="201"/>
    </row>
    <row r="26" spans="3:27" x14ac:dyDescent="0.25">
      <c r="C26" s="76"/>
      <c r="E26" s="73"/>
      <c r="F26" t="s">
        <v>43</v>
      </c>
      <c r="G26" t="s">
        <v>251</v>
      </c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</row>
    <row r="27" spans="3:27" x14ac:dyDescent="0.25">
      <c r="C27" s="76"/>
      <c r="E27" s="73"/>
      <c r="F27" t="s">
        <v>44</v>
      </c>
      <c r="G27" t="s">
        <v>251</v>
      </c>
      <c r="J27" s="229">
        <f>'Capacity charges'!J264</f>
        <v>0</v>
      </c>
      <c r="K27" s="229">
        <f>'Capacity charges'!K264</f>
        <v>0</v>
      </c>
      <c r="L27" s="229">
        <f>'Capacity charges'!L264</f>
        <v>0</v>
      </c>
      <c r="M27" s="229">
        <f>'Capacity charges'!M264</f>
        <v>0</v>
      </c>
      <c r="N27" s="229">
        <f>'Capacity charges'!N264</f>
        <v>0</v>
      </c>
      <c r="O27" s="229">
        <f>'Capacity charges'!O264</f>
        <v>0</v>
      </c>
      <c r="P27" s="229">
        <f>'Capacity charges'!P264</f>
        <v>0</v>
      </c>
      <c r="Q27" s="229">
        <f>'Capacity charges'!Q264</f>
        <v>0</v>
      </c>
      <c r="R27" s="229">
        <f>'Capacity charges'!R264</f>
        <v>0</v>
      </c>
      <c r="S27" s="229">
        <f>'Capacity charges'!S264</f>
        <v>0</v>
      </c>
      <c r="T27" s="229">
        <f>'Capacity charges'!T264</f>
        <v>0</v>
      </c>
      <c r="U27" s="229">
        <f>'Capacity charges'!U264</f>
        <v>0</v>
      </c>
      <c r="V27" s="229">
        <f>'Capacity charges'!V264</f>
        <v>0</v>
      </c>
      <c r="W27" s="229">
        <f>'Capacity charges'!W264</f>
        <v>0</v>
      </c>
      <c r="X27" s="229">
        <f>'Capacity charges'!X264</f>
        <v>0</v>
      </c>
      <c r="Y27" s="229">
        <f>'Capacity charges'!Y264</f>
        <v>0</v>
      </c>
    </row>
    <row r="28" spans="3:27" x14ac:dyDescent="0.25">
      <c r="C28" s="76"/>
      <c r="E28" s="73"/>
      <c r="F28" t="s">
        <v>45</v>
      </c>
      <c r="G28" t="s">
        <v>251</v>
      </c>
      <c r="J28" s="229">
        <f>'Capacity charges'!J265</f>
        <v>0</v>
      </c>
      <c r="K28" s="229">
        <f>'Capacity charges'!K265</f>
        <v>0</v>
      </c>
      <c r="L28" s="229">
        <f>'Capacity charges'!L265</f>
        <v>0</v>
      </c>
      <c r="M28" s="229">
        <f>'Capacity charges'!M265</f>
        <v>0</v>
      </c>
      <c r="N28" s="229">
        <f>'Capacity charges'!N265</f>
        <v>0</v>
      </c>
      <c r="O28" s="229">
        <f>'Capacity charges'!O265</f>
        <v>0</v>
      </c>
      <c r="P28" s="229">
        <f>'Capacity charges'!P265</f>
        <v>0</v>
      </c>
      <c r="Q28" s="229">
        <f>'Capacity charges'!Q265</f>
        <v>0</v>
      </c>
      <c r="R28" s="229">
        <f>'Capacity charges'!R265</f>
        <v>0</v>
      </c>
      <c r="S28" s="229">
        <f>'Capacity charges'!S265</f>
        <v>0</v>
      </c>
      <c r="T28" s="229">
        <f>'Capacity charges'!T265</f>
        <v>0</v>
      </c>
      <c r="U28" s="229">
        <f>'Capacity charges'!U265</f>
        <v>0</v>
      </c>
      <c r="V28" s="229">
        <f>'Capacity charges'!V265</f>
        <v>0</v>
      </c>
      <c r="W28" s="229">
        <f>'Capacity charges'!W265</f>
        <v>0</v>
      </c>
      <c r="X28" s="229">
        <f>'Capacity charges'!X265</f>
        <v>0</v>
      </c>
      <c r="Y28" s="229">
        <f>'Capacity charges'!Y265</f>
        <v>0</v>
      </c>
    </row>
    <row r="29" spans="3:27" x14ac:dyDescent="0.25">
      <c r="C29" s="76"/>
      <c r="E29" s="73"/>
      <c r="F29" t="s">
        <v>46</v>
      </c>
      <c r="G29" t="s">
        <v>251</v>
      </c>
      <c r="J29" s="229">
        <f>'Capacity charges'!J266</f>
        <v>0</v>
      </c>
      <c r="K29" s="229">
        <f>'Capacity charges'!K266</f>
        <v>0</v>
      </c>
      <c r="L29" s="229">
        <f>'Capacity charges'!L266</f>
        <v>0</v>
      </c>
      <c r="M29" s="229">
        <f>'Capacity charges'!M266</f>
        <v>0</v>
      </c>
      <c r="N29" s="229">
        <f>'Capacity charges'!N266</f>
        <v>0</v>
      </c>
      <c r="O29" s="229">
        <f>'Capacity charges'!O266</f>
        <v>0</v>
      </c>
      <c r="P29" s="229">
        <f>'Capacity charges'!P266</f>
        <v>0</v>
      </c>
      <c r="Q29" s="229">
        <f>'Capacity charges'!Q266</f>
        <v>0</v>
      </c>
      <c r="R29" s="229">
        <f>'Capacity charges'!R266</f>
        <v>0</v>
      </c>
      <c r="S29" s="229">
        <f>'Capacity charges'!S266</f>
        <v>0</v>
      </c>
      <c r="T29" s="229">
        <f>'Capacity charges'!T266</f>
        <v>0</v>
      </c>
      <c r="U29" s="229">
        <f>'Capacity charges'!U266</f>
        <v>0</v>
      </c>
      <c r="V29" s="229">
        <f>'Capacity charges'!V266</f>
        <v>0</v>
      </c>
      <c r="W29" s="229">
        <f>'Capacity charges'!W266</f>
        <v>0</v>
      </c>
      <c r="X29" s="229">
        <f>'Capacity charges'!X266</f>
        <v>0</v>
      </c>
      <c r="Y29" s="229">
        <f>'Capacity charges'!Y266</f>
        <v>0</v>
      </c>
    </row>
    <row r="30" spans="3:27" x14ac:dyDescent="0.25">
      <c r="C30" s="76"/>
      <c r="E30" s="73"/>
      <c r="F30" t="s">
        <v>47</v>
      </c>
      <c r="G30" t="s">
        <v>251</v>
      </c>
      <c r="J30" s="229">
        <f>'Capacity charges'!J267</f>
        <v>0</v>
      </c>
      <c r="K30" s="229">
        <f>'Capacity charges'!K267</f>
        <v>0</v>
      </c>
      <c r="L30" s="229">
        <f>'Capacity charges'!L267</f>
        <v>0</v>
      </c>
      <c r="M30" s="229">
        <f>'Capacity charges'!M267</f>
        <v>0</v>
      </c>
      <c r="N30" s="229">
        <f>'Capacity charges'!N267</f>
        <v>0</v>
      </c>
      <c r="O30" s="229">
        <f>'Capacity charges'!O267</f>
        <v>0</v>
      </c>
      <c r="P30" s="229">
        <f>'Capacity charges'!P267</f>
        <v>0</v>
      </c>
      <c r="Q30" s="229">
        <f>'Capacity charges'!Q267</f>
        <v>0</v>
      </c>
      <c r="R30" s="229">
        <f>'Capacity charges'!R267</f>
        <v>0</v>
      </c>
      <c r="S30" s="229">
        <f>'Capacity charges'!S267</f>
        <v>0</v>
      </c>
      <c r="T30" s="229">
        <f>'Capacity charges'!T267</f>
        <v>0</v>
      </c>
      <c r="U30" s="229">
        <f>'Capacity charges'!U267</f>
        <v>0</v>
      </c>
      <c r="V30" s="229">
        <f>'Capacity charges'!V267</f>
        <v>0</v>
      </c>
      <c r="W30" s="229">
        <f>'Capacity charges'!W267</f>
        <v>0</v>
      </c>
      <c r="X30" s="229">
        <f>'Capacity charges'!X267</f>
        <v>0</v>
      </c>
      <c r="Y30" s="229">
        <f>'Capacity charges'!Y267</f>
        <v>0</v>
      </c>
    </row>
    <row r="31" spans="3:27" x14ac:dyDescent="0.25">
      <c r="C31" s="76"/>
      <c r="E31" s="73"/>
      <c r="F31" t="s">
        <v>51</v>
      </c>
      <c r="G31" t="s">
        <v>251</v>
      </c>
      <c r="J31" s="229">
        <f>'Capacity charges'!J268</f>
        <v>0</v>
      </c>
      <c r="K31" s="229">
        <f>'Capacity charges'!K268</f>
        <v>0</v>
      </c>
      <c r="L31" s="229">
        <f>'Capacity charges'!L268</f>
        <v>0</v>
      </c>
      <c r="M31" s="229">
        <f>'Capacity charges'!M268</f>
        <v>0</v>
      </c>
      <c r="N31" s="229">
        <f>'Capacity charges'!N268</f>
        <v>0</v>
      </c>
      <c r="O31" s="229">
        <f>'Capacity charges'!O268</f>
        <v>0</v>
      </c>
      <c r="P31" s="229">
        <f>'Capacity charges'!P268</f>
        <v>0</v>
      </c>
      <c r="Q31" s="229">
        <f>'Capacity charges'!Q268</f>
        <v>0</v>
      </c>
      <c r="R31" s="229">
        <f>'Capacity charges'!R268</f>
        <v>0</v>
      </c>
      <c r="S31" s="229">
        <f>'Capacity charges'!S268</f>
        <v>0</v>
      </c>
      <c r="T31" s="229">
        <f>'Capacity charges'!T268</f>
        <v>0</v>
      </c>
      <c r="U31" s="229">
        <f>'Capacity charges'!U268</f>
        <v>0</v>
      </c>
      <c r="V31" s="229">
        <f>'Capacity charges'!V268</f>
        <v>0</v>
      </c>
      <c r="W31" s="229">
        <f>'Capacity charges'!W268</f>
        <v>0</v>
      </c>
      <c r="X31" s="229">
        <f>'Capacity charges'!X268</f>
        <v>0</v>
      </c>
      <c r="Y31" s="229">
        <f>'Capacity charges'!Y268</f>
        <v>0</v>
      </c>
    </row>
    <row r="32" spans="3:27" x14ac:dyDescent="0.25">
      <c r="C32" s="76"/>
      <c r="E32" s="73"/>
      <c r="F32" t="s">
        <v>48</v>
      </c>
      <c r="G32" t="s">
        <v>251</v>
      </c>
      <c r="J32" s="229">
        <f>'Capacity charges'!J269</f>
        <v>0</v>
      </c>
      <c r="K32" s="229">
        <f>'Capacity charges'!K269</f>
        <v>0</v>
      </c>
      <c r="L32" s="229">
        <f>'Capacity charges'!L269</f>
        <v>0</v>
      </c>
      <c r="M32" s="229">
        <f>'Capacity charges'!M269</f>
        <v>0</v>
      </c>
      <c r="N32" s="229">
        <f>'Capacity charges'!N269</f>
        <v>0</v>
      </c>
      <c r="O32" s="229">
        <f>'Capacity charges'!O269</f>
        <v>0</v>
      </c>
      <c r="P32" s="229">
        <f>'Capacity charges'!P269</f>
        <v>0</v>
      </c>
      <c r="Q32" s="229">
        <f>'Capacity charges'!Q269</f>
        <v>0</v>
      </c>
      <c r="R32" s="229">
        <f>'Capacity charges'!R269</f>
        <v>0</v>
      </c>
      <c r="S32" s="229">
        <f>'Capacity charges'!S269</f>
        <v>0</v>
      </c>
      <c r="T32" s="229">
        <f>'Capacity charges'!T269</f>
        <v>0</v>
      </c>
      <c r="U32" s="229">
        <f>'Capacity charges'!U269</f>
        <v>0</v>
      </c>
      <c r="V32" s="229">
        <f>'Capacity charges'!V269</f>
        <v>0</v>
      </c>
      <c r="W32" s="229">
        <f>'Capacity charges'!W269</f>
        <v>0</v>
      </c>
      <c r="X32" s="229">
        <f>'Capacity charges'!X269</f>
        <v>0</v>
      </c>
      <c r="Y32" s="229">
        <f>'Capacity charges'!Y269</f>
        <v>0</v>
      </c>
    </row>
    <row r="33" spans="3:25" x14ac:dyDescent="0.25">
      <c r="C33" s="76"/>
      <c r="E33" s="73"/>
      <c r="F33" t="s">
        <v>49</v>
      </c>
      <c r="G33" t="s">
        <v>251</v>
      </c>
      <c r="J33" s="229">
        <f>'Capacity charges'!J270</f>
        <v>0</v>
      </c>
      <c r="K33" s="229">
        <f>'Capacity charges'!K270</f>
        <v>0</v>
      </c>
      <c r="L33" s="229">
        <f>'Capacity charges'!L270</f>
        <v>0</v>
      </c>
      <c r="M33" s="229">
        <f>'Capacity charges'!M270</f>
        <v>0</v>
      </c>
      <c r="N33" s="229">
        <f>'Capacity charges'!N270</f>
        <v>0</v>
      </c>
      <c r="O33" s="229">
        <f>'Capacity charges'!O270</f>
        <v>0</v>
      </c>
      <c r="P33" s="229">
        <f>'Capacity charges'!P270</f>
        <v>0</v>
      </c>
      <c r="Q33" s="229">
        <f>'Capacity charges'!Q270</f>
        <v>0</v>
      </c>
      <c r="R33" s="229">
        <f>'Capacity charges'!R270</f>
        <v>0</v>
      </c>
      <c r="S33" s="229">
        <f>'Capacity charges'!S270</f>
        <v>0</v>
      </c>
      <c r="T33" s="229">
        <f>'Capacity charges'!T270</f>
        <v>0</v>
      </c>
      <c r="U33" s="229">
        <f>'Capacity charges'!U270</f>
        <v>0</v>
      </c>
      <c r="V33" s="229">
        <f>'Capacity charges'!V270</f>
        <v>0</v>
      </c>
      <c r="W33" s="229">
        <f>'Capacity charges'!W270</f>
        <v>0</v>
      </c>
      <c r="X33" s="229">
        <f>'Capacity charges'!X270</f>
        <v>0</v>
      </c>
      <c r="Y33" s="229">
        <f>'Capacity charges'!Y270</f>
        <v>0</v>
      </c>
    </row>
    <row r="34" spans="3:25" x14ac:dyDescent="0.25">
      <c r="C34" s="76"/>
      <c r="E34" s="73"/>
      <c r="F34" t="s">
        <v>50</v>
      </c>
      <c r="G34" t="s">
        <v>251</v>
      </c>
      <c r="J34" s="229">
        <f>'Capacity charges'!J271</f>
        <v>8.3328821801881808E-2</v>
      </c>
      <c r="K34" s="229">
        <f>'Capacity charges'!K271</f>
        <v>0</v>
      </c>
      <c r="L34" s="229">
        <f>'Capacity charges'!L271</f>
        <v>8.3328821801881808E-2</v>
      </c>
      <c r="M34" s="229">
        <f>'Capacity charges'!M271</f>
        <v>0</v>
      </c>
      <c r="N34" s="229">
        <f>'Capacity charges'!N271</f>
        <v>0</v>
      </c>
      <c r="O34" s="229">
        <f>'Capacity charges'!O271</f>
        <v>0</v>
      </c>
      <c r="P34" s="229">
        <f>'Capacity charges'!P271</f>
        <v>0</v>
      </c>
      <c r="Q34" s="229">
        <f>'Capacity charges'!Q271</f>
        <v>0</v>
      </c>
      <c r="R34" s="229">
        <f>'Capacity charges'!R271</f>
        <v>0</v>
      </c>
      <c r="S34" s="229">
        <f>'Capacity charges'!S271</f>
        <v>0</v>
      </c>
      <c r="T34" s="229">
        <f>'Capacity charges'!T271</f>
        <v>0</v>
      </c>
      <c r="U34" s="229">
        <f>'Capacity charges'!U271</f>
        <v>0</v>
      </c>
      <c r="V34" s="229">
        <f>'Capacity charges'!V271</f>
        <v>0</v>
      </c>
      <c r="W34" s="229">
        <f>'Capacity charges'!W271</f>
        <v>0</v>
      </c>
      <c r="X34" s="229">
        <f>'Capacity charges'!X271</f>
        <v>0</v>
      </c>
      <c r="Y34" s="229">
        <f>'Capacity charges'!Y271</f>
        <v>0</v>
      </c>
    </row>
    <row r="35" spans="3:25" x14ac:dyDescent="0.25">
      <c r="C35" s="76"/>
      <c r="E35" s="73"/>
      <c r="F35" t="s">
        <v>124</v>
      </c>
      <c r="G35" t="s">
        <v>251</v>
      </c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34"/>
      <c r="X35" s="234"/>
      <c r="Y35" s="234"/>
    </row>
    <row r="36" spans="3:25" x14ac:dyDescent="0.25">
      <c r="C36" s="76"/>
      <c r="E36" s="73"/>
      <c r="F36" s="17" t="s">
        <v>123</v>
      </c>
      <c r="G36" s="17" t="s">
        <v>251</v>
      </c>
      <c r="H36" s="17"/>
      <c r="I36" s="17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</row>
    <row r="37" spans="3:25" x14ac:dyDescent="0.25">
      <c r="C37" s="76"/>
      <c r="D37"/>
      <c r="E37" s="73"/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</row>
    <row r="38" spans="3:25" x14ac:dyDescent="0.25">
      <c r="C38" s="76"/>
      <c r="E38" s="52" t="s">
        <v>116</v>
      </c>
      <c r="J38" s="211"/>
      <c r="K38" s="211"/>
      <c r="L38" s="211"/>
      <c r="M38" s="211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</row>
    <row r="39" spans="3:25" x14ac:dyDescent="0.25">
      <c r="C39" s="76"/>
      <c r="F39" s="80" t="s">
        <v>267</v>
      </c>
      <c r="G39" s="80" t="s">
        <v>251</v>
      </c>
      <c r="H39" s="80"/>
      <c r="I39" s="80"/>
      <c r="J39" s="228">
        <f>'Capacity charges'!J276</f>
        <v>0</v>
      </c>
      <c r="K39" s="228">
        <f>'Capacity charges'!K276</f>
        <v>0</v>
      </c>
      <c r="L39" s="228">
        <f>'Capacity charges'!L276</f>
        <v>0</v>
      </c>
      <c r="M39" s="228">
        <f>'Capacity charges'!M276</f>
        <v>0</v>
      </c>
      <c r="N39" s="228">
        <f>'Capacity charges'!N276</f>
        <v>0</v>
      </c>
      <c r="O39" s="228">
        <f>'Capacity charges'!O276</f>
        <v>0</v>
      </c>
      <c r="P39" s="228">
        <f>'Capacity charges'!P276</f>
        <v>0</v>
      </c>
      <c r="Q39" s="228">
        <f>'Capacity charges'!Q276</f>
        <v>0</v>
      </c>
      <c r="R39" s="228">
        <f>'Capacity charges'!R276</f>
        <v>0</v>
      </c>
      <c r="S39" s="228">
        <f>'Capacity charges'!S276</f>
        <v>0</v>
      </c>
      <c r="T39" s="228">
        <f>'Capacity charges'!T276</f>
        <v>0</v>
      </c>
      <c r="U39" s="228">
        <f>'Capacity charges'!U276</f>
        <v>0</v>
      </c>
      <c r="V39" s="228">
        <f>'Capacity charges'!V276</f>
        <v>0</v>
      </c>
      <c r="W39" s="228">
        <f>'Capacity charges'!W276</f>
        <v>0</v>
      </c>
      <c r="X39" s="228">
        <f>'Capacity charges'!X276</f>
        <v>0</v>
      </c>
      <c r="Y39" s="228">
        <f>'Capacity charges'!Y276</f>
        <v>0</v>
      </c>
    </row>
    <row r="40" spans="3:25" x14ac:dyDescent="0.25">
      <c r="C40" s="76"/>
      <c r="F40" t="s">
        <v>43</v>
      </c>
      <c r="G40" t="s">
        <v>251</v>
      </c>
      <c r="J40" s="229">
        <f>'Capacity charges'!J277</f>
        <v>0</v>
      </c>
      <c r="K40" s="229">
        <f>'Capacity charges'!K277</f>
        <v>0</v>
      </c>
      <c r="L40" s="229">
        <f>'Capacity charges'!L277</f>
        <v>0</v>
      </c>
      <c r="M40" s="229">
        <f>'Capacity charges'!M277</f>
        <v>0</v>
      </c>
      <c r="N40" s="229">
        <f>'Capacity charges'!N277</f>
        <v>0</v>
      </c>
      <c r="O40" s="229">
        <f>'Capacity charges'!O277</f>
        <v>0</v>
      </c>
      <c r="P40" s="229">
        <f>'Capacity charges'!P277</f>
        <v>0</v>
      </c>
      <c r="Q40" s="229">
        <f>'Capacity charges'!Q277</f>
        <v>0</v>
      </c>
      <c r="R40" s="229">
        <f>'Capacity charges'!R277</f>
        <v>0</v>
      </c>
      <c r="S40" s="229">
        <f>'Capacity charges'!S277</f>
        <v>0</v>
      </c>
      <c r="T40" s="229">
        <f>'Capacity charges'!T277</f>
        <v>0</v>
      </c>
      <c r="U40" s="229">
        <f>'Capacity charges'!U277</f>
        <v>0</v>
      </c>
      <c r="V40" s="229">
        <f>'Capacity charges'!V277</f>
        <v>0</v>
      </c>
      <c r="W40" s="229">
        <f>'Capacity charges'!W277</f>
        <v>0</v>
      </c>
      <c r="X40" s="229">
        <f>'Capacity charges'!X277</f>
        <v>0</v>
      </c>
      <c r="Y40" s="229">
        <f>'Capacity charges'!Y277</f>
        <v>0</v>
      </c>
    </row>
    <row r="41" spans="3:25" x14ac:dyDescent="0.25">
      <c r="C41" s="76"/>
      <c r="F41" t="s">
        <v>44</v>
      </c>
      <c r="G41" t="s">
        <v>251</v>
      </c>
      <c r="J41" s="229">
        <f>'Capacity charges'!J278</f>
        <v>0</v>
      </c>
      <c r="K41" s="229">
        <f>'Capacity charges'!K278</f>
        <v>0</v>
      </c>
      <c r="L41" s="229">
        <f>'Capacity charges'!L278</f>
        <v>0</v>
      </c>
      <c r="M41" s="229">
        <f>'Capacity charges'!M278</f>
        <v>0</v>
      </c>
      <c r="N41" s="229">
        <f>'Capacity charges'!N278</f>
        <v>0</v>
      </c>
      <c r="O41" s="229">
        <f>'Capacity charges'!O278</f>
        <v>0</v>
      </c>
      <c r="P41" s="229">
        <f>'Capacity charges'!P278</f>
        <v>0</v>
      </c>
      <c r="Q41" s="229">
        <f>'Capacity charges'!Q278</f>
        <v>0</v>
      </c>
      <c r="R41" s="229">
        <f>'Capacity charges'!R278</f>
        <v>0</v>
      </c>
      <c r="S41" s="229">
        <f>'Capacity charges'!S278</f>
        <v>0</v>
      </c>
      <c r="T41" s="229">
        <f>'Capacity charges'!T278</f>
        <v>0</v>
      </c>
      <c r="U41" s="229">
        <f>'Capacity charges'!U278</f>
        <v>0</v>
      </c>
      <c r="V41" s="229">
        <f>'Capacity charges'!V278</f>
        <v>0</v>
      </c>
      <c r="W41" s="229">
        <f>'Capacity charges'!W278</f>
        <v>0</v>
      </c>
      <c r="X41" s="229">
        <f>'Capacity charges'!X278</f>
        <v>0</v>
      </c>
      <c r="Y41" s="229">
        <f>'Capacity charges'!Y278</f>
        <v>0</v>
      </c>
    </row>
    <row r="42" spans="3:25" x14ac:dyDescent="0.25">
      <c r="C42" s="76"/>
      <c r="F42" t="s">
        <v>45</v>
      </c>
      <c r="G42" t="s">
        <v>251</v>
      </c>
      <c r="J42" s="229">
        <f>'Capacity charges'!J279</f>
        <v>0</v>
      </c>
      <c r="K42" s="229">
        <f>'Capacity charges'!K279</f>
        <v>0</v>
      </c>
      <c r="L42" s="229">
        <f>'Capacity charges'!L279</f>
        <v>0</v>
      </c>
      <c r="M42" s="229">
        <f>'Capacity charges'!M279</f>
        <v>0</v>
      </c>
      <c r="N42" s="229">
        <f>'Capacity charges'!N279</f>
        <v>0</v>
      </c>
      <c r="O42" s="229">
        <f>'Capacity charges'!O279</f>
        <v>0</v>
      </c>
      <c r="P42" s="229">
        <f>'Capacity charges'!P279</f>
        <v>0</v>
      </c>
      <c r="Q42" s="229">
        <f>'Capacity charges'!Q279</f>
        <v>0</v>
      </c>
      <c r="R42" s="229">
        <f>'Capacity charges'!R279</f>
        <v>0</v>
      </c>
      <c r="S42" s="229">
        <f>'Capacity charges'!S279</f>
        <v>0</v>
      </c>
      <c r="T42" s="229">
        <f>'Capacity charges'!T279</f>
        <v>0</v>
      </c>
      <c r="U42" s="229">
        <f>'Capacity charges'!U279</f>
        <v>0</v>
      </c>
      <c r="V42" s="229">
        <f>'Capacity charges'!V279</f>
        <v>0</v>
      </c>
      <c r="W42" s="229">
        <f>'Capacity charges'!W279</f>
        <v>0</v>
      </c>
      <c r="X42" s="229">
        <f>'Capacity charges'!X279</f>
        <v>0</v>
      </c>
      <c r="Y42" s="229">
        <f>'Capacity charges'!Y279</f>
        <v>0</v>
      </c>
    </row>
    <row r="43" spans="3:25" x14ac:dyDescent="0.25">
      <c r="C43" s="76"/>
      <c r="F43" t="s">
        <v>46</v>
      </c>
      <c r="G43" t="s">
        <v>251</v>
      </c>
      <c r="J43" s="229">
        <f>'Capacity charges'!J280</f>
        <v>0</v>
      </c>
      <c r="K43" s="229">
        <f>'Capacity charges'!K280</f>
        <v>0</v>
      </c>
      <c r="L43" s="229">
        <f>'Capacity charges'!L280</f>
        <v>0</v>
      </c>
      <c r="M43" s="229">
        <f>'Capacity charges'!M280</f>
        <v>0</v>
      </c>
      <c r="N43" s="229">
        <f>'Capacity charges'!N280</f>
        <v>0</v>
      </c>
      <c r="O43" s="229">
        <f>'Capacity charges'!O280</f>
        <v>0</v>
      </c>
      <c r="P43" s="229">
        <f>'Capacity charges'!P280</f>
        <v>0</v>
      </c>
      <c r="Q43" s="229">
        <f>'Capacity charges'!Q280</f>
        <v>0</v>
      </c>
      <c r="R43" s="229">
        <f>'Capacity charges'!R280</f>
        <v>0</v>
      </c>
      <c r="S43" s="229">
        <f>'Capacity charges'!S280</f>
        <v>0</v>
      </c>
      <c r="T43" s="229">
        <f>'Capacity charges'!T280</f>
        <v>0</v>
      </c>
      <c r="U43" s="229">
        <f>'Capacity charges'!U280</f>
        <v>0</v>
      </c>
      <c r="V43" s="229">
        <f>'Capacity charges'!V280</f>
        <v>0</v>
      </c>
      <c r="W43" s="229">
        <f>'Capacity charges'!W280</f>
        <v>0</v>
      </c>
      <c r="X43" s="229">
        <f>'Capacity charges'!X280</f>
        <v>0</v>
      </c>
      <c r="Y43" s="229">
        <f>'Capacity charges'!Y280</f>
        <v>0</v>
      </c>
    </row>
    <row r="44" spans="3:25" x14ac:dyDescent="0.25">
      <c r="C44" s="76"/>
      <c r="F44" t="s">
        <v>47</v>
      </c>
      <c r="G44" t="s">
        <v>251</v>
      </c>
      <c r="J44" s="229">
        <f>'Capacity charges'!J281</f>
        <v>0</v>
      </c>
      <c r="K44" s="229">
        <f>'Capacity charges'!K281</f>
        <v>0</v>
      </c>
      <c r="L44" s="229">
        <f>'Capacity charges'!L281</f>
        <v>0</v>
      </c>
      <c r="M44" s="229">
        <f>'Capacity charges'!M281</f>
        <v>0</v>
      </c>
      <c r="N44" s="229">
        <f>'Capacity charges'!N281</f>
        <v>0</v>
      </c>
      <c r="O44" s="229">
        <f>'Capacity charges'!O281</f>
        <v>0</v>
      </c>
      <c r="P44" s="229">
        <f>'Capacity charges'!P281</f>
        <v>0</v>
      </c>
      <c r="Q44" s="229">
        <f>'Capacity charges'!Q281</f>
        <v>0</v>
      </c>
      <c r="R44" s="229">
        <f>'Capacity charges'!R281</f>
        <v>0</v>
      </c>
      <c r="S44" s="229">
        <f>'Capacity charges'!S281</f>
        <v>0</v>
      </c>
      <c r="T44" s="229">
        <f>'Capacity charges'!T281</f>
        <v>0</v>
      </c>
      <c r="U44" s="229">
        <f>'Capacity charges'!U281</f>
        <v>0</v>
      </c>
      <c r="V44" s="229">
        <f>'Capacity charges'!V281</f>
        <v>0</v>
      </c>
      <c r="W44" s="229">
        <f>'Capacity charges'!W281</f>
        <v>0</v>
      </c>
      <c r="X44" s="229">
        <f>'Capacity charges'!X281</f>
        <v>0</v>
      </c>
      <c r="Y44" s="229">
        <f>'Capacity charges'!Y281</f>
        <v>0</v>
      </c>
    </row>
    <row r="45" spans="3:25" x14ac:dyDescent="0.25">
      <c r="C45" s="76"/>
      <c r="F45" t="s">
        <v>51</v>
      </c>
      <c r="G45" t="s">
        <v>251</v>
      </c>
      <c r="J45" s="229">
        <f>'Capacity charges'!J282</f>
        <v>0</v>
      </c>
      <c r="K45" s="229">
        <f>'Capacity charges'!K282</f>
        <v>0</v>
      </c>
      <c r="L45" s="229">
        <f>'Capacity charges'!L282</f>
        <v>0</v>
      </c>
      <c r="M45" s="229">
        <f>'Capacity charges'!M282</f>
        <v>0</v>
      </c>
      <c r="N45" s="229">
        <f>'Capacity charges'!N282</f>
        <v>0</v>
      </c>
      <c r="O45" s="229">
        <f>'Capacity charges'!O282</f>
        <v>0</v>
      </c>
      <c r="P45" s="229">
        <f>'Capacity charges'!P282</f>
        <v>0</v>
      </c>
      <c r="Q45" s="229">
        <f>'Capacity charges'!Q282</f>
        <v>0</v>
      </c>
      <c r="R45" s="229">
        <f>'Capacity charges'!R282</f>
        <v>0</v>
      </c>
      <c r="S45" s="229">
        <f>'Capacity charges'!S282</f>
        <v>0</v>
      </c>
      <c r="T45" s="229">
        <f>'Capacity charges'!T282</f>
        <v>0</v>
      </c>
      <c r="U45" s="229">
        <f>'Capacity charges'!U282</f>
        <v>0</v>
      </c>
      <c r="V45" s="229">
        <f>'Capacity charges'!V282</f>
        <v>0</v>
      </c>
      <c r="W45" s="229">
        <f>'Capacity charges'!W282</f>
        <v>0</v>
      </c>
      <c r="X45" s="229">
        <f>'Capacity charges'!X282</f>
        <v>0</v>
      </c>
      <c r="Y45" s="229">
        <f>'Capacity charges'!Y282</f>
        <v>0</v>
      </c>
    </row>
    <row r="46" spans="3:25" x14ac:dyDescent="0.25">
      <c r="C46" s="76"/>
      <c r="F46" t="s">
        <v>48</v>
      </c>
      <c r="G46" t="s">
        <v>251</v>
      </c>
      <c r="J46" s="229">
        <f>'Capacity charges'!J283</f>
        <v>0</v>
      </c>
      <c r="K46" s="229">
        <f>'Capacity charges'!K283</f>
        <v>0</v>
      </c>
      <c r="L46" s="229">
        <f>'Capacity charges'!L283</f>
        <v>0</v>
      </c>
      <c r="M46" s="229">
        <f>'Capacity charges'!M283</f>
        <v>0</v>
      </c>
      <c r="N46" s="229">
        <f>'Capacity charges'!N283</f>
        <v>0</v>
      </c>
      <c r="O46" s="229">
        <f>'Capacity charges'!O283</f>
        <v>0</v>
      </c>
      <c r="P46" s="229">
        <f>'Capacity charges'!P283</f>
        <v>0</v>
      </c>
      <c r="Q46" s="229">
        <f>'Capacity charges'!Q283</f>
        <v>0</v>
      </c>
      <c r="R46" s="229">
        <f>'Capacity charges'!R283</f>
        <v>0</v>
      </c>
      <c r="S46" s="229">
        <f>'Capacity charges'!S283</f>
        <v>0</v>
      </c>
      <c r="T46" s="229">
        <f>'Capacity charges'!T283</f>
        <v>0</v>
      </c>
      <c r="U46" s="229">
        <f>'Capacity charges'!U283</f>
        <v>0</v>
      </c>
      <c r="V46" s="229">
        <f>'Capacity charges'!V283</f>
        <v>0</v>
      </c>
      <c r="W46" s="229">
        <f>'Capacity charges'!W283</f>
        <v>0</v>
      </c>
      <c r="X46" s="229">
        <f>'Capacity charges'!X283</f>
        <v>0</v>
      </c>
      <c r="Y46" s="229">
        <f>'Capacity charges'!Y283</f>
        <v>0</v>
      </c>
    </row>
    <row r="47" spans="3:25" x14ac:dyDescent="0.25">
      <c r="C47" s="76"/>
      <c r="F47" t="s">
        <v>49</v>
      </c>
      <c r="G47" t="s">
        <v>251</v>
      </c>
      <c r="J47" s="229">
        <f>'Capacity charges'!J284</f>
        <v>0</v>
      </c>
      <c r="K47" s="229">
        <f>'Capacity charges'!K284</f>
        <v>0</v>
      </c>
      <c r="L47" s="229">
        <f>'Capacity charges'!L284</f>
        <v>0</v>
      </c>
      <c r="M47" s="229">
        <f>'Capacity charges'!M284</f>
        <v>0</v>
      </c>
      <c r="N47" s="229">
        <f>'Capacity charges'!N284</f>
        <v>0</v>
      </c>
      <c r="O47" s="229">
        <f>'Capacity charges'!O284</f>
        <v>0</v>
      </c>
      <c r="P47" s="229">
        <f>'Capacity charges'!P284</f>
        <v>0</v>
      </c>
      <c r="Q47" s="229">
        <f>'Capacity charges'!Q284</f>
        <v>0</v>
      </c>
      <c r="R47" s="229">
        <f>'Capacity charges'!R284</f>
        <v>0</v>
      </c>
      <c r="S47" s="229">
        <f>'Capacity charges'!S284</f>
        <v>0</v>
      </c>
      <c r="T47" s="229">
        <f>'Capacity charges'!T284</f>
        <v>0</v>
      </c>
      <c r="U47" s="229">
        <f>'Capacity charges'!U284</f>
        <v>0</v>
      </c>
      <c r="V47" s="229">
        <f>'Capacity charges'!V284</f>
        <v>0</v>
      </c>
      <c r="W47" s="229">
        <f>'Capacity charges'!W284</f>
        <v>0</v>
      </c>
      <c r="X47" s="229">
        <f>'Capacity charges'!X284</f>
        <v>0</v>
      </c>
      <c r="Y47" s="229">
        <f>'Capacity charges'!Y284</f>
        <v>0</v>
      </c>
    </row>
    <row r="48" spans="3:25" x14ac:dyDescent="0.25">
      <c r="C48" s="76"/>
      <c r="F48" t="s">
        <v>50</v>
      </c>
      <c r="G48" t="s">
        <v>251</v>
      </c>
      <c r="J48" s="229">
        <f>'Capacity charges'!J285</f>
        <v>0.81944050032241544</v>
      </c>
      <c r="K48" s="229">
        <f>'Capacity charges'!K285</f>
        <v>0</v>
      </c>
      <c r="L48" s="229">
        <f>'Capacity charges'!L285</f>
        <v>0.81944050032241544</v>
      </c>
      <c r="M48" s="229">
        <f>'Capacity charges'!M285</f>
        <v>0</v>
      </c>
      <c r="N48" s="229">
        <f>'Capacity charges'!N285</f>
        <v>0</v>
      </c>
      <c r="O48" s="229">
        <f>'Capacity charges'!O285</f>
        <v>0</v>
      </c>
      <c r="P48" s="229">
        <f>'Capacity charges'!P285</f>
        <v>0</v>
      </c>
      <c r="Q48" s="229">
        <f>'Capacity charges'!Q285</f>
        <v>0</v>
      </c>
      <c r="R48" s="229">
        <f>'Capacity charges'!R285</f>
        <v>0</v>
      </c>
      <c r="S48" s="229">
        <f>'Capacity charges'!S285</f>
        <v>0</v>
      </c>
      <c r="T48" s="229">
        <f>'Capacity charges'!T285</f>
        <v>0</v>
      </c>
      <c r="U48" s="229">
        <f>'Capacity charges'!U285</f>
        <v>0</v>
      </c>
      <c r="V48" s="229">
        <f>'Capacity charges'!V285</f>
        <v>0</v>
      </c>
      <c r="W48" s="229">
        <f>'Capacity charges'!W285</f>
        <v>0</v>
      </c>
      <c r="X48" s="229">
        <f>'Capacity charges'!X285</f>
        <v>0</v>
      </c>
      <c r="Y48" s="229">
        <f>'Capacity charges'!Y285</f>
        <v>0</v>
      </c>
    </row>
    <row r="49" spans="3:27" x14ac:dyDescent="0.25">
      <c r="C49" s="76"/>
      <c r="F49" t="s">
        <v>124</v>
      </c>
      <c r="G49" t="s">
        <v>251</v>
      </c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</row>
    <row r="50" spans="3:27" x14ac:dyDescent="0.25">
      <c r="C50" s="76"/>
      <c r="F50" s="17" t="s">
        <v>123</v>
      </c>
      <c r="G50" s="17" t="s">
        <v>251</v>
      </c>
      <c r="H50" s="17"/>
      <c r="I50" s="17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  <c r="U50" s="203"/>
      <c r="V50" s="203"/>
      <c r="W50" s="203"/>
      <c r="X50" s="203"/>
      <c r="Y50" s="203"/>
    </row>
    <row r="51" spans="3:27" x14ac:dyDescent="0.25">
      <c r="C51" s="76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</row>
    <row r="52" spans="3:27" x14ac:dyDescent="0.25">
      <c r="C52" s="5" t="str">
        <f ca="1">INDEX('Version control'!$H$36:$H$62,MATCH($A$1,'Version control'!$F$36:$F$62,0),1)&amp;"-C: Service model costs allocated to fixed charges"</f>
        <v>Section 517-C: Service model costs allocated to fixed charges</v>
      </c>
      <c r="D52" s="5"/>
      <c r="E52" s="5"/>
      <c r="F52" s="5"/>
      <c r="G52" s="5"/>
      <c r="H52" s="5"/>
      <c r="I52" s="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5"/>
      <c r="AA52" s="5"/>
    </row>
    <row r="53" spans="3:27" x14ac:dyDescent="0.25">
      <c r="D53"/>
    </row>
    <row r="54" spans="3:27" x14ac:dyDescent="0.25">
      <c r="C54" s="52"/>
      <c r="D54"/>
      <c r="E54" s="52" t="s">
        <v>116</v>
      </c>
      <c r="I54" t="s">
        <v>359</v>
      </c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AA54" t="s">
        <v>826</v>
      </c>
    </row>
    <row r="55" spans="3:27" x14ac:dyDescent="0.25">
      <c r="C55" s="76"/>
      <c r="D55"/>
      <c r="F55" s="80" t="s">
        <v>124</v>
      </c>
      <c r="G55" s="80" t="s">
        <v>252</v>
      </c>
      <c r="H55" s="80"/>
      <c r="I55" s="80"/>
      <c r="J55" s="228">
        <f>'Service model charges'!J42</f>
        <v>3.7714381746683046</v>
      </c>
      <c r="K55" s="228">
        <f>'Service model charges'!K42</f>
        <v>0</v>
      </c>
      <c r="L55" s="228">
        <f>'Service model charges'!L42</f>
        <v>5.080008396511781</v>
      </c>
      <c r="M55" s="228">
        <f>'Service model charges'!M42</f>
        <v>0</v>
      </c>
      <c r="N55" s="228">
        <f>'Service model charges'!N42</f>
        <v>23.764953284910149</v>
      </c>
      <c r="O55" s="228">
        <f>'Service model charges'!O42</f>
        <v>8.3876305711447596</v>
      </c>
      <c r="P55" s="228">
        <f>'Service model charges'!P42</f>
        <v>0</v>
      </c>
      <c r="Q55" s="201"/>
      <c r="R55" s="228">
        <f>'Service model charges'!R42</f>
        <v>0</v>
      </c>
      <c r="S55" s="228">
        <f>'Service model charges'!S42</f>
        <v>0</v>
      </c>
      <c r="T55" s="228">
        <f>'Service model charges'!T42</f>
        <v>0</v>
      </c>
      <c r="U55" s="228">
        <f>'Service model charges'!U42</f>
        <v>0</v>
      </c>
      <c r="V55" s="228">
        <f>'Service model charges'!V42</f>
        <v>0</v>
      </c>
      <c r="W55" s="228">
        <f>'Service model charges'!W42</f>
        <v>0</v>
      </c>
      <c r="X55" s="228">
        <f>'Service model charges'!X42</f>
        <v>0</v>
      </c>
      <c r="Y55" s="228">
        <f>'Service model charges'!Y42</f>
        <v>0</v>
      </c>
    </row>
    <row r="56" spans="3:27" x14ac:dyDescent="0.25">
      <c r="C56" s="76"/>
      <c r="D56"/>
      <c r="F56" s="17" t="s">
        <v>123</v>
      </c>
      <c r="G56" s="17" t="s">
        <v>252</v>
      </c>
      <c r="H56" s="17"/>
      <c r="I56" s="17"/>
      <c r="J56" s="230">
        <f>'Service model charges'!J43</f>
        <v>0</v>
      </c>
      <c r="K56" s="230">
        <f>'Service model charges'!K43</f>
        <v>0</v>
      </c>
      <c r="L56" s="230">
        <f>'Service model charges'!L43</f>
        <v>0</v>
      </c>
      <c r="M56" s="230">
        <f>'Service model charges'!M43</f>
        <v>0</v>
      </c>
      <c r="N56" s="230">
        <f>'Service model charges'!N43</f>
        <v>0</v>
      </c>
      <c r="O56" s="230">
        <f>'Service model charges'!O43</f>
        <v>0</v>
      </c>
      <c r="P56" s="230">
        <f>'Service model charges'!P43</f>
        <v>126.99377480279705</v>
      </c>
      <c r="Q56" s="203"/>
      <c r="R56" s="230">
        <f>'Service model charges'!R43</f>
        <v>0</v>
      </c>
      <c r="S56" s="230">
        <f>'Service model charges'!S43</f>
        <v>0</v>
      </c>
      <c r="T56" s="230">
        <f>'Service model charges'!T43</f>
        <v>0</v>
      </c>
      <c r="U56" s="230">
        <f>'Service model charges'!U43</f>
        <v>0</v>
      </c>
      <c r="V56" s="230">
        <f>'Service model charges'!V43</f>
        <v>0</v>
      </c>
      <c r="W56" s="230">
        <f>'Service model charges'!W43</f>
        <v>0</v>
      </c>
      <c r="X56" s="230">
        <f>'Service model charges'!X43</f>
        <v>92.733244183596881</v>
      </c>
      <c r="Y56" s="230">
        <f>'Service model charges'!Y43</f>
        <v>92.733244183596881</v>
      </c>
    </row>
    <row r="57" spans="3:27" x14ac:dyDescent="0.25">
      <c r="C57" s="76"/>
      <c r="D57"/>
      <c r="F57" s="84"/>
    </row>
    <row r="58" spans="3:27" x14ac:dyDescent="0.25">
      <c r="C58" s="5" t="str">
        <f ca="1">INDEX('Version control'!$H$36:$H$62,MATCH($A$1,'Version control'!$F$36:$F$62,0),1)&amp;"-D: Flags"</f>
        <v>Section 517-D: Flags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</row>
    <row r="59" spans="3:27" x14ac:dyDescent="0.25">
      <c r="C59" s="52"/>
      <c r="D59"/>
      <c r="E59"/>
    </row>
    <row r="60" spans="3:27" x14ac:dyDescent="0.25">
      <c r="D60" s="73" t="s">
        <v>403</v>
      </c>
      <c r="E60"/>
    </row>
    <row r="61" spans="3:27" x14ac:dyDescent="0.25">
      <c r="D61" s="73" t="s">
        <v>741</v>
      </c>
      <c r="E61"/>
    </row>
    <row r="62" spans="3:27" x14ac:dyDescent="0.25">
      <c r="D62" s="73"/>
      <c r="E62"/>
    </row>
    <row r="63" spans="3:27" x14ac:dyDescent="0.25">
      <c r="E63" t="s">
        <v>310</v>
      </c>
      <c r="G63" t="s">
        <v>426</v>
      </c>
      <c r="I63" t="s">
        <v>359</v>
      </c>
      <c r="J63" s="327">
        <f>'Fixed inputs'!J145</f>
        <v>1</v>
      </c>
      <c r="K63" s="327">
        <f>'Fixed inputs'!K145</f>
        <v>0</v>
      </c>
      <c r="L63" s="327">
        <f>'Fixed inputs'!L145</f>
        <v>1</v>
      </c>
      <c r="M63" s="327">
        <f>'Fixed inputs'!M145</f>
        <v>0</v>
      </c>
      <c r="N63" s="327">
        <f>'Fixed inputs'!N145</f>
        <v>0</v>
      </c>
      <c r="O63" s="327">
        <f>'Fixed inputs'!O145</f>
        <v>0</v>
      </c>
      <c r="P63" s="327">
        <f>'Fixed inputs'!P145</f>
        <v>0</v>
      </c>
      <c r="Q63" s="327">
        <f>'Fixed inputs'!Q145</f>
        <v>0</v>
      </c>
      <c r="R63" s="327">
        <f>'Fixed inputs'!R145</f>
        <v>0</v>
      </c>
      <c r="S63" s="327">
        <f>'Fixed inputs'!S145</f>
        <v>0</v>
      </c>
      <c r="T63" s="327">
        <f>'Fixed inputs'!T145</f>
        <v>0</v>
      </c>
      <c r="U63" s="327">
        <f>'Fixed inputs'!U145</f>
        <v>0</v>
      </c>
      <c r="V63" s="327">
        <f>'Fixed inputs'!V145</f>
        <v>0</v>
      </c>
      <c r="W63" s="327">
        <f>'Fixed inputs'!W145</f>
        <v>0</v>
      </c>
      <c r="X63" s="327">
        <f>'Fixed inputs'!X145</f>
        <v>0</v>
      </c>
      <c r="Y63" s="327">
        <f>'Fixed inputs'!Y145</f>
        <v>0</v>
      </c>
      <c r="AA63" t="s">
        <v>827</v>
      </c>
    </row>
    <row r="65" spans="2:27" x14ac:dyDescent="0.25">
      <c r="B65" s="82" t="s">
        <v>406</v>
      </c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</row>
    <row r="66" spans="2:27" x14ac:dyDescent="0.25"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</row>
    <row r="67" spans="2:27" x14ac:dyDescent="0.25">
      <c r="C67" s="5" t="str">
        <f ca="1">INDEX('Version control'!$H$36:$H$62,MATCH($A$1,'Version control'!$F$36:$F$62,0),1)&amp;"-E: Revenue allocated to fixed charges"</f>
        <v>Section 517-E: Revenue allocated to fixed charges</v>
      </c>
      <c r="D67" s="5"/>
      <c r="E67" s="5"/>
      <c r="F67" s="5"/>
      <c r="G67" s="5"/>
      <c r="H67" s="5"/>
      <c r="I67" s="5"/>
      <c r="J67" s="205"/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5"/>
      <c r="Z67" s="5"/>
      <c r="AA67" s="5"/>
    </row>
    <row r="68" spans="2:27" x14ac:dyDescent="0.25">
      <c r="D68"/>
      <c r="E68" s="52"/>
      <c r="I68" t="s">
        <v>359</v>
      </c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AA68" t="s">
        <v>827</v>
      </c>
    </row>
    <row r="69" spans="2:27" x14ac:dyDescent="0.25">
      <c r="C69" s="76"/>
      <c r="D69"/>
      <c r="E69" s="52" t="s">
        <v>139</v>
      </c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</row>
    <row r="70" spans="2:27" x14ac:dyDescent="0.25">
      <c r="C70" s="76"/>
      <c r="D70"/>
      <c r="E70" s="73"/>
      <c r="F70" s="80" t="s">
        <v>267</v>
      </c>
      <c r="G70" s="80" t="s">
        <v>510</v>
      </c>
      <c r="H70" s="80"/>
      <c r="I70" s="80"/>
      <c r="J70" s="201"/>
      <c r="K70" s="201"/>
      <c r="L70" s="201"/>
      <c r="M70" s="201"/>
      <c r="N70" s="201"/>
      <c r="O70" s="201"/>
      <c r="P70" s="201"/>
      <c r="Q70" s="201"/>
      <c r="R70" s="201"/>
      <c r="S70" s="201"/>
      <c r="T70" s="201"/>
      <c r="U70" s="201"/>
      <c r="V70" s="201"/>
      <c r="W70" s="201"/>
      <c r="X70" s="201"/>
      <c r="Y70" s="201"/>
    </row>
    <row r="71" spans="2:27" x14ac:dyDescent="0.25">
      <c r="C71" s="76"/>
      <c r="D71"/>
      <c r="E71" s="73"/>
      <c r="F71" t="s">
        <v>43</v>
      </c>
      <c r="G71" t="s">
        <v>510</v>
      </c>
      <c r="J71" s="234"/>
      <c r="K71" s="234"/>
      <c r="L71" s="234"/>
      <c r="M71" s="234"/>
      <c r="N71" s="234"/>
      <c r="O71" s="234"/>
      <c r="P71" s="234"/>
      <c r="Q71" s="234"/>
      <c r="R71" s="234"/>
      <c r="S71" s="234"/>
      <c r="T71" s="234"/>
      <c r="U71" s="234"/>
      <c r="V71" s="234"/>
      <c r="W71" s="234"/>
      <c r="X71" s="234"/>
      <c r="Y71" s="234"/>
    </row>
    <row r="72" spans="2:27" x14ac:dyDescent="0.25">
      <c r="C72" s="76"/>
      <c r="D72"/>
      <c r="E72" s="73"/>
      <c r="F72" t="s">
        <v>44</v>
      </c>
      <c r="G72" t="s">
        <v>510</v>
      </c>
      <c r="J72" s="231">
        <f t="shared" ref="J72:K72" si="0">J$20 * J27 * thousand / PowerFactor</f>
        <v>0</v>
      </c>
      <c r="K72" s="231">
        <f t="shared" si="0"/>
        <v>0</v>
      </c>
      <c r="L72" s="231">
        <f t="shared" ref="L72:M72" si="1">L$20 * L27 * thousand / PowerFactor</f>
        <v>0</v>
      </c>
      <c r="M72" s="231">
        <f t="shared" si="1"/>
        <v>0</v>
      </c>
      <c r="N72" s="231">
        <f t="shared" ref="N72:P72" si="2">N$20 * N27 * thousand / PowerFactor</f>
        <v>0</v>
      </c>
      <c r="O72" s="231">
        <f t="shared" si="2"/>
        <v>0</v>
      </c>
      <c r="P72" s="231">
        <f t="shared" si="2"/>
        <v>0</v>
      </c>
      <c r="Q72" s="231">
        <f t="shared" ref="Q72:S72" si="3">Q$20 * Q27 * thousand / PowerFactor</f>
        <v>0</v>
      </c>
      <c r="R72" s="231">
        <f t="shared" si="3"/>
        <v>0</v>
      </c>
      <c r="S72" s="231">
        <f t="shared" si="3"/>
        <v>0</v>
      </c>
      <c r="T72" s="231">
        <f t="shared" ref="T72:U72" si="4">T$20 * T27 * thousand / PowerFactor</f>
        <v>0</v>
      </c>
      <c r="U72" s="231">
        <f t="shared" si="4"/>
        <v>0</v>
      </c>
      <c r="V72" s="231">
        <f t="shared" ref="V72:W72" si="5">V$20 * V27 * thousand / PowerFactor</f>
        <v>0</v>
      </c>
      <c r="W72" s="231">
        <f t="shared" si="5"/>
        <v>0</v>
      </c>
      <c r="X72" s="231">
        <f t="shared" ref="X72:Y72" si="6">X$20 * X27 * thousand / PowerFactor</f>
        <v>0</v>
      </c>
      <c r="Y72" s="231">
        <f t="shared" si="6"/>
        <v>0</v>
      </c>
    </row>
    <row r="73" spans="2:27" x14ac:dyDescent="0.25">
      <c r="C73" s="76"/>
      <c r="D73"/>
      <c r="E73" s="73"/>
      <c r="F73" t="s">
        <v>45</v>
      </c>
      <c r="G73" t="s">
        <v>510</v>
      </c>
      <c r="J73" s="231">
        <f t="shared" ref="J73:K73" si="7">J$20 * J28 * thousand / PowerFactor</f>
        <v>0</v>
      </c>
      <c r="K73" s="231">
        <f t="shared" si="7"/>
        <v>0</v>
      </c>
      <c r="L73" s="231">
        <f t="shared" ref="L73:M73" si="8">L$20 * L28 * thousand / PowerFactor</f>
        <v>0</v>
      </c>
      <c r="M73" s="231">
        <f t="shared" si="8"/>
        <v>0</v>
      </c>
      <c r="N73" s="231">
        <f t="shared" ref="N73:P73" si="9">N$20 * N28 * thousand / PowerFactor</f>
        <v>0</v>
      </c>
      <c r="O73" s="231">
        <f t="shared" si="9"/>
        <v>0</v>
      </c>
      <c r="P73" s="231">
        <f t="shared" si="9"/>
        <v>0</v>
      </c>
      <c r="Q73" s="231">
        <f t="shared" ref="Q73:S73" si="10">Q$20 * Q28 * thousand / PowerFactor</f>
        <v>0</v>
      </c>
      <c r="R73" s="231">
        <f t="shared" si="10"/>
        <v>0</v>
      </c>
      <c r="S73" s="231">
        <f t="shared" si="10"/>
        <v>0</v>
      </c>
      <c r="T73" s="231">
        <f t="shared" ref="T73:U73" si="11">T$20 * T28 * thousand / PowerFactor</f>
        <v>0</v>
      </c>
      <c r="U73" s="231">
        <f t="shared" si="11"/>
        <v>0</v>
      </c>
      <c r="V73" s="231">
        <f t="shared" ref="V73:W73" si="12">V$20 * V28 * thousand / PowerFactor</f>
        <v>0</v>
      </c>
      <c r="W73" s="231">
        <f t="shared" si="12"/>
        <v>0</v>
      </c>
      <c r="X73" s="231">
        <f t="shared" ref="X73:Y73" si="13">X$20 * X28 * thousand / PowerFactor</f>
        <v>0</v>
      </c>
      <c r="Y73" s="231">
        <f t="shared" si="13"/>
        <v>0</v>
      </c>
    </row>
    <row r="74" spans="2:27" x14ac:dyDescent="0.25">
      <c r="C74" s="76"/>
      <c r="D74"/>
      <c r="E74" s="73"/>
      <c r="F74" t="s">
        <v>46</v>
      </c>
      <c r="G74" t="s">
        <v>510</v>
      </c>
      <c r="J74" s="231">
        <f t="shared" ref="J74:K74" si="14">J$20 * J29 * thousand / PowerFactor</f>
        <v>0</v>
      </c>
      <c r="K74" s="231">
        <f t="shared" si="14"/>
        <v>0</v>
      </c>
      <c r="L74" s="231">
        <f t="shared" ref="L74:M74" si="15">L$20 * L29 * thousand / PowerFactor</f>
        <v>0</v>
      </c>
      <c r="M74" s="231">
        <f t="shared" si="15"/>
        <v>0</v>
      </c>
      <c r="N74" s="231">
        <f t="shared" ref="N74:P74" si="16">N$20 * N29 * thousand / PowerFactor</f>
        <v>0</v>
      </c>
      <c r="O74" s="231">
        <f t="shared" si="16"/>
        <v>0</v>
      </c>
      <c r="P74" s="231">
        <f t="shared" si="16"/>
        <v>0</v>
      </c>
      <c r="Q74" s="231">
        <f t="shared" ref="Q74:S74" si="17">Q$20 * Q29 * thousand / PowerFactor</f>
        <v>0</v>
      </c>
      <c r="R74" s="231">
        <f t="shared" si="17"/>
        <v>0</v>
      </c>
      <c r="S74" s="231">
        <f t="shared" si="17"/>
        <v>0</v>
      </c>
      <c r="T74" s="231">
        <f t="shared" ref="T74:U74" si="18">T$20 * T29 * thousand / PowerFactor</f>
        <v>0</v>
      </c>
      <c r="U74" s="231">
        <f t="shared" si="18"/>
        <v>0</v>
      </c>
      <c r="V74" s="231">
        <f t="shared" ref="V74:W74" si="19">V$20 * V29 * thousand / PowerFactor</f>
        <v>0</v>
      </c>
      <c r="W74" s="231">
        <f t="shared" si="19"/>
        <v>0</v>
      </c>
      <c r="X74" s="231">
        <f t="shared" ref="X74:Y74" si="20">X$20 * X29 * thousand / PowerFactor</f>
        <v>0</v>
      </c>
      <c r="Y74" s="231">
        <f t="shared" si="20"/>
        <v>0</v>
      </c>
    </row>
    <row r="75" spans="2:27" x14ac:dyDescent="0.25">
      <c r="C75" s="76"/>
      <c r="D75"/>
      <c r="E75" s="73"/>
      <c r="F75" t="s">
        <v>47</v>
      </c>
      <c r="G75" t="s">
        <v>510</v>
      </c>
      <c r="J75" s="231">
        <f t="shared" ref="J75:K75" si="21">J$20 * J30 * thousand / PowerFactor</f>
        <v>0</v>
      </c>
      <c r="K75" s="231">
        <f t="shared" si="21"/>
        <v>0</v>
      </c>
      <c r="L75" s="231">
        <f t="shared" ref="L75:M75" si="22">L$20 * L30 * thousand / PowerFactor</f>
        <v>0</v>
      </c>
      <c r="M75" s="231">
        <f t="shared" si="22"/>
        <v>0</v>
      </c>
      <c r="N75" s="231">
        <f t="shared" ref="N75:P75" si="23">N$20 * N30 * thousand / PowerFactor</f>
        <v>0</v>
      </c>
      <c r="O75" s="231">
        <f t="shared" si="23"/>
        <v>0</v>
      </c>
      <c r="P75" s="231">
        <f t="shared" si="23"/>
        <v>0</v>
      </c>
      <c r="Q75" s="231">
        <f t="shared" ref="Q75:S75" si="24">Q$20 * Q30 * thousand / PowerFactor</f>
        <v>0</v>
      </c>
      <c r="R75" s="231">
        <f t="shared" si="24"/>
        <v>0</v>
      </c>
      <c r="S75" s="231">
        <f t="shared" si="24"/>
        <v>0</v>
      </c>
      <c r="T75" s="231">
        <f t="shared" ref="T75:U75" si="25">T$20 * T30 * thousand / PowerFactor</f>
        <v>0</v>
      </c>
      <c r="U75" s="231">
        <f t="shared" si="25"/>
        <v>0</v>
      </c>
      <c r="V75" s="231">
        <f t="shared" ref="V75:W75" si="26">V$20 * V30 * thousand / PowerFactor</f>
        <v>0</v>
      </c>
      <c r="W75" s="231">
        <f t="shared" si="26"/>
        <v>0</v>
      </c>
      <c r="X75" s="231">
        <f t="shared" ref="X75:Y75" si="27">X$20 * X30 * thousand / PowerFactor</f>
        <v>0</v>
      </c>
      <c r="Y75" s="231">
        <f t="shared" si="27"/>
        <v>0</v>
      </c>
    </row>
    <row r="76" spans="2:27" x14ac:dyDescent="0.25">
      <c r="C76" s="76"/>
      <c r="D76"/>
      <c r="E76" s="73"/>
      <c r="F76" t="s">
        <v>51</v>
      </c>
      <c r="G76" t="s">
        <v>510</v>
      </c>
      <c r="J76" s="231">
        <f t="shared" ref="J76:K76" si="28">J$20 * J31 * thousand / PowerFactor</f>
        <v>0</v>
      </c>
      <c r="K76" s="231">
        <f t="shared" si="28"/>
        <v>0</v>
      </c>
      <c r="L76" s="231">
        <f t="shared" ref="L76:M76" si="29">L$20 * L31 * thousand / PowerFactor</f>
        <v>0</v>
      </c>
      <c r="M76" s="231">
        <f t="shared" si="29"/>
        <v>0</v>
      </c>
      <c r="N76" s="231">
        <f t="shared" ref="N76:P76" si="30">N$20 * N31 * thousand / PowerFactor</f>
        <v>0</v>
      </c>
      <c r="O76" s="231">
        <f t="shared" si="30"/>
        <v>0</v>
      </c>
      <c r="P76" s="231">
        <f t="shared" si="30"/>
        <v>0</v>
      </c>
      <c r="Q76" s="231">
        <f t="shared" ref="Q76:S76" si="31">Q$20 * Q31 * thousand / PowerFactor</f>
        <v>0</v>
      </c>
      <c r="R76" s="231">
        <f t="shared" si="31"/>
        <v>0</v>
      </c>
      <c r="S76" s="231">
        <f t="shared" si="31"/>
        <v>0</v>
      </c>
      <c r="T76" s="231">
        <f t="shared" ref="T76:U76" si="32">T$20 * T31 * thousand / PowerFactor</f>
        <v>0</v>
      </c>
      <c r="U76" s="231">
        <f t="shared" si="32"/>
        <v>0</v>
      </c>
      <c r="V76" s="231">
        <f t="shared" ref="V76:W76" si="33">V$20 * V31 * thousand / PowerFactor</f>
        <v>0</v>
      </c>
      <c r="W76" s="231">
        <f t="shared" si="33"/>
        <v>0</v>
      </c>
      <c r="X76" s="231">
        <f t="shared" ref="X76:Y76" si="34">X$20 * X31 * thousand / PowerFactor</f>
        <v>0</v>
      </c>
      <c r="Y76" s="231">
        <f t="shared" si="34"/>
        <v>0</v>
      </c>
    </row>
    <row r="77" spans="2:27" x14ac:dyDescent="0.25">
      <c r="C77" s="76"/>
      <c r="D77"/>
      <c r="E77" s="73"/>
      <c r="F77" t="s">
        <v>48</v>
      </c>
      <c r="G77" t="s">
        <v>510</v>
      </c>
      <c r="J77" s="231">
        <f t="shared" ref="J77:K77" si="35">J$20 * J32 * thousand / PowerFactor</f>
        <v>0</v>
      </c>
      <c r="K77" s="231">
        <f t="shared" si="35"/>
        <v>0</v>
      </c>
      <c r="L77" s="231">
        <f t="shared" ref="L77:M77" si="36">L$20 * L32 * thousand / PowerFactor</f>
        <v>0</v>
      </c>
      <c r="M77" s="231">
        <f t="shared" si="36"/>
        <v>0</v>
      </c>
      <c r="N77" s="231">
        <f t="shared" ref="N77:P77" si="37">N$20 * N32 * thousand / PowerFactor</f>
        <v>0</v>
      </c>
      <c r="O77" s="231">
        <f t="shared" si="37"/>
        <v>0</v>
      </c>
      <c r="P77" s="231">
        <f t="shared" si="37"/>
        <v>0</v>
      </c>
      <c r="Q77" s="231">
        <f t="shared" ref="Q77:S77" si="38">Q$20 * Q32 * thousand / PowerFactor</f>
        <v>0</v>
      </c>
      <c r="R77" s="231">
        <f t="shared" si="38"/>
        <v>0</v>
      </c>
      <c r="S77" s="231">
        <f t="shared" si="38"/>
        <v>0</v>
      </c>
      <c r="T77" s="231">
        <f t="shared" ref="T77:U77" si="39">T$20 * T32 * thousand / PowerFactor</f>
        <v>0</v>
      </c>
      <c r="U77" s="231">
        <f t="shared" si="39"/>
        <v>0</v>
      </c>
      <c r="V77" s="231">
        <f t="shared" ref="V77:W77" si="40">V$20 * V32 * thousand / PowerFactor</f>
        <v>0</v>
      </c>
      <c r="W77" s="231">
        <f t="shared" si="40"/>
        <v>0</v>
      </c>
      <c r="X77" s="231">
        <f t="shared" ref="X77:Y77" si="41">X$20 * X32 * thousand / PowerFactor</f>
        <v>0</v>
      </c>
      <c r="Y77" s="231">
        <f t="shared" si="41"/>
        <v>0</v>
      </c>
    </row>
    <row r="78" spans="2:27" x14ac:dyDescent="0.25">
      <c r="C78" s="76"/>
      <c r="D78"/>
      <c r="E78" s="73"/>
      <c r="F78" t="s">
        <v>49</v>
      </c>
      <c r="G78" t="s">
        <v>510</v>
      </c>
      <c r="J78" s="231">
        <f t="shared" ref="J78:K78" si="42">J$20 * J33 * thousand / PowerFactor</f>
        <v>0</v>
      </c>
      <c r="K78" s="231">
        <f t="shared" si="42"/>
        <v>0</v>
      </c>
      <c r="L78" s="231">
        <f t="shared" ref="L78:M78" si="43">L$20 * L33 * thousand / PowerFactor</f>
        <v>0</v>
      </c>
      <c r="M78" s="231">
        <f t="shared" si="43"/>
        <v>0</v>
      </c>
      <c r="N78" s="231">
        <f t="shared" ref="N78:P78" si="44">N$20 * N33 * thousand / PowerFactor</f>
        <v>0</v>
      </c>
      <c r="O78" s="231">
        <f t="shared" si="44"/>
        <v>0</v>
      </c>
      <c r="P78" s="231">
        <f t="shared" si="44"/>
        <v>0</v>
      </c>
      <c r="Q78" s="231">
        <f t="shared" ref="Q78:S78" si="45">Q$20 * Q33 * thousand / PowerFactor</f>
        <v>0</v>
      </c>
      <c r="R78" s="231">
        <f t="shared" si="45"/>
        <v>0</v>
      </c>
      <c r="S78" s="231">
        <f t="shared" si="45"/>
        <v>0</v>
      </c>
      <c r="T78" s="231">
        <f t="shared" ref="T78:U78" si="46">T$20 * T33 * thousand / PowerFactor</f>
        <v>0</v>
      </c>
      <c r="U78" s="231">
        <f t="shared" si="46"/>
        <v>0</v>
      </c>
      <c r="V78" s="231">
        <f t="shared" ref="V78:W78" si="47">V$20 * V33 * thousand / PowerFactor</f>
        <v>0</v>
      </c>
      <c r="W78" s="231">
        <f t="shared" si="47"/>
        <v>0</v>
      </c>
      <c r="X78" s="231">
        <f t="shared" ref="X78:Y78" si="48">X$20 * X33 * thousand / PowerFactor</f>
        <v>0</v>
      </c>
      <c r="Y78" s="231">
        <f t="shared" si="48"/>
        <v>0</v>
      </c>
    </row>
    <row r="79" spans="2:27" x14ac:dyDescent="0.25">
      <c r="C79" s="76"/>
      <c r="D79"/>
      <c r="E79" s="73"/>
      <c r="F79" t="s">
        <v>50</v>
      </c>
      <c r="G79" t="s">
        <v>510</v>
      </c>
      <c r="J79" s="231">
        <f t="shared" ref="J79:K79" si="49">J$20 * J34 * thousand / PowerFactor</f>
        <v>123717.65606899868</v>
      </c>
      <c r="K79" s="231">
        <f t="shared" si="49"/>
        <v>0</v>
      </c>
      <c r="L79" s="231">
        <f t="shared" ref="L79:M79" si="50">L$20 * L34 * thousand / PowerFactor</f>
        <v>48789.891704949543</v>
      </c>
      <c r="M79" s="231">
        <f t="shared" si="50"/>
        <v>0</v>
      </c>
      <c r="N79" s="231">
        <f t="shared" ref="N79:P79" si="51">N$20 * N34 * thousand / PowerFactor</f>
        <v>0</v>
      </c>
      <c r="O79" s="231">
        <f t="shared" si="51"/>
        <v>0</v>
      </c>
      <c r="P79" s="231">
        <f t="shared" si="51"/>
        <v>0</v>
      </c>
      <c r="Q79" s="231">
        <f t="shared" ref="Q79:S79" si="52">Q$20 * Q34 * thousand / PowerFactor</f>
        <v>0</v>
      </c>
      <c r="R79" s="231">
        <f t="shared" si="52"/>
        <v>0</v>
      </c>
      <c r="S79" s="231">
        <f t="shared" si="52"/>
        <v>0</v>
      </c>
      <c r="T79" s="231">
        <f t="shared" ref="T79:U79" si="53">T$20 * T34 * thousand / PowerFactor</f>
        <v>0</v>
      </c>
      <c r="U79" s="231">
        <f t="shared" si="53"/>
        <v>0</v>
      </c>
      <c r="V79" s="231">
        <f t="shared" ref="V79:W79" si="54">V$20 * V34 * thousand / PowerFactor</f>
        <v>0</v>
      </c>
      <c r="W79" s="231">
        <f t="shared" si="54"/>
        <v>0</v>
      </c>
      <c r="X79" s="231">
        <f t="shared" ref="X79:Y79" si="55">X$20 * X34 * thousand / PowerFactor</f>
        <v>0</v>
      </c>
      <c r="Y79" s="231">
        <f t="shared" si="55"/>
        <v>0</v>
      </c>
    </row>
    <row r="80" spans="2:27" x14ac:dyDescent="0.25">
      <c r="C80" s="76"/>
      <c r="D80"/>
      <c r="E80" s="73"/>
      <c r="F80" t="s">
        <v>124</v>
      </c>
      <c r="G80" t="s">
        <v>510</v>
      </c>
      <c r="J80" s="234"/>
      <c r="K80" s="234"/>
      <c r="L80" s="234"/>
      <c r="M80" s="234"/>
      <c r="N80" s="234"/>
      <c r="O80" s="234"/>
      <c r="P80" s="234"/>
      <c r="Q80" s="234"/>
      <c r="R80" s="234"/>
      <c r="S80" s="234"/>
      <c r="T80" s="234"/>
      <c r="U80" s="234"/>
      <c r="V80" s="234"/>
      <c r="W80" s="234"/>
      <c r="X80" s="234"/>
      <c r="Y80" s="234"/>
    </row>
    <row r="81" spans="3:25" x14ac:dyDescent="0.25">
      <c r="C81" s="76"/>
      <c r="D81"/>
      <c r="E81" s="73"/>
      <c r="F81" s="17" t="s">
        <v>123</v>
      </c>
      <c r="G81" s="17" t="s">
        <v>510</v>
      </c>
      <c r="H81" s="17"/>
      <c r="I81" s="17"/>
      <c r="J81" s="203"/>
      <c r="K81" s="203"/>
      <c r="L81" s="203"/>
      <c r="M81" s="203"/>
      <c r="N81" s="203"/>
      <c r="O81" s="203"/>
      <c r="P81" s="203"/>
      <c r="Q81" s="203"/>
      <c r="R81" s="203"/>
      <c r="S81" s="203"/>
      <c r="T81" s="203"/>
      <c r="U81" s="203"/>
      <c r="V81" s="203"/>
      <c r="W81" s="203"/>
      <c r="X81" s="203"/>
      <c r="Y81" s="203"/>
    </row>
    <row r="82" spans="3:25" x14ac:dyDescent="0.25">
      <c r="C82" s="76"/>
      <c r="D82"/>
      <c r="E82" s="73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</row>
    <row r="83" spans="3:25" x14ac:dyDescent="0.25">
      <c r="C83" s="76"/>
      <c r="D83"/>
      <c r="E83" s="52" t="s">
        <v>116</v>
      </c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</row>
    <row r="84" spans="3:25" x14ac:dyDescent="0.25">
      <c r="C84" s="76"/>
      <c r="D84"/>
      <c r="F84" s="80" t="s">
        <v>267</v>
      </c>
      <c r="G84" s="80" t="s">
        <v>510</v>
      </c>
      <c r="H84" s="80"/>
      <c r="I84" s="80"/>
      <c r="J84" s="224">
        <f t="shared" ref="J84:K84" si="56">J$20 * J39 * thousand / PowerFactor</f>
        <v>0</v>
      </c>
      <c r="K84" s="224">
        <f t="shared" si="56"/>
        <v>0</v>
      </c>
      <c r="L84" s="224">
        <f t="shared" ref="L84:M84" si="57">L$20 * L39 * thousand / PowerFactor</f>
        <v>0</v>
      </c>
      <c r="M84" s="224">
        <f t="shared" si="57"/>
        <v>0</v>
      </c>
      <c r="N84" s="224">
        <f t="shared" ref="N84:P84" si="58">N$20 * N39 * thousand / PowerFactor</f>
        <v>0</v>
      </c>
      <c r="O84" s="224">
        <f t="shared" si="58"/>
        <v>0</v>
      </c>
      <c r="P84" s="224">
        <f t="shared" si="58"/>
        <v>0</v>
      </c>
      <c r="Q84" s="224">
        <f t="shared" ref="Q84:S84" si="59">Q$20 * Q39 * thousand / PowerFactor</f>
        <v>0</v>
      </c>
      <c r="R84" s="224">
        <f t="shared" si="59"/>
        <v>0</v>
      </c>
      <c r="S84" s="224">
        <f t="shared" si="59"/>
        <v>0</v>
      </c>
      <c r="T84" s="224">
        <f t="shared" ref="T84:U84" si="60">T$20 * T39 * thousand / PowerFactor</f>
        <v>0</v>
      </c>
      <c r="U84" s="224">
        <f t="shared" si="60"/>
        <v>0</v>
      </c>
      <c r="V84" s="224">
        <f t="shared" ref="V84:W84" si="61">V$20 * V39 * thousand / PowerFactor</f>
        <v>0</v>
      </c>
      <c r="W84" s="224">
        <f t="shared" si="61"/>
        <v>0</v>
      </c>
      <c r="X84" s="224">
        <f t="shared" ref="X84:Y84" si="62">X$20 * X39 * thousand / PowerFactor</f>
        <v>0</v>
      </c>
      <c r="Y84" s="224">
        <f t="shared" si="62"/>
        <v>0</v>
      </c>
    </row>
    <row r="85" spans="3:25" x14ac:dyDescent="0.25">
      <c r="C85" s="76"/>
      <c r="D85"/>
      <c r="F85" t="s">
        <v>43</v>
      </c>
      <c r="G85" t="s">
        <v>510</v>
      </c>
      <c r="J85" s="231">
        <f t="shared" ref="J85:K85" si="63">J$20 * J40 * thousand / PowerFactor</f>
        <v>0</v>
      </c>
      <c r="K85" s="231">
        <f t="shared" si="63"/>
        <v>0</v>
      </c>
      <c r="L85" s="231">
        <f t="shared" ref="L85:M85" si="64">L$20 * L40 * thousand / PowerFactor</f>
        <v>0</v>
      </c>
      <c r="M85" s="231">
        <f t="shared" si="64"/>
        <v>0</v>
      </c>
      <c r="N85" s="231">
        <f t="shared" ref="N85:P85" si="65">N$20 * N40 * thousand / PowerFactor</f>
        <v>0</v>
      </c>
      <c r="O85" s="231">
        <f t="shared" si="65"/>
        <v>0</v>
      </c>
      <c r="P85" s="231">
        <f t="shared" si="65"/>
        <v>0</v>
      </c>
      <c r="Q85" s="231">
        <f t="shared" ref="Q85:S85" si="66">Q$20 * Q40 * thousand / PowerFactor</f>
        <v>0</v>
      </c>
      <c r="R85" s="231">
        <f t="shared" si="66"/>
        <v>0</v>
      </c>
      <c r="S85" s="231">
        <f t="shared" si="66"/>
        <v>0</v>
      </c>
      <c r="T85" s="231">
        <f t="shared" ref="T85:U85" si="67">T$20 * T40 * thousand / PowerFactor</f>
        <v>0</v>
      </c>
      <c r="U85" s="231">
        <f t="shared" si="67"/>
        <v>0</v>
      </c>
      <c r="V85" s="231">
        <f t="shared" ref="V85:W85" si="68">V$20 * V40 * thousand / PowerFactor</f>
        <v>0</v>
      </c>
      <c r="W85" s="231">
        <f t="shared" si="68"/>
        <v>0</v>
      </c>
      <c r="X85" s="231">
        <f t="shared" ref="X85:Y85" si="69">X$20 * X40 * thousand / PowerFactor</f>
        <v>0</v>
      </c>
      <c r="Y85" s="231">
        <f t="shared" si="69"/>
        <v>0</v>
      </c>
    </row>
    <row r="86" spans="3:25" x14ac:dyDescent="0.25">
      <c r="C86" s="76"/>
      <c r="D86"/>
      <c r="F86" t="s">
        <v>44</v>
      </c>
      <c r="G86" t="s">
        <v>510</v>
      </c>
      <c r="J86" s="231">
        <f t="shared" ref="J86:K86" si="70">J$20 * J41 * thousand / PowerFactor</f>
        <v>0</v>
      </c>
      <c r="K86" s="231">
        <f t="shared" si="70"/>
        <v>0</v>
      </c>
      <c r="L86" s="231">
        <f t="shared" ref="L86:M86" si="71">L$20 * L41 * thousand / PowerFactor</f>
        <v>0</v>
      </c>
      <c r="M86" s="231">
        <f t="shared" si="71"/>
        <v>0</v>
      </c>
      <c r="N86" s="231">
        <f t="shared" ref="N86:P86" si="72">N$20 * N41 * thousand / PowerFactor</f>
        <v>0</v>
      </c>
      <c r="O86" s="231">
        <f t="shared" si="72"/>
        <v>0</v>
      </c>
      <c r="P86" s="231">
        <f t="shared" si="72"/>
        <v>0</v>
      </c>
      <c r="Q86" s="231">
        <f t="shared" ref="Q86:S86" si="73">Q$20 * Q41 * thousand / PowerFactor</f>
        <v>0</v>
      </c>
      <c r="R86" s="231">
        <f t="shared" si="73"/>
        <v>0</v>
      </c>
      <c r="S86" s="231">
        <f t="shared" si="73"/>
        <v>0</v>
      </c>
      <c r="T86" s="231">
        <f t="shared" ref="T86:U86" si="74">T$20 * T41 * thousand / PowerFactor</f>
        <v>0</v>
      </c>
      <c r="U86" s="231">
        <f t="shared" si="74"/>
        <v>0</v>
      </c>
      <c r="V86" s="231">
        <f t="shared" ref="V86:W86" si="75">V$20 * V41 * thousand / PowerFactor</f>
        <v>0</v>
      </c>
      <c r="W86" s="231">
        <f t="shared" si="75"/>
        <v>0</v>
      </c>
      <c r="X86" s="231">
        <f t="shared" ref="X86:Y86" si="76">X$20 * X41 * thousand / PowerFactor</f>
        <v>0</v>
      </c>
      <c r="Y86" s="231">
        <f t="shared" si="76"/>
        <v>0</v>
      </c>
    </row>
    <row r="87" spans="3:25" x14ac:dyDescent="0.25">
      <c r="C87" s="76"/>
      <c r="D87"/>
      <c r="F87" t="s">
        <v>45</v>
      </c>
      <c r="G87" t="s">
        <v>510</v>
      </c>
      <c r="J87" s="231">
        <f t="shared" ref="J87:K87" si="77">J$20 * J42 * thousand / PowerFactor</f>
        <v>0</v>
      </c>
      <c r="K87" s="231">
        <f t="shared" si="77"/>
        <v>0</v>
      </c>
      <c r="L87" s="231">
        <f t="shared" ref="L87:M87" si="78">L$20 * L42 * thousand / PowerFactor</f>
        <v>0</v>
      </c>
      <c r="M87" s="231">
        <f t="shared" si="78"/>
        <v>0</v>
      </c>
      <c r="N87" s="231">
        <f t="shared" ref="N87:P87" si="79">N$20 * N42 * thousand / PowerFactor</f>
        <v>0</v>
      </c>
      <c r="O87" s="231">
        <f t="shared" si="79"/>
        <v>0</v>
      </c>
      <c r="P87" s="231">
        <f t="shared" si="79"/>
        <v>0</v>
      </c>
      <c r="Q87" s="231">
        <f t="shared" ref="Q87:S87" si="80">Q$20 * Q42 * thousand / PowerFactor</f>
        <v>0</v>
      </c>
      <c r="R87" s="231">
        <f t="shared" si="80"/>
        <v>0</v>
      </c>
      <c r="S87" s="231">
        <f t="shared" si="80"/>
        <v>0</v>
      </c>
      <c r="T87" s="231">
        <f t="shared" ref="T87:U87" si="81">T$20 * T42 * thousand / PowerFactor</f>
        <v>0</v>
      </c>
      <c r="U87" s="231">
        <f t="shared" si="81"/>
        <v>0</v>
      </c>
      <c r="V87" s="231">
        <f t="shared" ref="V87:W87" si="82">V$20 * V42 * thousand / PowerFactor</f>
        <v>0</v>
      </c>
      <c r="W87" s="231">
        <f t="shared" si="82"/>
        <v>0</v>
      </c>
      <c r="X87" s="231">
        <f t="shared" ref="X87:Y87" si="83">X$20 * X42 * thousand / PowerFactor</f>
        <v>0</v>
      </c>
      <c r="Y87" s="231">
        <f t="shared" si="83"/>
        <v>0</v>
      </c>
    </row>
    <row r="88" spans="3:25" x14ac:dyDescent="0.25">
      <c r="C88" s="76"/>
      <c r="D88"/>
      <c r="F88" t="s">
        <v>46</v>
      </c>
      <c r="G88" t="s">
        <v>510</v>
      </c>
      <c r="J88" s="231">
        <f t="shared" ref="J88:K88" si="84">J$20 * J43 * thousand / PowerFactor</f>
        <v>0</v>
      </c>
      <c r="K88" s="231">
        <f t="shared" si="84"/>
        <v>0</v>
      </c>
      <c r="L88" s="231">
        <f t="shared" ref="L88:M88" si="85">L$20 * L43 * thousand / PowerFactor</f>
        <v>0</v>
      </c>
      <c r="M88" s="231">
        <f t="shared" si="85"/>
        <v>0</v>
      </c>
      <c r="N88" s="231">
        <f t="shared" ref="N88:P88" si="86">N$20 * N43 * thousand / PowerFactor</f>
        <v>0</v>
      </c>
      <c r="O88" s="231">
        <f t="shared" si="86"/>
        <v>0</v>
      </c>
      <c r="P88" s="231">
        <f t="shared" si="86"/>
        <v>0</v>
      </c>
      <c r="Q88" s="231">
        <f t="shared" ref="Q88:S88" si="87">Q$20 * Q43 * thousand / PowerFactor</f>
        <v>0</v>
      </c>
      <c r="R88" s="231">
        <f t="shared" si="87"/>
        <v>0</v>
      </c>
      <c r="S88" s="231">
        <f t="shared" si="87"/>
        <v>0</v>
      </c>
      <c r="T88" s="231">
        <f t="shared" ref="T88:U88" si="88">T$20 * T43 * thousand / PowerFactor</f>
        <v>0</v>
      </c>
      <c r="U88" s="231">
        <f t="shared" si="88"/>
        <v>0</v>
      </c>
      <c r="V88" s="231">
        <f t="shared" ref="V88:W88" si="89">V$20 * V43 * thousand / PowerFactor</f>
        <v>0</v>
      </c>
      <c r="W88" s="231">
        <f t="shared" si="89"/>
        <v>0</v>
      </c>
      <c r="X88" s="231">
        <f t="shared" ref="X88:Y88" si="90">X$20 * X43 * thousand / PowerFactor</f>
        <v>0</v>
      </c>
      <c r="Y88" s="231">
        <f t="shared" si="90"/>
        <v>0</v>
      </c>
    </row>
    <row r="89" spans="3:25" x14ac:dyDescent="0.25">
      <c r="C89" s="76"/>
      <c r="D89"/>
      <c r="F89" t="s">
        <v>47</v>
      </c>
      <c r="G89" t="s">
        <v>510</v>
      </c>
      <c r="J89" s="231">
        <f t="shared" ref="J89:K89" si="91">J$20 * J44 * thousand / PowerFactor</f>
        <v>0</v>
      </c>
      <c r="K89" s="231">
        <f t="shared" si="91"/>
        <v>0</v>
      </c>
      <c r="L89" s="231">
        <f t="shared" ref="L89:M89" si="92">L$20 * L44 * thousand / PowerFactor</f>
        <v>0</v>
      </c>
      <c r="M89" s="231">
        <f t="shared" si="92"/>
        <v>0</v>
      </c>
      <c r="N89" s="231">
        <f t="shared" ref="N89:P89" si="93">N$20 * N44 * thousand / PowerFactor</f>
        <v>0</v>
      </c>
      <c r="O89" s="231">
        <f t="shared" si="93"/>
        <v>0</v>
      </c>
      <c r="P89" s="231">
        <f t="shared" si="93"/>
        <v>0</v>
      </c>
      <c r="Q89" s="231">
        <f t="shared" ref="Q89:S89" si="94">Q$20 * Q44 * thousand / PowerFactor</f>
        <v>0</v>
      </c>
      <c r="R89" s="231">
        <f t="shared" si="94"/>
        <v>0</v>
      </c>
      <c r="S89" s="231">
        <f t="shared" si="94"/>
        <v>0</v>
      </c>
      <c r="T89" s="231">
        <f t="shared" ref="T89:U89" si="95">T$20 * T44 * thousand / PowerFactor</f>
        <v>0</v>
      </c>
      <c r="U89" s="231">
        <f t="shared" si="95"/>
        <v>0</v>
      </c>
      <c r="V89" s="231">
        <f t="shared" ref="V89:W89" si="96">V$20 * V44 * thousand / PowerFactor</f>
        <v>0</v>
      </c>
      <c r="W89" s="231">
        <f t="shared" si="96"/>
        <v>0</v>
      </c>
      <c r="X89" s="231">
        <f t="shared" ref="X89:Y89" si="97">X$20 * X44 * thousand / PowerFactor</f>
        <v>0</v>
      </c>
      <c r="Y89" s="231">
        <f t="shared" si="97"/>
        <v>0</v>
      </c>
    </row>
    <row r="90" spans="3:25" x14ac:dyDescent="0.25">
      <c r="C90" s="76"/>
      <c r="D90"/>
      <c r="F90" t="s">
        <v>51</v>
      </c>
      <c r="G90" t="s">
        <v>510</v>
      </c>
      <c r="J90" s="231">
        <f t="shared" ref="J90:K90" si="98">J$20 * J45 * thousand / PowerFactor</f>
        <v>0</v>
      </c>
      <c r="K90" s="231">
        <f t="shared" si="98"/>
        <v>0</v>
      </c>
      <c r="L90" s="231">
        <f t="shared" ref="L90:M90" si="99">L$20 * L45 * thousand / PowerFactor</f>
        <v>0</v>
      </c>
      <c r="M90" s="231">
        <f t="shared" si="99"/>
        <v>0</v>
      </c>
      <c r="N90" s="231">
        <f t="shared" ref="N90:P90" si="100">N$20 * N45 * thousand / PowerFactor</f>
        <v>0</v>
      </c>
      <c r="O90" s="231">
        <f t="shared" si="100"/>
        <v>0</v>
      </c>
      <c r="P90" s="231">
        <f t="shared" si="100"/>
        <v>0</v>
      </c>
      <c r="Q90" s="231">
        <f t="shared" ref="Q90:S90" si="101">Q$20 * Q45 * thousand / PowerFactor</f>
        <v>0</v>
      </c>
      <c r="R90" s="231">
        <f t="shared" si="101"/>
        <v>0</v>
      </c>
      <c r="S90" s="231">
        <f t="shared" si="101"/>
        <v>0</v>
      </c>
      <c r="T90" s="231">
        <f t="shared" ref="T90:U90" si="102">T$20 * T45 * thousand / PowerFactor</f>
        <v>0</v>
      </c>
      <c r="U90" s="231">
        <f t="shared" si="102"/>
        <v>0</v>
      </c>
      <c r="V90" s="231">
        <f t="shared" ref="V90:W90" si="103">V$20 * V45 * thousand / PowerFactor</f>
        <v>0</v>
      </c>
      <c r="W90" s="231">
        <f t="shared" si="103"/>
        <v>0</v>
      </c>
      <c r="X90" s="231">
        <f t="shared" ref="X90:Y90" si="104">X$20 * X45 * thousand / PowerFactor</f>
        <v>0</v>
      </c>
      <c r="Y90" s="231">
        <f t="shared" si="104"/>
        <v>0</v>
      </c>
    </row>
    <row r="91" spans="3:25" x14ac:dyDescent="0.25">
      <c r="C91" s="76"/>
      <c r="D91"/>
      <c r="F91" t="s">
        <v>48</v>
      </c>
      <c r="G91" t="s">
        <v>510</v>
      </c>
      <c r="J91" s="231">
        <f t="shared" ref="J91:K91" si="105">J$20 * J46 * thousand / PowerFactor</f>
        <v>0</v>
      </c>
      <c r="K91" s="231">
        <f t="shared" si="105"/>
        <v>0</v>
      </c>
      <c r="L91" s="231">
        <f t="shared" ref="L91:M91" si="106">L$20 * L46 * thousand / PowerFactor</f>
        <v>0</v>
      </c>
      <c r="M91" s="231">
        <f t="shared" si="106"/>
        <v>0</v>
      </c>
      <c r="N91" s="231">
        <f t="shared" ref="N91:P91" si="107">N$20 * N46 * thousand / PowerFactor</f>
        <v>0</v>
      </c>
      <c r="O91" s="231">
        <f t="shared" si="107"/>
        <v>0</v>
      </c>
      <c r="P91" s="231">
        <f t="shared" si="107"/>
        <v>0</v>
      </c>
      <c r="Q91" s="231">
        <f t="shared" ref="Q91:S91" si="108">Q$20 * Q46 * thousand / PowerFactor</f>
        <v>0</v>
      </c>
      <c r="R91" s="231">
        <f t="shared" si="108"/>
        <v>0</v>
      </c>
      <c r="S91" s="231">
        <f t="shared" si="108"/>
        <v>0</v>
      </c>
      <c r="T91" s="231">
        <f t="shared" ref="T91:U91" si="109">T$20 * T46 * thousand / PowerFactor</f>
        <v>0</v>
      </c>
      <c r="U91" s="231">
        <f t="shared" si="109"/>
        <v>0</v>
      </c>
      <c r="V91" s="231">
        <f t="shared" ref="V91:W91" si="110">V$20 * V46 * thousand / PowerFactor</f>
        <v>0</v>
      </c>
      <c r="W91" s="231">
        <f t="shared" si="110"/>
        <v>0</v>
      </c>
      <c r="X91" s="231">
        <f t="shared" ref="X91:Y91" si="111">X$20 * X46 * thousand / PowerFactor</f>
        <v>0</v>
      </c>
      <c r="Y91" s="231">
        <f t="shared" si="111"/>
        <v>0</v>
      </c>
    </row>
    <row r="92" spans="3:25" x14ac:dyDescent="0.25">
      <c r="C92" s="76"/>
      <c r="D92"/>
      <c r="F92" t="s">
        <v>49</v>
      </c>
      <c r="G92" t="s">
        <v>510</v>
      </c>
      <c r="J92" s="231">
        <f t="shared" ref="J92:K92" si="112">J$20 * J47 * thousand / PowerFactor</f>
        <v>0</v>
      </c>
      <c r="K92" s="231">
        <f t="shared" si="112"/>
        <v>0</v>
      </c>
      <c r="L92" s="231">
        <f t="shared" ref="L92:M92" si="113">L$20 * L47 * thousand / PowerFactor</f>
        <v>0</v>
      </c>
      <c r="M92" s="231">
        <f t="shared" si="113"/>
        <v>0</v>
      </c>
      <c r="N92" s="231">
        <f t="shared" ref="N92:P92" si="114">N$20 * N47 * thousand / PowerFactor</f>
        <v>0</v>
      </c>
      <c r="O92" s="231">
        <f t="shared" si="114"/>
        <v>0</v>
      </c>
      <c r="P92" s="231">
        <f t="shared" si="114"/>
        <v>0</v>
      </c>
      <c r="Q92" s="231">
        <f t="shared" ref="Q92:S92" si="115">Q$20 * Q47 * thousand / PowerFactor</f>
        <v>0</v>
      </c>
      <c r="R92" s="231">
        <f t="shared" si="115"/>
        <v>0</v>
      </c>
      <c r="S92" s="231">
        <f t="shared" si="115"/>
        <v>0</v>
      </c>
      <c r="T92" s="231">
        <f t="shared" ref="T92:U92" si="116">T$20 * T47 * thousand / PowerFactor</f>
        <v>0</v>
      </c>
      <c r="U92" s="231">
        <f t="shared" si="116"/>
        <v>0</v>
      </c>
      <c r="V92" s="231">
        <f t="shared" ref="V92:W92" si="117">V$20 * V47 * thousand / PowerFactor</f>
        <v>0</v>
      </c>
      <c r="W92" s="231">
        <f t="shared" si="117"/>
        <v>0</v>
      </c>
      <c r="X92" s="231">
        <f t="shared" ref="X92:Y92" si="118">X$20 * X47 * thousand / PowerFactor</f>
        <v>0</v>
      </c>
      <c r="Y92" s="231">
        <f t="shared" si="118"/>
        <v>0</v>
      </c>
    </row>
    <row r="93" spans="3:25" x14ac:dyDescent="0.25">
      <c r="C93" s="76"/>
      <c r="D93"/>
      <c r="F93" t="s">
        <v>50</v>
      </c>
      <c r="G93" t="s">
        <v>510</v>
      </c>
      <c r="J93" s="231">
        <f t="shared" ref="J93:K93" si="119">J$20 * J48 * thousand / PowerFactor</f>
        <v>1216616.9615229978</v>
      </c>
      <c r="K93" s="231">
        <f t="shared" si="119"/>
        <v>0</v>
      </c>
      <c r="L93" s="231">
        <f t="shared" ref="L93:M93" si="120">L$20 * L48 * thousand / PowerFactor</f>
        <v>479790.93433524878</v>
      </c>
      <c r="M93" s="231">
        <f t="shared" si="120"/>
        <v>0</v>
      </c>
      <c r="N93" s="231">
        <f t="shared" ref="N93:P93" si="121">N$20 * N48 * thousand / PowerFactor</f>
        <v>0</v>
      </c>
      <c r="O93" s="231">
        <f t="shared" si="121"/>
        <v>0</v>
      </c>
      <c r="P93" s="231">
        <f t="shared" si="121"/>
        <v>0</v>
      </c>
      <c r="Q93" s="231">
        <f t="shared" ref="Q93:S93" si="122">Q$20 * Q48 * thousand / PowerFactor</f>
        <v>0</v>
      </c>
      <c r="R93" s="231">
        <f t="shared" si="122"/>
        <v>0</v>
      </c>
      <c r="S93" s="231">
        <f t="shared" si="122"/>
        <v>0</v>
      </c>
      <c r="T93" s="231">
        <f t="shared" ref="T93:U93" si="123">T$20 * T48 * thousand / PowerFactor</f>
        <v>0</v>
      </c>
      <c r="U93" s="231">
        <f t="shared" si="123"/>
        <v>0</v>
      </c>
      <c r="V93" s="231">
        <f t="shared" ref="V93:W93" si="124">V$20 * V48 * thousand / PowerFactor</f>
        <v>0</v>
      </c>
      <c r="W93" s="231">
        <f t="shared" si="124"/>
        <v>0</v>
      </c>
      <c r="X93" s="231">
        <f t="shared" ref="X93:Y93" si="125">X$20 * X48 * thousand / PowerFactor</f>
        <v>0</v>
      </c>
      <c r="Y93" s="231">
        <f t="shared" si="125"/>
        <v>0</v>
      </c>
    </row>
    <row r="94" spans="3:25" x14ac:dyDescent="0.25">
      <c r="C94" s="76"/>
      <c r="D94"/>
      <c r="F94" t="s">
        <v>124</v>
      </c>
      <c r="G94" t="s">
        <v>510</v>
      </c>
      <c r="J94" s="234"/>
      <c r="K94" s="234"/>
      <c r="L94" s="234"/>
      <c r="M94" s="234"/>
      <c r="N94" s="234"/>
      <c r="O94" s="234"/>
      <c r="P94" s="234"/>
      <c r="Q94" s="234"/>
      <c r="R94" s="234"/>
      <c r="S94" s="234"/>
      <c r="T94" s="234"/>
      <c r="U94" s="234"/>
      <c r="V94" s="234"/>
      <c r="W94" s="234"/>
      <c r="X94" s="234"/>
      <c r="Y94" s="234"/>
    </row>
    <row r="95" spans="3:25" x14ac:dyDescent="0.25">
      <c r="C95" s="76"/>
      <c r="D95"/>
      <c r="F95" s="17" t="s">
        <v>123</v>
      </c>
      <c r="G95" s="17" t="s">
        <v>510</v>
      </c>
      <c r="H95" s="17"/>
      <c r="I95" s="17"/>
      <c r="J95" s="203"/>
      <c r="K95" s="203"/>
      <c r="L95" s="203"/>
      <c r="M95" s="203"/>
      <c r="N95" s="203"/>
      <c r="O95" s="203"/>
      <c r="P95" s="203"/>
      <c r="Q95" s="203"/>
      <c r="R95" s="203"/>
      <c r="S95" s="203"/>
      <c r="T95" s="203"/>
      <c r="U95" s="203"/>
      <c r="V95" s="203"/>
      <c r="W95" s="203"/>
      <c r="X95" s="203"/>
      <c r="Y95" s="203"/>
    </row>
    <row r="96" spans="3:25" x14ac:dyDescent="0.25">
      <c r="C96" s="76"/>
      <c r="J96" s="211"/>
      <c r="K96" s="211"/>
      <c r="L96" s="211"/>
      <c r="M96" s="211"/>
      <c r="N96" s="211"/>
      <c r="O96" s="211"/>
      <c r="P96" s="211"/>
      <c r="Q96" s="211"/>
      <c r="R96" s="211"/>
      <c r="S96" s="211"/>
      <c r="T96" s="211"/>
      <c r="U96" s="211"/>
      <c r="V96" s="211"/>
      <c r="W96" s="211"/>
      <c r="X96" s="211"/>
      <c r="Y96" s="211"/>
    </row>
    <row r="97" spans="3:27" x14ac:dyDescent="0.25">
      <c r="C97" s="5" t="str">
        <f ca="1">INDEX('Version control'!$H$36:$H$62,MATCH($A$1,'Version control'!$F$36:$F$62,0),1)&amp;"-F: Revenue allocated to fixed charges, by aggregation group"</f>
        <v>Section 517-F: Revenue allocated to fixed charges, by aggregation group</v>
      </c>
      <c r="D97" s="5"/>
      <c r="E97" s="5"/>
      <c r="F97" s="5"/>
      <c r="G97" s="5"/>
      <c r="H97" s="5"/>
      <c r="I97" s="5"/>
      <c r="J97" s="205"/>
      <c r="K97" s="205"/>
      <c r="L97" s="205"/>
      <c r="M97" s="205"/>
      <c r="N97" s="205"/>
      <c r="O97" s="205"/>
      <c r="P97" s="205"/>
      <c r="Q97" s="205"/>
      <c r="R97" s="205"/>
      <c r="S97" s="205"/>
      <c r="T97" s="205"/>
      <c r="U97" s="205"/>
      <c r="V97" s="205"/>
      <c r="W97" s="205"/>
      <c r="X97" s="205"/>
      <c r="Y97" s="205"/>
      <c r="Z97" s="5"/>
      <c r="AA97" s="5"/>
    </row>
    <row r="98" spans="3:27" x14ac:dyDescent="0.25">
      <c r="D98"/>
      <c r="E98" s="52"/>
      <c r="I98" t="s">
        <v>359</v>
      </c>
      <c r="J98" s="211"/>
      <c r="K98" s="211"/>
      <c r="L98" s="211"/>
      <c r="M98" s="211"/>
      <c r="N98" s="211"/>
      <c r="O98" s="211"/>
      <c r="P98" s="211"/>
      <c r="Q98" s="211"/>
      <c r="R98" s="211"/>
      <c r="S98" s="211"/>
      <c r="T98" s="211"/>
      <c r="U98" s="211"/>
      <c r="V98" s="211"/>
      <c r="W98" s="211"/>
      <c r="X98" s="211"/>
      <c r="Y98" s="211"/>
      <c r="AA98" t="s">
        <v>827</v>
      </c>
    </row>
    <row r="99" spans="3:27" x14ac:dyDescent="0.25">
      <c r="C99" s="76"/>
      <c r="D99"/>
      <c r="E99" s="52" t="s">
        <v>139</v>
      </c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</row>
    <row r="100" spans="3:27" x14ac:dyDescent="0.25">
      <c r="C100" s="76"/>
      <c r="D100"/>
      <c r="E100" s="73"/>
      <c r="F100" s="80" t="s">
        <v>267</v>
      </c>
      <c r="G100" s="80" t="s">
        <v>510</v>
      </c>
      <c r="H100" s="80"/>
      <c r="I100" s="80"/>
      <c r="J100" s="201"/>
      <c r="K100" s="201"/>
      <c r="L100" s="201"/>
      <c r="M100" s="201"/>
      <c r="N100" s="201"/>
      <c r="O100" s="201"/>
      <c r="P100" s="201"/>
      <c r="Q100" s="201"/>
      <c r="R100" s="201"/>
      <c r="S100" s="201"/>
      <c r="T100" s="201"/>
      <c r="U100" s="201"/>
      <c r="V100" s="201"/>
      <c r="W100" s="201"/>
      <c r="X100" s="201"/>
      <c r="Y100" s="201"/>
    </row>
    <row r="101" spans="3:27" x14ac:dyDescent="0.25">
      <c r="C101" s="76"/>
      <c r="D101"/>
      <c r="E101" s="73"/>
      <c r="F101" t="s">
        <v>43</v>
      </c>
      <c r="G101" t="s">
        <v>510</v>
      </c>
      <c r="J101" s="234"/>
      <c r="K101" s="234"/>
      <c r="L101" s="234"/>
      <c r="M101" s="234"/>
      <c r="N101" s="234"/>
      <c r="O101" s="234"/>
      <c r="P101" s="234"/>
      <c r="Q101" s="234"/>
      <c r="R101" s="234"/>
      <c r="S101" s="234"/>
      <c r="T101" s="234"/>
      <c r="U101" s="234"/>
      <c r="V101" s="234"/>
      <c r="W101" s="234"/>
      <c r="X101" s="234"/>
      <c r="Y101" s="234"/>
    </row>
    <row r="102" spans="3:27" x14ac:dyDescent="0.25">
      <c r="C102" s="76"/>
      <c r="D102"/>
      <c r="E102" s="73"/>
      <c r="F102" t="s">
        <v>44</v>
      </c>
      <c r="G102" t="s">
        <v>510</v>
      </c>
      <c r="J102" s="231">
        <f t="shared" ref="J102:Y109" si="126">SUMIFS($J72:$Y72,$J$63:$Y$63,J$63)</f>
        <v>0</v>
      </c>
      <c r="K102" s="231">
        <f t="shared" si="126"/>
        <v>0</v>
      </c>
      <c r="L102" s="231">
        <f t="shared" si="126"/>
        <v>0</v>
      </c>
      <c r="M102" s="231">
        <f t="shared" si="126"/>
        <v>0</v>
      </c>
      <c r="N102" s="231">
        <f t="shared" si="126"/>
        <v>0</v>
      </c>
      <c r="O102" s="231">
        <f t="shared" si="126"/>
        <v>0</v>
      </c>
      <c r="P102" s="231">
        <f t="shared" si="126"/>
        <v>0</v>
      </c>
      <c r="Q102" s="231">
        <f t="shared" si="126"/>
        <v>0</v>
      </c>
      <c r="R102" s="231">
        <f t="shared" si="126"/>
        <v>0</v>
      </c>
      <c r="S102" s="231">
        <f t="shared" si="126"/>
        <v>0</v>
      </c>
      <c r="T102" s="231">
        <f t="shared" si="126"/>
        <v>0</v>
      </c>
      <c r="U102" s="231">
        <f t="shared" si="126"/>
        <v>0</v>
      </c>
      <c r="V102" s="231">
        <f t="shared" si="126"/>
        <v>0</v>
      </c>
      <c r="W102" s="231">
        <f t="shared" si="126"/>
        <v>0</v>
      </c>
      <c r="X102" s="231">
        <f t="shared" si="126"/>
        <v>0</v>
      </c>
      <c r="Y102" s="231">
        <f t="shared" si="126"/>
        <v>0</v>
      </c>
    </row>
    <row r="103" spans="3:27" x14ac:dyDescent="0.25">
      <c r="C103" s="76"/>
      <c r="D103"/>
      <c r="E103" s="73"/>
      <c r="F103" t="s">
        <v>45</v>
      </c>
      <c r="G103" t="s">
        <v>510</v>
      </c>
      <c r="J103" s="231">
        <f t="shared" si="126"/>
        <v>0</v>
      </c>
      <c r="K103" s="231">
        <f t="shared" si="126"/>
        <v>0</v>
      </c>
      <c r="L103" s="231">
        <f t="shared" si="126"/>
        <v>0</v>
      </c>
      <c r="M103" s="231">
        <f t="shared" si="126"/>
        <v>0</v>
      </c>
      <c r="N103" s="231">
        <f t="shared" si="126"/>
        <v>0</v>
      </c>
      <c r="O103" s="231">
        <f t="shared" si="126"/>
        <v>0</v>
      </c>
      <c r="P103" s="231">
        <f t="shared" si="126"/>
        <v>0</v>
      </c>
      <c r="Q103" s="231">
        <f t="shared" si="126"/>
        <v>0</v>
      </c>
      <c r="R103" s="231">
        <f t="shared" si="126"/>
        <v>0</v>
      </c>
      <c r="S103" s="231">
        <f t="shared" si="126"/>
        <v>0</v>
      </c>
      <c r="T103" s="231">
        <f t="shared" si="126"/>
        <v>0</v>
      </c>
      <c r="U103" s="231">
        <f t="shared" si="126"/>
        <v>0</v>
      </c>
      <c r="V103" s="231">
        <f t="shared" si="126"/>
        <v>0</v>
      </c>
      <c r="W103" s="231">
        <f t="shared" si="126"/>
        <v>0</v>
      </c>
      <c r="X103" s="231">
        <f t="shared" si="126"/>
        <v>0</v>
      </c>
      <c r="Y103" s="231">
        <f t="shared" si="126"/>
        <v>0</v>
      </c>
    </row>
    <row r="104" spans="3:27" x14ac:dyDescent="0.25">
      <c r="C104" s="76"/>
      <c r="D104"/>
      <c r="E104" s="73"/>
      <c r="F104" t="s">
        <v>46</v>
      </c>
      <c r="G104" t="s">
        <v>510</v>
      </c>
      <c r="J104" s="231">
        <f t="shared" si="126"/>
        <v>0</v>
      </c>
      <c r="K104" s="231">
        <f t="shared" si="126"/>
        <v>0</v>
      </c>
      <c r="L104" s="231">
        <f t="shared" si="126"/>
        <v>0</v>
      </c>
      <c r="M104" s="231">
        <f t="shared" si="126"/>
        <v>0</v>
      </c>
      <c r="N104" s="231">
        <f t="shared" si="126"/>
        <v>0</v>
      </c>
      <c r="O104" s="231">
        <f t="shared" si="126"/>
        <v>0</v>
      </c>
      <c r="P104" s="231">
        <f t="shared" si="126"/>
        <v>0</v>
      </c>
      <c r="Q104" s="231">
        <f t="shared" si="126"/>
        <v>0</v>
      </c>
      <c r="R104" s="231">
        <f t="shared" si="126"/>
        <v>0</v>
      </c>
      <c r="S104" s="231">
        <f t="shared" si="126"/>
        <v>0</v>
      </c>
      <c r="T104" s="231">
        <f t="shared" si="126"/>
        <v>0</v>
      </c>
      <c r="U104" s="231">
        <f t="shared" si="126"/>
        <v>0</v>
      </c>
      <c r="V104" s="231">
        <f t="shared" si="126"/>
        <v>0</v>
      </c>
      <c r="W104" s="231">
        <f t="shared" si="126"/>
        <v>0</v>
      </c>
      <c r="X104" s="231">
        <f t="shared" si="126"/>
        <v>0</v>
      </c>
      <c r="Y104" s="231">
        <f t="shared" si="126"/>
        <v>0</v>
      </c>
    </row>
    <row r="105" spans="3:27" x14ac:dyDescent="0.25">
      <c r="C105" s="76"/>
      <c r="D105"/>
      <c r="E105" s="73"/>
      <c r="F105" t="s">
        <v>47</v>
      </c>
      <c r="G105" t="s">
        <v>510</v>
      </c>
      <c r="J105" s="231">
        <f t="shared" si="126"/>
        <v>0</v>
      </c>
      <c r="K105" s="231">
        <f t="shared" si="126"/>
        <v>0</v>
      </c>
      <c r="L105" s="231">
        <f t="shared" si="126"/>
        <v>0</v>
      </c>
      <c r="M105" s="231">
        <f t="shared" si="126"/>
        <v>0</v>
      </c>
      <c r="N105" s="231">
        <f t="shared" si="126"/>
        <v>0</v>
      </c>
      <c r="O105" s="231">
        <f t="shared" si="126"/>
        <v>0</v>
      </c>
      <c r="P105" s="231">
        <f t="shared" si="126"/>
        <v>0</v>
      </c>
      <c r="Q105" s="231">
        <f t="shared" si="126"/>
        <v>0</v>
      </c>
      <c r="R105" s="231">
        <f t="shared" si="126"/>
        <v>0</v>
      </c>
      <c r="S105" s="231">
        <f t="shared" si="126"/>
        <v>0</v>
      </c>
      <c r="T105" s="231">
        <f t="shared" si="126"/>
        <v>0</v>
      </c>
      <c r="U105" s="231">
        <f t="shared" si="126"/>
        <v>0</v>
      </c>
      <c r="V105" s="231">
        <f t="shared" si="126"/>
        <v>0</v>
      </c>
      <c r="W105" s="231">
        <f t="shared" si="126"/>
        <v>0</v>
      </c>
      <c r="X105" s="231">
        <f t="shared" si="126"/>
        <v>0</v>
      </c>
      <c r="Y105" s="231">
        <f t="shared" si="126"/>
        <v>0</v>
      </c>
    </row>
    <row r="106" spans="3:27" x14ac:dyDescent="0.25">
      <c r="C106" s="76"/>
      <c r="D106"/>
      <c r="E106" s="73"/>
      <c r="F106" t="s">
        <v>51</v>
      </c>
      <c r="G106" t="s">
        <v>510</v>
      </c>
      <c r="J106" s="231">
        <f t="shared" si="126"/>
        <v>0</v>
      </c>
      <c r="K106" s="231">
        <f t="shared" si="126"/>
        <v>0</v>
      </c>
      <c r="L106" s="231">
        <f t="shared" si="126"/>
        <v>0</v>
      </c>
      <c r="M106" s="231">
        <f t="shared" si="126"/>
        <v>0</v>
      </c>
      <c r="N106" s="231">
        <f t="shared" si="126"/>
        <v>0</v>
      </c>
      <c r="O106" s="231">
        <f t="shared" si="126"/>
        <v>0</v>
      </c>
      <c r="P106" s="231">
        <f t="shared" si="126"/>
        <v>0</v>
      </c>
      <c r="Q106" s="231">
        <f t="shared" si="126"/>
        <v>0</v>
      </c>
      <c r="R106" s="231">
        <f t="shared" si="126"/>
        <v>0</v>
      </c>
      <c r="S106" s="231">
        <f t="shared" si="126"/>
        <v>0</v>
      </c>
      <c r="T106" s="231">
        <f t="shared" si="126"/>
        <v>0</v>
      </c>
      <c r="U106" s="231">
        <f t="shared" si="126"/>
        <v>0</v>
      </c>
      <c r="V106" s="231">
        <f t="shared" si="126"/>
        <v>0</v>
      </c>
      <c r="W106" s="231">
        <f t="shared" si="126"/>
        <v>0</v>
      </c>
      <c r="X106" s="231">
        <f t="shared" si="126"/>
        <v>0</v>
      </c>
      <c r="Y106" s="231">
        <f t="shared" si="126"/>
        <v>0</v>
      </c>
    </row>
    <row r="107" spans="3:27" x14ac:dyDescent="0.25">
      <c r="C107" s="76"/>
      <c r="D107"/>
      <c r="E107" s="73"/>
      <c r="F107" t="s">
        <v>48</v>
      </c>
      <c r="G107" t="s">
        <v>510</v>
      </c>
      <c r="J107" s="231">
        <f t="shared" si="126"/>
        <v>0</v>
      </c>
      <c r="K107" s="231">
        <f t="shared" si="126"/>
        <v>0</v>
      </c>
      <c r="L107" s="231">
        <f t="shared" si="126"/>
        <v>0</v>
      </c>
      <c r="M107" s="231">
        <f t="shared" si="126"/>
        <v>0</v>
      </c>
      <c r="N107" s="231">
        <f t="shared" si="126"/>
        <v>0</v>
      </c>
      <c r="O107" s="231">
        <f t="shared" si="126"/>
        <v>0</v>
      </c>
      <c r="P107" s="231">
        <f t="shared" si="126"/>
        <v>0</v>
      </c>
      <c r="Q107" s="231">
        <f t="shared" si="126"/>
        <v>0</v>
      </c>
      <c r="R107" s="231">
        <f t="shared" si="126"/>
        <v>0</v>
      </c>
      <c r="S107" s="231">
        <f t="shared" si="126"/>
        <v>0</v>
      </c>
      <c r="T107" s="231">
        <f t="shared" si="126"/>
        <v>0</v>
      </c>
      <c r="U107" s="231">
        <f t="shared" si="126"/>
        <v>0</v>
      </c>
      <c r="V107" s="231">
        <f t="shared" si="126"/>
        <v>0</v>
      </c>
      <c r="W107" s="231">
        <f t="shared" si="126"/>
        <v>0</v>
      </c>
      <c r="X107" s="231">
        <f t="shared" si="126"/>
        <v>0</v>
      </c>
      <c r="Y107" s="231">
        <f t="shared" si="126"/>
        <v>0</v>
      </c>
    </row>
    <row r="108" spans="3:27" x14ac:dyDescent="0.25">
      <c r="C108" s="76"/>
      <c r="D108"/>
      <c r="E108" s="73"/>
      <c r="F108" t="s">
        <v>49</v>
      </c>
      <c r="G108" t="s">
        <v>510</v>
      </c>
      <c r="J108" s="231">
        <f t="shared" si="126"/>
        <v>0</v>
      </c>
      <c r="K108" s="231">
        <f t="shared" si="126"/>
        <v>0</v>
      </c>
      <c r="L108" s="231">
        <f t="shared" si="126"/>
        <v>0</v>
      </c>
      <c r="M108" s="231">
        <f t="shared" si="126"/>
        <v>0</v>
      </c>
      <c r="N108" s="231">
        <f t="shared" si="126"/>
        <v>0</v>
      </c>
      <c r="O108" s="231">
        <f t="shared" si="126"/>
        <v>0</v>
      </c>
      <c r="P108" s="231">
        <f t="shared" si="126"/>
        <v>0</v>
      </c>
      <c r="Q108" s="231">
        <f t="shared" si="126"/>
        <v>0</v>
      </c>
      <c r="R108" s="231">
        <f t="shared" si="126"/>
        <v>0</v>
      </c>
      <c r="S108" s="231">
        <f t="shared" si="126"/>
        <v>0</v>
      </c>
      <c r="T108" s="231">
        <f t="shared" si="126"/>
        <v>0</v>
      </c>
      <c r="U108" s="231">
        <f t="shared" si="126"/>
        <v>0</v>
      </c>
      <c r="V108" s="231">
        <f t="shared" si="126"/>
        <v>0</v>
      </c>
      <c r="W108" s="231">
        <f t="shared" si="126"/>
        <v>0</v>
      </c>
      <c r="X108" s="231">
        <f t="shared" si="126"/>
        <v>0</v>
      </c>
      <c r="Y108" s="231">
        <f t="shared" si="126"/>
        <v>0</v>
      </c>
    </row>
    <row r="109" spans="3:27" x14ac:dyDescent="0.25">
      <c r="C109" s="76"/>
      <c r="D109"/>
      <c r="E109" s="73"/>
      <c r="F109" t="s">
        <v>50</v>
      </c>
      <c r="G109" t="s">
        <v>510</v>
      </c>
      <c r="J109" s="231">
        <f t="shared" si="126"/>
        <v>172507.54777394823</v>
      </c>
      <c r="K109" s="231">
        <f t="shared" si="126"/>
        <v>0</v>
      </c>
      <c r="L109" s="231">
        <f t="shared" si="126"/>
        <v>172507.54777394823</v>
      </c>
      <c r="M109" s="231">
        <f t="shared" si="126"/>
        <v>0</v>
      </c>
      <c r="N109" s="231">
        <f t="shared" si="126"/>
        <v>0</v>
      </c>
      <c r="O109" s="231">
        <f t="shared" si="126"/>
        <v>0</v>
      </c>
      <c r="P109" s="231">
        <f t="shared" si="126"/>
        <v>0</v>
      </c>
      <c r="Q109" s="231">
        <f t="shared" si="126"/>
        <v>0</v>
      </c>
      <c r="R109" s="231">
        <f t="shared" si="126"/>
        <v>0</v>
      </c>
      <c r="S109" s="231">
        <f t="shared" si="126"/>
        <v>0</v>
      </c>
      <c r="T109" s="231">
        <f t="shared" si="126"/>
        <v>0</v>
      </c>
      <c r="U109" s="231">
        <f t="shared" si="126"/>
        <v>0</v>
      </c>
      <c r="V109" s="231">
        <f t="shared" si="126"/>
        <v>0</v>
      </c>
      <c r="W109" s="231">
        <f t="shared" si="126"/>
        <v>0</v>
      </c>
      <c r="X109" s="231">
        <f t="shared" si="126"/>
        <v>0</v>
      </c>
      <c r="Y109" s="231">
        <f t="shared" si="126"/>
        <v>0</v>
      </c>
    </row>
    <row r="110" spans="3:27" x14ac:dyDescent="0.25">
      <c r="C110" s="76"/>
      <c r="D110"/>
      <c r="E110" s="73"/>
      <c r="F110" t="s">
        <v>124</v>
      </c>
      <c r="G110" t="s">
        <v>510</v>
      </c>
      <c r="J110" s="234"/>
      <c r="K110" s="234"/>
      <c r="L110" s="234"/>
      <c r="M110" s="234"/>
      <c r="N110" s="234"/>
      <c r="O110" s="234"/>
      <c r="P110" s="234"/>
      <c r="Q110" s="234"/>
      <c r="R110" s="234"/>
      <c r="S110" s="234"/>
      <c r="T110" s="234"/>
      <c r="U110" s="234"/>
      <c r="V110" s="234"/>
      <c r="W110" s="234"/>
      <c r="X110" s="234"/>
      <c r="Y110" s="234"/>
    </row>
    <row r="111" spans="3:27" x14ac:dyDescent="0.25">
      <c r="C111" s="76"/>
      <c r="D111"/>
      <c r="E111" s="73"/>
      <c r="F111" s="17" t="s">
        <v>123</v>
      </c>
      <c r="G111" s="17" t="s">
        <v>510</v>
      </c>
      <c r="H111" s="17"/>
      <c r="I111" s="17"/>
      <c r="J111" s="203"/>
      <c r="K111" s="203"/>
      <c r="L111" s="203"/>
      <c r="M111" s="203"/>
      <c r="N111" s="203"/>
      <c r="O111" s="203"/>
      <c r="P111" s="203"/>
      <c r="Q111" s="203"/>
      <c r="R111" s="203"/>
      <c r="S111" s="203"/>
      <c r="T111" s="203"/>
      <c r="U111" s="203"/>
      <c r="V111" s="203"/>
      <c r="W111" s="203"/>
      <c r="X111" s="203"/>
      <c r="Y111" s="203"/>
    </row>
    <row r="112" spans="3:27" x14ac:dyDescent="0.25">
      <c r="C112" s="76"/>
      <c r="D112"/>
      <c r="E112" s="73"/>
      <c r="J112" s="211"/>
      <c r="K112" s="211"/>
      <c r="L112" s="211"/>
      <c r="M112" s="211"/>
      <c r="N112" s="211"/>
      <c r="O112" s="211"/>
      <c r="P112" s="211"/>
      <c r="Q112" s="211"/>
      <c r="R112" s="211"/>
      <c r="S112" s="211"/>
      <c r="T112" s="211"/>
      <c r="U112" s="211"/>
      <c r="V112" s="211"/>
      <c r="W112" s="211"/>
      <c r="X112" s="211"/>
      <c r="Y112" s="211"/>
    </row>
    <row r="113" spans="3:27" x14ac:dyDescent="0.25">
      <c r="C113" s="76"/>
      <c r="D113"/>
      <c r="E113" s="52" t="s">
        <v>116</v>
      </c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</row>
    <row r="114" spans="3:27" x14ac:dyDescent="0.25">
      <c r="C114" s="76"/>
      <c r="D114"/>
      <c r="F114" s="80" t="s">
        <v>267</v>
      </c>
      <c r="G114" s="80" t="s">
        <v>510</v>
      </c>
      <c r="H114" s="80"/>
      <c r="I114" s="80"/>
      <c r="J114" s="224">
        <f t="shared" ref="J114:Y123" si="127">SUMIFS($J84:$Y84,$J$63:$Y$63,J$63)</f>
        <v>0</v>
      </c>
      <c r="K114" s="224">
        <f t="shared" si="127"/>
        <v>0</v>
      </c>
      <c r="L114" s="224">
        <f t="shared" si="127"/>
        <v>0</v>
      </c>
      <c r="M114" s="224">
        <f t="shared" si="127"/>
        <v>0</v>
      </c>
      <c r="N114" s="224">
        <f t="shared" si="127"/>
        <v>0</v>
      </c>
      <c r="O114" s="224">
        <f t="shared" si="127"/>
        <v>0</v>
      </c>
      <c r="P114" s="224">
        <f t="shared" si="127"/>
        <v>0</v>
      </c>
      <c r="Q114" s="224">
        <f t="shared" si="127"/>
        <v>0</v>
      </c>
      <c r="R114" s="224">
        <f t="shared" si="127"/>
        <v>0</v>
      </c>
      <c r="S114" s="224">
        <f t="shared" si="127"/>
        <v>0</v>
      </c>
      <c r="T114" s="224">
        <f t="shared" si="127"/>
        <v>0</v>
      </c>
      <c r="U114" s="224">
        <f t="shared" si="127"/>
        <v>0</v>
      </c>
      <c r="V114" s="224">
        <f t="shared" si="127"/>
        <v>0</v>
      </c>
      <c r="W114" s="224">
        <f t="shared" si="127"/>
        <v>0</v>
      </c>
      <c r="X114" s="224">
        <f t="shared" si="127"/>
        <v>0</v>
      </c>
      <c r="Y114" s="224">
        <f t="shared" si="127"/>
        <v>0</v>
      </c>
    </row>
    <row r="115" spans="3:27" x14ac:dyDescent="0.25">
      <c r="C115" s="76"/>
      <c r="D115"/>
      <c r="F115" t="s">
        <v>43</v>
      </c>
      <c r="G115" t="s">
        <v>510</v>
      </c>
      <c r="J115" s="231">
        <f t="shared" si="127"/>
        <v>0</v>
      </c>
      <c r="K115" s="231">
        <f t="shared" si="127"/>
        <v>0</v>
      </c>
      <c r="L115" s="231">
        <f t="shared" si="127"/>
        <v>0</v>
      </c>
      <c r="M115" s="231">
        <f t="shared" si="127"/>
        <v>0</v>
      </c>
      <c r="N115" s="231">
        <f t="shared" si="127"/>
        <v>0</v>
      </c>
      <c r="O115" s="231">
        <f t="shared" si="127"/>
        <v>0</v>
      </c>
      <c r="P115" s="231">
        <f t="shared" si="127"/>
        <v>0</v>
      </c>
      <c r="Q115" s="231">
        <f t="shared" si="127"/>
        <v>0</v>
      </c>
      <c r="R115" s="231">
        <f t="shared" si="127"/>
        <v>0</v>
      </c>
      <c r="S115" s="231">
        <f t="shared" si="127"/>
        <v>0</v>
      </c>
      <c r="T115" s="231">
        <f t="shared" si="127"/>
        <v>0</v>
      </c>
      <c r="U115" s="231">
        <f t="shared" si="127"/>
        <v>0</v>
      </c>
      <c r="V115" s="231">
        <f t="shared" si="127"/>
        <v>0</v>
      </c>
      <c r="W115" s="231">
        <f t="shared" si="127"/>
        <v>0</v>
      </c>
      <c r="X115" s="231">
        <f t="shared" si="127"/>
        <v>0</v>
      </c>
      <c r="Y115" s="231">
        <f t="shared" si="127"/>
        <v>0</v>
      </c>
    </row>
    <row r="116" spans="3:27" x14ac:dyDescent="0.25">
      <c r="C116" s="76"/>
      <c r="D116"/>
      <c r="F116" t="s">
        <v>44</v>
      </c>
      <c r="G116" t="s">
        <v>510</v>
      </c>
      <c r="J116" s="231">
        <f t="shared" si="127"/>
        <v>0</v>
      </c>
      <c r="K116" s="231">
        <f t="shared" si="127"/>
        <v>0</v>
      </c>
      <c r="L116" s="231">
        <f t="shared" si="127"/>
        <v>0</v>
      </c>
      <c r="M116" s="231">
        <f t="shared" si="127"/>
        <v>0</v>
      </c>
      <c r="N116" s="231">
        <f t="shared" si="127"/>
        <v>0</v>
      </c>
      <c r="O116" s="231">
        <f t="shared" si="127"/>
        <v>0</v>
      </c>
      <c r="P116" s="231">
        <f t="shared" si="127"/>
        <v>0</v>
      </c>
      <c r="Q116" s="231">
        <f t="shared" si="127"/>
        <v>0</v>
      </c>
      <c r="R116" s="231">
        <f t="shared" si="127"/>
        <v>0</v>
      </c>
      <c r="S116" s="231">
        <f t="shared" si="127"/>
        <v>0</v>
      </c>
      <c r="T116" s="231">
        <f t="shared" si="127"/>
        <v>0</v>
      </c>
      <c r="U116" s="231">
        <f t="shared" si="127"/>
        <v>0</v>
      </c>
      <c r="V116" s="231">
        <f t="shared" si="127"/>
        <v>0</v>
      </c>
      <c r="W116" s="231">
        <f t="shared" si="127"/>
        <v>0</v>
      </c>
      <c r="X116" s="231">
        <f t="shared" si="127"/>
        <v>0</v>
      </c>
      <c r="Y116" s="231">
        <f t="shared" si="127"/>
        <v>0</v>
      </c>
    </row>
    <row r="117" spans="3:27" x14ac:dyDescent="0.25">
      <c r="C117" s="76"/>
      <c r="D117"/>
      <c r="F117" t="s">
        <v>45</v>
      </c>
      <c r="G117" t="s">
        <v>510</v>
      </c>
      <c r="J117" s="231">
        <f t="shared" si="127"/>
        <v>0</v>
      </c>
      <c r="K117" s="231">
        <f t="shared" si="127"/>
        <v>0</v>
      </c>
      <c r="L117" s="231">
        <f t="shared" si="127"/>
        <v>0</v>
      </c>
      <c r="M117" s="231">
        <f t="shared" si="127"/>
        <v>0</v>
      </c>
      <c r="N117" s="231">
        <f t="shared" si="127"/>
        <v>0</v>
      </c>
      <c r="O117" s="231">
        <f t="shared" si="127"/>
        <v>0</v>
      </c>
      <c r="P117" s="231">
        <f t="shared" si="127"/>
        <v>0</v>
      </c>
      <c r="Q117" s="231">
        <f t="shared" si="127"/>
        <v>0</v>
      </c>
      <c r="R117" s="231">
        <f t="shared" si="127"/>
        <v>0</v>
      </c>
      <c r="S117" s="231">
        <f t="shared" si="127"/>
        <v>0</v>
      </c>
      <c r="T117" s="231">
        <f t="shared" si="127"/>
        <v>0</v>
      </c>
      <c r="U117" s="231">
        <f t="shared" si="127"/>
        <v>0</v>
      </c>
      <c r="V117" s="231">
        <f t="shared" si="127"/>
        <v>0</v>
      </c>
      <c r="W117" s="231">
        <f t="shared" si="127"/>
        <v>0</v>
      </c>
      <c r="X117" s="231">
        <f t="shared" si="127"/>
        <v>0</v>
      </c>
      <c r="Y117" s="231">
        <f t="shared" si="127"/>
        <v>0</v>
      </c>
    </row>
    <row r="118" spans="3:27" x14ac:dyDescent="0.25">
      <c r="C118" s="76"/>
      <c r="D118"/>
      <c r="F118" t="s">
        <v>46</v>
      </c>
      <c r="G118" t="s">
        <v>510</v>
      </c>
      <c r="J118" s="231">
        <f t="shared" si="127"/>
        <v>0</v>
      </c>
      <c r="K118" s="231">
        <f t="shared" si="127"/>
        <v>0</v>
      </c>
      <c r="L118" s="231">
        <f t="shared" si="127"/>
        <v>0</v>
      </c>
      <c r="M118" s="231">
        <f t="shared" si="127"/>
        <v>0</v>
      </c>
      <c r="N118" s="231">
        <f t="shared" si="127"/>
        <v>0</v>
      </c>
      <c r="O118" s="231">
        <f t="shared" si="127"/>
        <v>0</v>
      </c>
      <c r="P118" s="231">
        <f t="shared" si="127"/>
        <v>0</v>
      </c>
      <c r="Q118" s="231">
        <f t="shared" si="127"/>
        <v>0</v>
      </c>
      <c r="R118" s="231">
        <f t="shared" si="127"/>
        <v>0</v>
      </c>
      <c r="S118" s="231">
        <f t="shared" si="127"/>
        <v>0</v>
      </c>
      <c r="T118" s="231">
        <f t="shared" si="127"/>
        <v>0</v>
      </c>
      <c r="U118" s="231">
        <f t="shared" si="127"/>
        <v>0</v>
      </c>
      <c r="V118" s="231">
        <f t="shared" si="127"/>
        <v>0</v>
      </c>
      <c r="W118" s="231">
        <f t="shared" si="127"/>
        <v>0</v>
      </c>
      <c r="X118" s="231">
        <f t="shared" si="127"/>
        <v>0</v>
      </c>
      <c r="Y118" s="231">
        <f t="shared" si="127"/>
        <v>0</v>
      </c>
    </row>
    <row r="119" spans="3:27" x14ac:dyDescent="0.25">
      <c r="C119" s="76"/>
      <c r="D119"/>
      <c r="F119" t="s">
        <v>47</v>
      </c>
      <c r="G119" t="s">
        <v>510</v>
      </c>
      <c r="J119" s="231">
        <f t="shared" si="127"/>
        <v>0</v>
      </c>
      <c r="K119" s="231">
        <f t="shared" si="127"/>
        <v>0</v>
      </c>
      <c r="L119" s="231">
        <f t="shared" si="127"/>
        <v>0</v>
      </c>
      <c r="M119" s="231">
        <f t="shared" si="127"/>
        <v>0</v>
      </c>
      <c r="N119" s="231">
        <f t="shared" si="127"/>
        <v>0</v>
      </c>
      <c r="O119" s="231">
        <f t="shared" si="127"/>
        <v>0</v>
      </c>
      <c r="P119" s="231">
        <f t="shared" si="127"/>
        <v>0</v>
      </c>
      <c r="Q119" s="231">
        <f t="shared" si="127"/>
        <v>0</v>
      </c>
      <c r="R119" s="231">
        <f t="shared" si="127"/>
        <v>0</v>
      </c>
      <c r="S119" s="231">
        <f t="shared" si="127"/>
        <v>0</v>
      </c>
      <c r="T119" s="231">
        <f t="shared" si="127"/>
        <v>0</v>
      </c>
      <c r="U119" s="231">
        <f t="shared" si="127"/>
        <v>0</v>
      </c>
      <c r="V119" s="231">
        <f t="shared" si="127"/>
        <v>0</v>
      </c>
      <c r="W119" s="231">
        <f t="shared" si="127"/>
        <v>0</v>
      </c>
      <c r="X119" s="231">
        <f t="shared" si="127"/>
        <v>0</v>
      </c>
      <c r="Y119" s="231">
        <f t="shared" si="127"/>
        <v>0</v>
      </c>
    </row>
    <row r="120" spans="3:27" x14ac:dyDescent="0.25">
      <c r="C120" s="76"/>
      <c r="D120"/>
      <c r="F120" t="s">
        <v>51</v>
      </c>
      <c r="G120" t="s">
        <v>510</v>
      </c>
      <c r="J120" s="231">
        <f t="shared" si="127"/>
        <v>0</v>
      </c>
      <c r="K120" s="231">
        <f t="shared" si="127"/>
        <v>0</v>
      </c>
      <c r="L120" s="231">
        <f t="shared" si="127"/>
        <v>0</v>
      </c>
      <c r="M120" s="231">
        <f t="shared" si="127"/>
        <v>0</v>
      </c>
      <c r="N120" s="231">
        <f t="shared" si="127"/>
        <v>0</v>
      </c>
      <c r="O120" s="231">
        <f t="shared" si="127"/>
        <v>0</v>
      </c>
      <c r="P120" s="231">
        <f t="shared" si="127"/>
        <v>0</v>
      </c>
      <c r="Q120" s="231">
        <f t="shared" si="127"/>
        <v>0</v>
      </c>
      <c r="R120" s="231">
        <f t="shared" si="127"/>
        <v>0</v>
      </c>
      <c r="S120" s="231">
        <f t="shared" si="127"/>
        <v>0</v>
      </c>
      <c r="T120" s="231">
        <f t="shared" si="127"/>
        <v>0</v>
      </c>
      <c r="U120" s="231">
        <f t="shared" si="127"/>
        <v>0</v>
      </c>
      <c r="V120" s="231">
        <f t="shared" si="127"/>
        <v>0</v>
      </c>
      <c r="W120" s="231">
        <f t="shared" si="127"/>
        <v>0</v>
      </c>
      <c r="X120" s="231">
        <f t="shared" si="127"/>
        <v>0</v>
      </c>
      <c r="Y120" s="231">
        <f t="shared" si="127"/>
        <v>0</v>
      </c>
    </row>
    <row r="121" spans="3:27" x14ac:dyDescent="0.25">
      <c r="C121" s="76"/>
      <c r="D121"/>
      <c r="F121" t="s">
        <v>48</v>
      </c>
      <c r="G121" t="s">
        <v>510</v>
      </c>
      <c r="J121" s="231">
        <f t="shared" si="127"/>
        <v>0</v>
      </c>
      <c r="K121" s="231">
        <f t="shared" si="127"/>
        <v>0</v>
      </c>
      <c r="L121" s="231">
        <f t="shared" si="127"/>
        <v>0</v>
      </c>
      <c r="M121" s="231">
        <f t="shared" si="127"/>
        <v>0</v>
      </c>
      <c r="N121" s="231">
        <f t="shared" si="127"/>
        <v>0</v>
      </c>
      <c r="O121" s="231">
        <f t="shared" si="127"/>
        <v>0</v>
      </c>
      <c r="P121" s="231">
        <f t="shared" si="127"/>
        <v>0</v>
      </c>
      <c r="Q121" s="231">
        <f t="shared" si="127"/>
        <v>0</v>
      </c>
      <c r="R121" s="231">
        <f t="shared" si="127"/>
        <v>0</v>
      </c>
      <c r="S121" s="231">
        <f t="shared" si="127"/>
        <v>0</v>
      </c>
      <c r="T121" s="231">
        <f t="shared" si="127"/>
        <v>0</v>
      </c>
      <c r="U121" s="231">
        <f t="shared" si="127"/>
        <v>0</v>
      </c>
      <c r="V121" s="231">
        <f t="shared" si="127"/>
        <v>0</v>
      </c>
      <c r="W121" s="231">
        <f t="shared" si="127"/>
        <v>0</v>
      </c>
      <c r="X121" s="231">
        <f t="shared" si="127"/>
        <v>0</v>
      </c>
      <c r="Y121" s="231">
        <f t="shared" si="127"/>
        <v>0</v>
      </c>
    </row>
    <row r="122" spans="3:27" x14ac:dyDescent="0.25">
      <c r="C122" s="76"/>
      <c r="D122"/>
      <c r="F122" t="s">
        <v>49</v>
      </c>
      <c r="G122" t="s">
        <v>510</v>
      </c>
      <c r="J122" s="231">
        <f t="shared" si="127"/>
        <v>0</v>
      </c>
      <c r="K122" s="231">
        <f t="shared" si="127"/>
        <v>0</v>
      </c>
      <c r="L122" s="231">
        <f t="shared" si="127"/>
        <v>0</v>
      </c>
      <c r="M122" s="231">
        <f t="shared" si="127"/>
        <v>0</v>
      </c>
      <c r="N122" s="231">
        <f t="shared" si="127"/>
        <v>0</v>
      </c>
      <c r="O122" s="231">
        <f t="shared" si="127"/>
        <v>0</v>
      </c>
      <c r="P122" s="231">
        <f t="shared" si="127"/>
        <v>0</v>
      </c>
      <c r="Q122" s="231">
        <f t="shared" si="127"/>
        <v>0</v>
      </c>
      <c r="R122" s="231">
        <f t="shared" si="127"/>
        <v>0</v>
      </c>
      <c r="S122" s="231">
        <f t="shared" si="127"/>
        <v>0</v>
      </c>
      <c r="T122" s="231">
        <f t="shared" si="127"/>
        <v>0</v>
      </c>
      <c r="U122" s="231">
        <f t="shared" si="127"/>
        <v>0</v>
      </c>
      <c r="V122" s="231">
        <f t="shared" si="127"/>
        <v>0</v>
      </c>
      <c r="W122" s="231">
        <f t="shared" si="127"/>
        <v>0</v>
      </c>
      <c r="X122" s="231">
        <f t="shared" si="127"/>
        <v>0</v>
      </c>
      <c r="Y122" s="231">
        <f t="shared" si="127"/>
        <v>0</v>
      </c>
    </row>
    <row r="123" spans="3:27" x14ac:dyDescent="0.25">
      <c r="C123" s="76"/>
      <c r="D123"/>
      <c r="F123" t="s">
        <v>50</v>
      </c>
      <c r="G123" t="s">
        <v>510</v>
      </c>
      <c r="J123" s="231">
        <f t="shared" si="127"/>
        <v>1696407.8958582466</v>
      </c>
      <c r="K123" s="231">
        <f t="shared" si="127"/>
        <v>0</v>
      </c>
      <c r="L123" s="231">
        <f t="shared" si="127"/>
        <v>1696407.8958582466</v>
      </c>
      <c r="M123" s="231">
        <f t="shared" si="127"/>
        <v>0</v>
      </c>
      <c r="N123" s="231">
        <f t="shared" si="127"/>
        <v>0</v>
      </c>
      <c r="O123" s="231">
        <f t="shared" si="127"/>
        <v>0</v>
      </c>
      <c r="P123" s="231">
        <f t="shared" si="127"/>
        <v>0</v>
      </c>
      <c r="Q123" s="231">
        <f t="shared" si="127"/>
        <v>0</v>
      </c>
      <c r="R123" s="231">
        <f t="shared" si="127"/>
        <v>0</v>
      </c>
      <c r="S123" s="231">
        <f t="shared" si="127"/>
        <v>0</v>
      </c>
      <c r="T123" s="231">
        <f t="shared" si="127"/>
        <v>0</v>
      </c>
      <c r="U123" s="231">
        <f t="shared" si="127"/>
        <v>0</v>
      </c>
      <c r="V123" s="231">
        <f t="shared" si="127"/>
        <v>0</v>
      </c>
      <c r="W123" s="231">
        <f t="shared" si="127"/>
        <v>0</v>
      </c>
      <c r="X123" s="231">
        <f t="shared" si="127"/>
        <v>0</v>
      </c>
      <c r="Y123" s="231">
        <f t="shared" si="127"/>
        <v>0</v>
      </c>
    </row>
    <row r="124" spans="3:27" x14ac:dyDescent="0.25">
      <c r="C124" s="76"/>
      <c r="D124"/>
      <c r="F124" t="s">
        <v>124</v>
      </c>
      <c r="G124" t="s">
        <v>510</v>
      </c>
      <c r="J124" s="234"/>
      <c r="K124" s="234"/>
      <c r="L124" s="234"/>
      <c r="M124" s="234"/>
      <c r="N124" s="234"/>
      <c r="O124" s="234"/>
      <c r="P124" s="234"/>
      <c r="Q124" s="234"/>
      <c r="R124" s="234"/>
      <c r="S124" s="234"/>
      <c r="T124" s="234"/>
      <c r="U124" s="234"/>
      <c r="V124" s="234"/>
      <c r="W124" s="234"/>
      <c r="X124" s="234"/>
      <c r="Y124" s="234"/>
    </row>
    <row r="125" spans="3:27" x14ac:dyDescent="0.25">
      <c r="C125" s="76"/>
      <c r="D125"/>
      <c r="F125" s="17" t="s">
        <v>123</v>
      </c>
      <c r="G125" s="17" t="s">
        <v>510</v>
      </c>
      <c r="H125" s="17"/>
      <c r="I125" s="17"/>
      <c r="J125" s="203"/>
      <c r="K125" s="203"/>
      <c r="L125" s="203"/>
      <c r="M125" s="203"/>
      <c r="N125" s="203"/>
      <c r="O125" s="203"/>
      <c r="P125" s="203"/>
      <c r="Q125" s="203"/>
      <c r="R125" s="203"/>
      <c r="S125" s="203"/>
      <c r="T125" s="203"/>
      <c r="U125" s="203"/>
      <c r="V125" s="203"/>
      <c r="W125" s="203"/>
      <c r="X125" s="203"/>
      <c r="Y125" s="203"/>
    </row>
    <row r="126" spans="3:27" x14ac:dyDescent="0.25">
      <c r="C126" s="76"/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</row>
    <row r="127" spans="3:27" x14ac:dyDescent="0.25">
      <c r="C127" s="5" t="str">
        <f ca="1">INDEX('Version control'!$H$36:$H$62,MATCH($A$1,'Version control'!$F$36:$F$62,0),1)&amp;"-G: Fixed charges, by network level"</f>
        <v>Section 517-G: Fixed charges, by network level</v>
      </c>
      <c r="D127" s="5"/>
      <c r="E127" s="5"/>
      <c r="F127" s="5"/>
      <c r="G127" s="5"/>
      <c r="H127" s="5"/>
      <c r="I127" s="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205"/>
      <c r="Y127" s="205"/>
      <c r="Z127" s="5"/>
      <c r="AA127" s="5"/>
    </row>
    <row r="128" spans="3:27" x14ac:dyDescent="0.25">
      <c r="D128"/>
      <c r="E128" s="52"/>
    </row>
    <row r="129" spans="3:27" x14ac:dyDescent="0.25">
      <c r="D129"/>
      <c r="E129" t="s">
        <v>590</v>
      </c>
      <c r="G129" t="s">
        <v>74</v>
      </c>
      <c r="J129" s="211">
        <f t="shared" ref="J129:Y129" si="128">SUMIFS($J$18:$Y$18,$J$63:$Y$63,J63)</f>
        <v>2051632.6383365935</v>
      </c>
      <c r="K129" s="211">
        <f t="shared" si="128"/>
        <v>118258.55508408122</v>
      </c>
      <c r="L129" s="211">
        <f t="shared" si="128"/>
        <v>2051632.6383365935</v>
      </c>
      <c r="M129" s="211">
        <f t="shared" si="128"/>
        <v>118258.55508408122</v>
      </c>
      <c r="N129" s="211">
        <f t="shared" si="128"/>
        <v>118258.55508408122</v>
      </c>
      <c r="O129" s="211">
        <f t="shared" si="128"/>
        <v>118258.55508408122</v>
      </c>
      <c r="P129" s="211">
        <f t="shared" si="128"/>
        <v>118258.55508408122</v>
      </c>
      <c r="Q129" s="211">
        <f t="shared" si="128"/>
        <v>118258.55508408122</v>
      </c>
      <c r="R129" s="211">
        <f t="shared" si="128"/>
        <v>118258.55508408122</v>
      </c>
      <c r="S129" s="211">
        <f t="shared" si="128"/>
        <v>118258.55508408122</v>
      </c>
      <c r="T129" s="211">
        <f t="shared" si="128"/>
        <v>118258.55508408122</v>
      </c>
      <c r="U129" s="211">
        <f t="shared" si="128"/>
        <v>118258.55508408122</v>
      </c>
      <c r="V129" s="211">
        <f t="shared" si="128"/>
        <v>118258.55508408122</v>
      </c>
      <c r="W129" s="211">
        <f t="shared" si="128"/>
        <v>118258.55508408122</v>
      </c>
      <c r="X129" s="211">
        <f t="shared" si="128"/>
        <v>118258.55508408122</v>
      </c>
      <c r="Y129" s="211">
        <f t="shared" si="128"/>
        <v>118258.55508408122</v>
      </c>
    </row>
    <row r="130" spans="3:27" x14ac:dyDescent="0.25">
      <c r="D130"/>
      <c r="E130"/>
    </row>
    <row r="131" spans="3:27" x14ac:dyDescent="0.25">
      <c r="C131" s="76"/>
      <c r="E131" s="52" t="s">
        <v>139</v>
      </c>
      <c r="I131" t="s">
        <v>359</v>
      </c>
      <c r="J131" s="211"/>
      <c r="K131" s="211"/>
      <c r="L131" s="211"/>
      <c r="M131" s="211"/>
      <c r="N131" s="211"/>
      <c r="O131" s="211"/>
      <c r="P131" s="211"/>
      <c r="Q131" s="211"/>
      <c r="R131" s="211"/>
      <c r="S131" s="211"/>
      <c r="T131" s="211"/>
      <c r="U131" s="211"/>
      <c r="V131" s="211"/>
      <c r="W131" s="211"/>
      <c r="X131" s="211"/>
      <c r="Y131" s="211"/>
      <c r="AA131" t="s">
        <v>827</v>
      </c>
    </row>
    <row r="132" spans="3:27" x14ac:dyDescent="0.25">
      <c r="C132" s="76"/>
      <c r="E132" s="73"/>
      <c r="F132" s="80" t="s">
        <v>267</v>
      </c>
      <c r="G132" s="80" t="s">
        <v>252</v>
      </c>
      <c r="H132" s="80"/>
      <c r="I132" s="80"/>
      <c r="J132" s="224">
        <f t="shared" ref="J132:Y141" si="129">IF(J$129 = 0, 0, J100 / J$129)</f>
        <v>0</v>
      </c>
      <c r="K132" s="224">
        <f t="shared" si="129"/>
        <v>0</v>
      </c>
      <c r="L132" s="224">
        <f t="shared" si="129"/>
        <v>0</v>
      </c>
      <c r="M132" s="224">
        <f t="shared" si="129"/>
        <v>0</v>
      </c>
      <c r="N132" s="224">
        <f t="shared" si="129"/>
        <v>0</v>
      </c>
      <c r="O132" s="224">
        <f t="shared" si="129"/>
        <v>0</v>
      </c>
      <c r="P132" s="224">
        <f t="shared" si="129"/>
        <v>0</v>
      </c>
      <c r="Q132" s="224">
        <f t="shared" si="129"/>
        <v>0</v>
      </c>
      <c r="R132" s="224">
        <f t="shared" si="129"/>
        <v>0</v>
      </c>
      <c r="S132" s="224">
        <f t="shared" si="129"/>
        <v>0</v>
      </c>
      <c r="T132" s="224">
        <f t="shared" si="129"/>
        <v>0</v>
      </c>
      <c r="U132" s="224">
        <f t="shared" si="129"/>
        <v>0</v>
      </c>
      <c r="V132" s="224">
        <f t="shared" si="129"/>
        <v>0</v>
      </c>
      <c r="W132" s="224">
        <f t="shared" si="129"/>
        <v>0</v>
      </c>
      <c r="X132" s="224">
        <f t="shared" si="129"/>
        <v>0</v>
      </c>
      <c r="Y132" s="224">
        <f t="shared" si="129"/>
        <v>0</v>
      </c>
    </row>
    <row r="133" spans="3:27" x14ac:dyDescent="0.25">
      <c r="C133" s="76"/>
      <c r="E133" s="73"/>
      <c r="F133" t="s">
        <v>43</v>
      </c>
      <c r="G133" t="s">
        <v>252</v>
      </c>
      <c r="J133" s="231">
        <f t="shared" si="129"/>
        <v>0</v>
      </c>
      <c r="K133" s="231">
        <f t="shared" si="129"/>
        <v>0</v>
      </c>
      <c r="L133" s="231">
        <f t="shared" si="129"/>
        <v>0</v>
      </c>
      <c r="M133" s="231">
        <f t="shared" si="129"/>
        <v>0</v>
      </c>
      <c r="N133" s="231">
        <f t="shared" si="129"/>
        <v>0</v>
      </c>
      <c r="O133" s="231">
        <f t="shared" si="129"/>
        <v>0</v>
      </c>
      <c r="P133" s="231">
        <f t="shared" si="129"/>
        <v>0</v>
      </c>
      <c r="Q133" s="231">
        <f t="shared" si="129"/>
        <v>0</v>
      </c>
      <c r="R133" s="231">
        <f t="shared" si="129"/>
        <v>0</v>
      </c>
      <c r="S133" s="231">
        <f t="shared" si="129"/>
        <v>0</v>
      </c>
      <c r="T133" s="231">
        <f t="shared" si="129"/>
        <v>0</v>
      </c>
      <c r="U133" s="231">
        <f t="shared" si="129"/>
        <v>0</v>
      </c>
      <c r="V133" s="231">
        <f t="shared" si="129"/>
        <v>0</v>
      </c>
      <c r="W133" s="231">
        <f t="shared" si="129"/>
        <v>0</v>
      </c>
      <c r="X133" s="231">
        <f t="shared" si="129"/>
        <v>0</v>
      </c>
      <c r="Y133" s="231">
        <f t="shared" si="129"/>
        <v>0</v>
      </c>
    </row>
    <row r="134" spans="3:27" x14ac:dyDescent="0.25">
      <c r="C134" s="76"/>
      <c r="E134" s="73"/>
      <c r="F134" t="s">
        <v>44</v>
      </c>
      <c r="G134" t="s">
        <v>252</v>
      </c>
      <c r="J134" s="231">
        <f t="shared" si="129"/>
        <v>0</v>
      </c>
      <c r="K134" s="231">
        <f t="shared" si="129"/>
        <v>0</v>
      </c>
      <c r="L134" s="231">
        <f t="shared" si="129"/>
        <v>0</v>
      </c>
      <c r="M134" s="231">
        <f t="shared" si="129"/>
        <v>0</v>
      </c>
      <c r="N134" s="231">
        <f t="shared" si="129"/>
        <v>0</v>
      </c>
      <c r="O134" s="231">
        <f t="shared" si="129"/>
        <v>0</v>
      </c>
      <c r="P134" s="231">
        <f t="shared" si="129"/>
        <v>0</v>
      </c>
      <c r="Q134" s="231">
        <f t="shared" si="129"/>
        <v>0</v>
      </c>
      <c r="R134" s="231">
        <f t="shared" si="129"/>
        <v>0</v>
      </c>
      <c r="S134" s="231">
        <f t="shared" si="129"/>
        <v>0</v>
      </c>
      <c r="T134" s="231">
        <f t="shared" si="129"/>
        <v>0</v>
      </c>
      <c r="U134" s="231">
        <f t="shared" si="129"/>
        <v>0</v>
      </c>
      <c r="V134" s="231">
        <f t="shared" si="129"/>
        <v>0</v>
      </c>
      <c r="W134" s="231">
        <f t="shared" si="129"/>
        <v>0</v>
      </c>
      <c r="X134" s="231">
        <f t="shared" si="129"/>
        <v>0</v>
      </c>
      <c r="Y134" s="231">
        <f t="shared" si="129"/>
        <v>0</v>
      </c>
    </row>
    <row r="135" spans="3:27" x14ac:dyDescent="0.25">
      <c r="C135" s="76"/>
      <c r="E135" s="73"/>
      <c r="F135" t="s">
        <v>45</v>
      </c>
      <c r="G135" t="s">
        <v>252</v>
      </c>
      <c r="J135" s="231">
        <f t="shared" si="129"/>
        <v>0</v>
      </c>
      <c r="K135" s="231">
        <f t="shared" si="129"/>
        <v>0</v>
      </c>
      <c r="L135" s="231">
        <f t="shared" si="129"/>
        <v>0</v>
      </c>
      <c r="M135" s="231">
        <f t="shared" si="129"/>
        <v>0</v>
      </c>
      <c r="N135" s="231">
        <f t="shared" si="129"/>
        <v>0</v>
      </c>
      <c r="O135" s="231">
        <f t="shared" si="129"/>
        <v>0</v>
      </c>
      <c r="P135" s="231">
        <f t="shared" si="129"/>
        <v>0</v>
      </c>
      <c r="Q135" s="231">
        <f t="shared" si="129"/>
        <v>0</v>
      </c>
      <c r="R135" s="231">
        <f t="shared" si="129"/>
        <v>0</v>
      </c>
      <c r="S135" s="231">
        <f t="shared" si="129"/>
        <v>0</v>
      </c>
      <c r="T135" s="231">
        <f t="shared" si="129"/>
        <v>0</v>
      </c>
      <c r="U135" s="231">
        <f t="shared" si="129"/>
        <v>0</v>
      </c>
      <c r="V135" s="231">
        <f t="shared" si="129"/>
        <v>0</v>
      </c>
      <c r="W135" s="231">
        <f t="shared" si="129"/>
        <v>0</v>
      </c>
      <c r="X135" s="231">
        <f t="shared" si="129"/>
        <v>0</v>
      </c>
      <c r="Y135" s="231">
        <f t="shared" si="129"/>
        <v>0</v>
      </c>
    </row>
    <row r="136" spans="3:27" x14ac:dyDescent="0.25">
      <c r="C136" s="76"/>
      <c r="E136" s="73"/>
      <c r="F136" t="s">
        <v>46</v>
      </c>
      <c r="G136" t="s">
        <v>252</v>
      </c>
      <c r="J136" s="231">
        <f t="shared" si="129"/>
        <v>0</v>
      </c>
      <c r="K136" s="231">
        <f t="shared" si="129"/>
        <v>0</v>
      </c>
      <c r="L136" s="231">
        <f t="shared" si="129"/>
        <v>0</v>
      </c>
      <c r="M136" s="231">
        <f t="shared" si="129"/>
        <v>0</v>
      </c>
      <c r="N136" s="231">
        <f t="shared" si="129"/>
        <v>0</v>
      </c>
      <c r="O136" s="231">
        <f t="shared" si="129"/>
        <v>0</v>
      </c>
      <c r="P136" s="231">
        <f t="shared" si="129"/>
        <v>0</v>
      </c>
      <c r="Q136" s="231">
        <f t="shared" si="129"/>
        <v>0</v>
      </c>
      <c r="R136" s="231">
        <f t="shared" si="129"/>
        <v>0</v>
      </c>
      <c r="S136" s="231">
        <f t="shared" si="129"/>
        <v>0</v>
      </c>
      <c r="T136" s="231">
        <f t="shared" si="129"/>
        <v>0</v>
      </c>
      <c r="U136" s="231">
        <f t="shared" si="129"/>
        <v>0</v>
      </c>
      <c r="V136" s="231">
        <f t="shared" si="129"/>
        <v>0</v>
      </c>
      <c r="W136" s="231">
        <f t="shared" si="129"/>
        <v>0</v>
      </c>
      <c r="X136" s="231">
        <f t="shared" si="129"/>
        <v>0</v>
      </c>
      <c r="Y136" s="231">
        <f t="shared" si="129"/>
        <v>0</v>
      </c>
    </row>
    <row r="137" spans="3:27" x14ac:dyDescent="0.25">
      <c r="C137" s="76"/>
      <c r="E137" s="73"/>
      <c r="F137" t="s">
        <v>47</v>
      </c>
      <c r="G137" t="s">
        <v>252</v>
      </c>
      <c r="J137" s="231">
        <f t="shared" si="129"/>
        <v>0</v>
      </c>
      <c r="K137" s="231">
        <f t="shared" si="129"/>
        <v>0</v>
      </c>
      <c r="L137" s="231">
        <f t="shared" si="129"/>
        <v>0</v>
      </c>
      <c r="M137" s="231">
        <f t="shared" si="129"/>
        <v>0</v>
      </c>
      <c r="N137" s="231">
        <f t="shared" si="129"/>
        <v>0</v>
      </c>
      <c r="O137" s="231">
        <f t="shared" si="129"/>
        <v>0</v>
      </c>
      <c r="P137" s="231">
        <f t="shared" si="129"/>
        <v>0</v>
      </c>
      <c r="Q137" s="231">
        <f t="shared" si="129"/>
        <v>0</v>
      </c>
      <c r="R137" s="231">
        <f t="shared" si="129"/>
        <v>0</v>
      </c>
      <c r="S137" s="231">
        <f t="shared" si="129"/>
        <v>0</v>
      </c>
      <c r="T137" s="231">
        <f t="shared" si="129"/>
        <v>0</v>
      </c>
      <c r="U137" s="231">
        <f t="shared" si="129"/>
        <v>0</v>
      </c>
      <c r="V137" s="231">
        <f t="shared" si="129"/>
        <v>0</v>
      </c>
      <c r="W137" s="231">
        <f t="shared" si="129"/>
        <v>0</v>
      </c>
      <c r="X137" s="231">
        <f t="shared" si="129"/>
        <v>0</v>
      </c>
      <c r="Y137" s="231">
        <f t="shared" si="129"/>
        <v>0</v>
      </c>
    </row>
    <row r="138" spans="3:27" x14ac:dyDescent="0.25">
      <c r="C138" s="76"/>
      <c r="E138" s="73"/>
      <c r="F138" t="s">
        <v>51</v>
      </c>
      <c r="G138" t="s">
        <v>252</v>
      </c>
      <c r="J138" s="231">
        <f t="shared" si="129"/>
        <v>0</v>
      </c>
      <c r="K138" s="231">
        <f t="shared" si="129"/>
        <v>0</v>
      </c>
      <c r="L138" s="231">
        <f t="shared" si="129"/>
        <v>0</v>
      </c>
      <c r="M138" s="231">
        <f t="shared" si="129"/>
        <v>0</v>
      </c>
      <c r="N138" s="231">
        <f t="shared" si="129"/>
        <v>0</v>
      </c>
      <c r="O138" s="231">
        <f t="shared" si="129"/>
        <v>0</v>
      </c>
      <c r="P138" s="231">
        <f t="shared" si="129"/>
        <v>0</v>
      </c>
      <c r="Q138" s="231">
        <f t="shared" si="129"/>
        <v>0</v>
      </c>
      <c r="R138" s="231">
        <f t="shared" si="129"/>
        <v>0</v>
      </c>
      <c r="S138" s="231">
        <f t="shared" si="129"/>
        <v>0</v>
      </c>
      <c r="T138" s="231">
        <f t="shared" si="129"/>
        <v>0</v>
      </c>
      <c r="U138" s="231">
        <f t="shared" si="129"/>
        <v>0</v>
      </c>
      <c r="V138" s="231">
        <f t="shared" si="129"/>
        <v>0</v>
      </c>
      <c r="W138" s="231">
        <f t="shared" si="129"/>
        <v>0</v>
      </c>
      <c r="X138" s="231">
        <f t="shared" si="129"/>
        <v>0</v>
      </c>
      <c r="Y138" s="231">
        <f t="shared" si="129"/>
        <v>0</v>
      </c>
    </row>
    <row r="139" spans="3:27" x14ac:dyDescent="0.25">
      <c r="C139" s="76"/>
      <c r="E139" s="73"/>
      <c r="F139" t="s">
        <v>48</v>
      </c>
      <c r="G139" t="s">
        <v>252</v>
      </c>
      <c r="J139" s="231">
        <f t="shared" si="129"/>
        <v>0</v>
      </c>
      <c r="K139" s="231">
        <f t="shared" si="129"/>
        <v>0</v>
      </c>
      <c r="L139" s="231">
        <f t="shared" si="129"/>
        <v>0</v>
      </c>
      <c r="M139" s="231">
        <f t="shared" si="129"/>
        <v>0</v>
      </c>
      <c r="N139" s="231">
        <f t="shared" si="129"/>
        <v>0</v>
      </c>
      <c r="O139" s="231">
        <f t="shared" si="129"/>
        <v>0</v>
      </c>
      <c r="P139" s="231">
        <f t="shared" si="129"/>
        <v>0</v>
      </c>
      <c r="Q139" s="231">
        <f t="shared" si="129"/>
        <v>0</v>
      </c>
      <c r="R139" s="231">
        <f t="shared" si="129"/>
        <v>0</v>
      </c>
      <c r="S139" s="231">
        <f t="shared" si="129"/>
        <v>0</v>
      </c>
      <c r="T139" s="231">
        <f t="shared" si="129"/>
        <v>0</v>
      </c>
      <c r="U139" s="231">
        <f t="shared" si="129"/>
        <v>0</v>
      </c>
      <c r="V139" s="231">
        <f t="shared" si="129"/>
        <v>0</v>
      </c>
      <c r="W139" s="231">
        <f t="shared" si="129"/>
        <v>0</v>
      </c>
      <c r="X139" s="231">
        <f t="shared" si="129"/>
        <v>0</v>
      </c>
      <c r="Y139" s="231">
        <f t="shared" si="129"/>
        <v>0</v>
      </c>
    </row>
    <row r="140" spans="3:27" x14ac:dyDescent="0.25">
      <c r="C140" s="76"/>
      <c r="E140" s="73"/>
      <c r="F140" t="s">
        <v>49</v>
      </c>
      <c r="G140" t="s">
        <v>252</v>
      </c>
      <c r="J140" s="231">
        <f t="shared" si="129"/>
        <v>0</v>
      </c>
      <c r="K140" s="231">
        <f t="shared" si="129"/>
        <v>0</v>
      </c>
      <c r="L140" s="231">
        <f t="shared" si="129"/>
        <v>0</v>
      </c>
      <c r="M140" s="231">
        <f t="shared" si="129"/>
        <v>0</v>
      </c>
      <c r="N140" s="231">
        <f t="shared" si="129"/>
        <v>0</v>
      </c>
      <c r="O140" s="231">
        <f t="shared" si="129"/>
        <v>0</v>
      </c>
      <c r="P140" s="231">
        <f t="shared" si="129"/>
        <v>0</v>
      </c>
      <c r="Q140" s="231">
        <f t="shared" si="129"/>
        <v>0</v>
      </c>
      <c r="R140" s="231">
        <f t="shared" si="129"/>
        <v>0</v>
      </c>
      <c r="S140" s="231">
        <f t="shared" si="129"/>
        <v>0</v>
      </c>
      <c r="T140" s="231">
        <f t="shared" si="129"/>
        <v>0</v>
      </c>
      <c r="U140" s="231">
        <f t="shared" si="129"/>
        <v>0</v>
      </c>
      <c r="V140" s="231">
        <f t="shared" si="129"/>
        <v>0</v>
      </c>
      <c r="W140" s="231">
        <f t="shared" si="129"/>
        <v>0</v>
      </c>
      <c r="X140" s="231">
        <f t="shared" si="129"/>
        <v>0</v>
      </c>
      <c r="Y140" s="231">
        <f t="shared" si="129"/>
        <v>0</v>
      </c>
    </row>
    <row r="141" spans="3:27" x14ac:dyDescent="0.25">
      <c r="C141" s="76"/>
      <c r="E141" s="73"/>
      <c r="F141" t="s">
        <v>50</v>
      </c>
      <c r="G141" t="s">
        <v>252</v>
      </c>
      <c r="J141" s="231">
        <f t="shared" si="129"/>
        <v>8.4083058804237262E-2</v>
      </c>
      <c r="K141" s="231">
        <f t="shared" si="129"/>
        <v>0</v>
      </c>
      <c r="L141" s="231">
        <f t="shared" si="129"/>
        <v>8.4083058804237262E-2</v>
      </c>
      <c r="M141" s="231">
        <f t="shared" si="129"/>
        <v>0</v>
      </c>
      <c r="N141" s="231">
        <f t="shared" si="129"/>
        <v>0</v>
      </c>
      <c r="O141" s="231">
        <f t="shared" si="129"/>
        <v>0</v>
      </c>
      <c r="P141" s="231">
        <f t="shared" si="129"/>
        <v>0</v>
      </c>
      <c r="Q141" s="231">
        <f t="shared" si="129"/>
        <v>0</v>
      </c>
      <c r="R141" s="231">
        <f t="shared" si="129"/>
        <v>0</v>
      </c>
      <c r="S141" s="231">
        <f t="shared" si="129"/>
        <v>0</v>
      </c>
      <c r="T141" s="231">
        <f t="shared" si="129"/>
        <v>0</v>
      </c>
      <c r="U141" s="231">
        <f t="shared" si="129"/>
        <v>0</v>
      </c>
      <c r="V141" s="231">
        <f t="shared" si="129"/>
        <v>0</v>
      </c>
      <c r="W141" s="231">
        <f t="shared" si="129"/>
        <v>0</v>
      </c>
      <c r="X141" s="231">
        <f t="shared" si="129"/>
        <v>0</v>
      </c>
      <c r="Y141" s="231">
        <f t="shared" si="129"/>
        <v>0</v>
      </c>
    </row>
    <row r="142" spans="3:27" x14ac:dyDescent="0.25">
      <c r="C142" s="76"/>
      <c r="E142" s="73"/>
      <c r="F142" s="80" t="s">
        <v>124</v>
      </c>
      <c r="G142" s="80" t="s">
        <v>252</v>
      </c>
      <c r="H142" s="80"/>
      <c r="I142" s="80"/>
      <c r="J142" s="201"/>
      <c r="K142" s="201"/>
      <c r="L142" s="201"/>
      <c r="M142" s="201"/>
      <c r="N142" s="201"/>
      <c r="O142" s="201"/>
      <c r="P142" s="201"/>
      <c r="Q142" s="201"/>
      <c r="R142" s="201"/>
      <c r="S142" s="201"/>
      <c r="T142" s="201"/>
      <c r="U142" s="201"/>
      <c r="V142" s="201"/>
      <c r="W142" s="201"/>
      <c r="X142" s="201"/>
      <c r="Y142" s="201"/>
    </row>
    <row r="143" spans="3:27" x14ac:dyDescent="0.25">
      <c r="C143" s="76"/>
      <c r="E143" s="73"/>
      <c r="F143" s="17" t="s">
        <v>123</v>
      </c>
      <c r="G143" s="17" t="s">
        <v>252</v>
      </c>
      <c r="H143" s="17"/>
      <c r="I143" s="17"/>
      <c r="J143" s="203"/>
      <c r="K143" s="203"/>
      <c r="L143" s="203"/>
      <c r="M143" s="203"/>
      <c r="N143" s="203"/>
      <c r="O143" s="203"/>
      <c r="P143" s="203"/>
      <c r="Q143" s="203"/>
      <c r="R143" s="203"/>
      <c r="S143" s="203"/>
      <c r="T143" s="203"/>
      <c r="U143" s="203"/>
      <c r="V143" s="203"/>
      <c r="W143" s="203"/>
      <c r="X143" s="203"/>
      <c r="Y143" s="203"/>
    </row>
    <row r="144" spans="3:27" x14ac:dyDescent="0.25">
      <c r="C144" s="76"/>
      <c r="D144"/>
      <c r="E144" s="73"/>
      <c r="J144" s="211"/>
      <c r="K144" s="211"/>
      <c r="L144" s="211"/>
      <c r="M144" s="211"/>
      <c r="N144" s="211"/>
      <c r="O144" s="211"/>
      <c r="P144" s="211"/>
      <c r="Q144" s="211"/>
      <c r="R144" s="211"/>
      <c r="S144" s="211"/>
      <c r="T144" s="211"/>
      <c r="U144" s="211"/>
      <c r="V144" s="211"/>
      <c r="W144" s="211"/>
      <c r="X144" s="211"/>
      <c r="Y144" s="211"/>
    </row>
    <row r="145" spans="3:27" x14ac:dyDescent="0.25">
      <c r="C145" s="76"/>
      <c r="E145" s="52" t="s">
        <v>116</v>
      </c>
      <c r="J145" s="211"/>
      <c r="K145" s="211"/>
      <c r="L145" s="211"/>
      <c r="M145" s="211"/>
      <c r="N145" s="211"/>
      <c r="O145" s="211"/>
      <c r="P145" s="211"/>
      <c r="Q145" s="211"/>
      <c r="R145" s="211"/>
      <c r="S145" s="211"/>
      <c r="T145" s="211"/>
      <c r="U145" s="211"/>
      <c r="V145" s="211"/>
      <c r="W145" s="211"/>
      <c r="X145" s="211"/>
      <c r="Y145" s="211"/>
    </row>
    <row r="146" spans="3:27" x14ac:dyDescent="0.25">
      <c r="C146" s="76"/>
      <c r="F146" s="80" t="s">
        <v>267</v>
      </c>
      <c r="G146" s="80" t="s">
        <v>252</v>
      </c>
      <c r="H146" s="80"/>
      <c r="I146" s="80"/>
      <c r="J146" s="224">
        <f t="shared" ref="J146:Y155" si="130">IF(J$129 = 0, 0, J114 / J$129)</f>
        <v>0</v>
      </c>
      <c r="K146" s="224">
        <f t="shared" si="130"/>
        <v>0</v>
      </c>
      <c r="L146" s="224">
        <f t="shared" si="130"/>
        <v>0</v>
      </c>
      <c r="M146" s="224">
        <f t="shared" si="130"/>
        <v>0</v>
      </c>
      <c r="N146" s="224">
        <f t="shared" si="130"/>
        <v>0</v>
      </c>
      <c r="O146" s="224">
        <f t="shared" si="130"/>
        <v>0</v>
      </c>
      <c r="P146" s="224">
        <f t="shared" si="130"/>
        <v>0</v>
      </c>
      <c r="Q146" s="224">
        <f t="shared" si="130"/>
        <v>0</v>
      </c>
      <c r="R146" s="224">
        <f t="shared" si="130"/>
        <v>0</v>
      </c>
      <c r="S146" s="224">
        <f t="shared" si="130"/>
        <v>0</v>
      </c>
      <c r="T146" s="224">
        <f t="shared" si="130"/>
        <v>0</v>
      </c>
      <c r="U146" s="224">
        <f t="shared" si="130"/>
        <v>0</v>
      </c>
      <c r="V146" s="224">
        <f t="shared" si="130"/>
        <v>0</v>
      </c>
      <c r="W146" s="224">
        <f t="shared" si="130"/>
        <v>0</v>
      </c>
      <c r="X146" s="224">
        <f t="shared" si="130"/>
        <v>0</v>
      </c>
      <c r="Y146" s="224">
        <f t="shared" si="130"/>
        <v>0</v>
      </c>
    </row>
    <row r="147" spans="3:27" x14ac:dyDescent="0.25">
      <c r="C147" s="76"/>
      <c r="F147" t="s">
        <v>43</v>
      </c>
      <c r="G147" t="s">
        <v>252</v>
      </c>
      <c r="J147" s="231">
        <f t="shared" si="130"/>
        <v>0</v>
      </c>
      <c r="K147" s="231">
        <f t="shared" si="130"/>
        <v>0</v>
      </c>
      <c r="L147" s="231">
        <f t="shared" si="130"/>
        <v>0</v>
      </c>
      <c r="M147" s="231">
        <f t="shared" si="130"/>
        <v>0</v>
      </c>
      <c r="N147" s="231">
        <f t="shared" si="130"/>
        <v>0</v>
      </c>
      <c r="O147" s="231">
        <f t="shared" si="130"/>
        <v>0</v>
      </c>
      <c r="P147" s="231">
        <f t="shared" si="130"/>
        <v>0</v>
      </c>
      <c r="Q147" s="231">
        <f t="shared" si="130"/>
        <v>0</v>
      </c>
      <c r="R147" s="231">
        <f t="shared" si="130"/>
        <v>0</v>
      </c>
      <c r="S147" s="231">
        <f t="shared" si="130"/>
        <v>0</v>
      </c>
      <c r="T147" s="231">
        <f t="shared" si="130"/>
        <v>0</v>
      </c>
      <c r="U147" s="231">
        <f t="shared" si="130"/>
        <v>0</v>
      </c>
      <c r="V147" s="231">
        <f t="shared" si="130"/>
        <v>0</v>
      </c>
      <c r="W147" s="231">
        <f t="shared" si="130"/>
        <v>0</v>
      </c>
      <c r="X147" s="231">
        <f t="shared" si="130"/>
        <v>0</v>
      </c>
      <c r="Y147" s="231">
        <f t="shared" si="130"/>
        <v>0</v>
      </c>
    </row>
    <row r="148" spans="3:27" x14ac:dyDescent="0.25">
      <c r="C148" s="76"/>
      <c r="F148" t="s">
        <v>44</v>
      </c>
      <c r="G148" t="s">
        <v>252</v>
      </c>
      <c r="J148" s="231">
        <f t="shared" si="130"/>
        <v>0</v>
      </c>
      <c r="K148" s="231">
        <f t="shared" si="130"/>
        <v>0</v>
      </c>
      <c r="L148" s="231">
        <f t="shared" si="130"/>
        <v>0</v>
      </c>
      <c r="M148" s="231">
        <f t="shared" si="130"/>
        <v>0</v>
      </c>
      <c r="N148" s="231">
        <f t="shared" si="130"/>
        <v>0</v>
      </c>
      <c r="O148" s="231">
        <f t="shared" si="130"/>
        <v>0</v>
      </c>
      <c r="P148" s="231">
        <f t="shared" si="130"/>
        <v>0</v>
      </c>
      <c r="Q148" s="231">
        <f t="shared" si="130"/>
        <v>0</v>
      </c>
      <c r="R148" s="231">
        <f t="shared" si="130"/>
        <v>0</v>
      </c>
      <c r="S148" s="231">
        <f t="shared" si="130"/>
        <v>0</v>
      </c>
      <c r="T148" s="231">
        <f t="shared" si="130"/>
        <v>0</v>
      </c>
      <c r="U148" s="231">
        <f t="shared" si="130"/>
        <v>0</v>
      </c>
      <c r="V148" s="231">
        <f t="shared" si="130"/>
        <v>0</v>
      </c>
      <c r="W148" s="231">
        <f t="shared" si="130"/>
        <v>0</v>
      </c>
      <c r="X148" s="231">
        <f t="shared" si="130"/>
        <v>0</v>
      </c>
      <c r="Y148" s="231">
        <f t="shared" si="130"/>
        <v>0</v>
      </c>
    </row>
    <row r="149" spans="3:27" x14ac:dyDescent="0.25">
      <c r="C149" s="76"/>
      <c r="F149" t="s">
        <v>45</v>
      </c>
      <c r="G149" t="s">
        <v>252</v>
      </c>
      <c r="J149" s="231">
        <f t="shared" si="130"/>
        <v>0</v>
      </c>
      <c r="K149" s="231">
        <f t="shared" si="130"/>
        <v>0</v>
      </c>
      <c r="L149" s="231">
        <f t="shared" si="130"/>
        <v>0</v>
      </c>
      <c r="M149" s="231">
        <f t="shared" si="130"/>
        <v>0</v>
      </c>
      <c r="N149" s="231">
        <f t="shared" si="130"/>
        <v>0</v>
      </c>
      <c r="O149" s="231">
        <f t="shared" si="130"/>
        <v>0</v>
      </c>
      <c r="P149" s="231">
        <f t="shared" si="130"/>
        <v>0</v>
      </c>
      <c r="Q149" s="231">
        <f t="shared" si="130"/>
        <v>0</v>
      </c>
      <c r="R149" s="231">
        <f t="shared" si="130"/>
        <v>0</v>
      </c>
      <c r="S149" s="231">
        <f t="shared" si="130"/>
        <v>0</v>
      </c>
      <c r="T149" s="231">
        <f t="shared" si="130"/>
        <v>0</v>
      </c>
      <c r="U149" s="231">
        <f t="shared" si="130"/>
        <v>0</v>
      </c>
      <c r="V149" s="231">
        <f t="shared" si="130"/>
        <v>0</v>
      </c>
      <c r="W149" s="231">
        <f t="shared" si="130"/>
        <v>0</v>
      </c>
      <c r="X149" s="231">
        <f t="shared" si="130"/>
        <v>0</v>
      </c>
      <c r="Y149" s="231">
        <f t="shared" si="130"/>
        <v>0</v>
      </c>
    </row>
    <row r="150" spans="3:27" x14ac:dyDescent="0.25">
      <c r="C150" s="76"/>
      <c r="F150" t="s">
        <v>46</v>
      </c>
      <c r="G150" t="s">
        <v>252</v>
      </c>
      <c r="J150" s="231">
        <f t="shared" si="130"/>
        <v>0</v>
      </c>
      <c r="K150" s="231">
        <f t="shared" si="130"/>
        <v>0</v>
      </c>
      <c r="L150" s="231">
        <f t="shared" si="130"/>
        <v>0</v>
      </c>
      <c r="M150" s="231">
        <f t="shared" si="130"/>
        <v>0</v>
      </c>
      <c r="N150" s="231">
        <f t="shared" si="130"/>
        <v>0</v>
      </c>
      <c r="O150" s="231">
        <f t="shared" si="130"/>
        <v>0</v>
      </c>
      <c r="P150" s="231">
        <f t="shared" si="130"/>
        <v>0</v>
      </c>
      <c r="Q150" s="231">
        <f t="shared" si="130"/>
        <v>0</v>
      </c>
      <c r="R150" s="231">
        <f t="shared" si="130"/>
        <v>0</v>
      </c>
      <c r="S150" s="231">
        <f t="shared" si="130"/>
        <v>0</v>
      </c>
      <c r="T150" s="231">
        <f t="shared" si="130"/>
        <v>0</v>
      </c>
      <c r="U150" s="231">
        <f t="shared" si="130"/>
        <v>0</v>
      </c>
      <c r="V150" s="231">
        <f t="shared" si="130"/>
        <v>0</v>
      </c>
      <c r="W150" s="231">
        <f t="shared" si="130"/>
        <v>0</v>
      </c>
      <c r="X150" s="231">
        <f t="shared" si="130"/>
        <v>0</v>
      </c>
      <c r="Y150" s="231">
        <f t="shared" si="130"/>
        <v>0</v>
      </c>
    </row>
    <row r="151" spans="3:27" x14ac:dyDescent="0.25">
      <c r="C151" s="76"/>
      <c r="F151" t="s">
        <v>47</v>
      </c>
      <c r="G151" t="s">
        <v>252</v>
      </c>
      <c r="J151" s="231">
        <f t="shared" si="130"/>
        <v>0</v>
      </c>
      <c r="K151" s="231">
        <f t="shared" si="130"/>
        <v>0</v>
      </c>
      <c r="L151" s="231">
        <f t="shared" si="130"/>
        <v>0</v>
      </c>
      <c r="M151" s="231">
        <f t="shared" si="130"/>
        <v>0</v>
      </c>
      <c r="N151" s="231">
        <f t="shared" si="130"/>
        <v>0</v>
      </c>
      <c r="O151" s="231">
        <f t="shared" si="130"/>
        <v>0</v>
      </c>
      <c r="P151" s="231">
        <f t="shared" si="130"/>
        <v>0</v>
      </c>
      <c r="Q151" s="231">
        <f t="shared" si="130"/>
        <v>0</v>
      </c>
      <c r="R151" s="231">
        <f t="shared" si="130"/>
        <v>0</v>
      </c>
      <c r="S151" s="231">
        <f t="shared" si="130"/>
        <v>0</v>
      </c>
      <c r="T151" s="231">
        <f t="shared" si="130"/>
        <v>0</v>
      </c>
      <c r="U151" s="231">
        <f t="shared" si="130"/>
        <v>0</v>
      </c>
      <c r="V151" s="231">
        <f t="shared" si="130"/>
        <v>0</v>
      </c>
      <c r="W151" s="231">
        <f t="shared" si="130"/>
        <v>0</v>
      </c>
      <c r="X151" s="231">
        <f t="shared" si="130"/>
        <v>0</v>
      </c>
      <c r="Y151" s="231">
        <f t="shared" si="130"/>
        <v>0</v>
      </c>
    </row>
    <row r="152" spans="3:27" x14ac:dyDescent="0.25">
      <c r="C152" s="76"/>
      <c r="F152" t="s">
        <v>51</v>
      </c>
      <c r="G152" t="s">
        <v>252</v>
      </c>
      <c r="J152" s="231">
        <f t="shared" si="130"/>
        <v>0</v>
      </c>
      <c r="K152" s="231">
        <f t="shared" si="130"/>
        <v>0</v>
      </c>
      <c r="L152" s="231">
        <f t="shared" si="130"/>
        <v>0</v>
      </c>
      <c r="M152" s="231">
        <f t="shared" si="130"/>
        <v>0</v>
      </c>
      <c r="N152" s="231">
        <f t="shared" si="130"/>
        <v>0</v>
      </c>
      <c r="O152" s="231">
        <f t="shared" si="130"/>
        <v>0</v>
      </c>
      <c r="P152" s="231">
        <f t="shared" si="130"/>
        <v>0</v>
      </c>
      <c r="Q152" s="231">
        <f t="shared" si="130"/>
        <v>0</v>
      </c>
      <c r="R152" s="231">
        <f t="shared" si="130"/>
        <v>0</v>
      </c>
      <c r="S152" s="231">
        <f t="shared" si="130"/>
        <v>0</v>
      </c>
      <c r="T152" s="231">
        <f t="shared" si="130"/>
        <v>0</v>
      </c>
      <c r="U152" s="231">
        <f t="shared" si="130"/>
        <v>0</v>
      </c>
      <c r="V152" s="231">
        <f t="shared" si="130"/>
        <v>0</v>
      </c>
      <c r="W152" s="231">
        <f t="shared" si="130"/>
        <v>0</v>
      </c>
      <c r="X152" s="231">
        <f t="shared" si="130"/>
        <v>0</v>
      </c>
      <c r="Y152" s="231">
        <f t="shared" si="130"/>
        <v>0</v>
      </c>
    </row>
    <row r="153" spans="3:27" x14ac:dyDescent="0.25">
      <c r="C153" s="76"/>
      <c r="F153" t="s">
        <v>48</v>
      </c>
      <c r="G153" t="s">
        <v>252</v>
      </c>
      <c r="J153" s="231">
        <f t="shared" si="130"/>
        <v>0</v>
      </c>
      <c r="K153" s="231">
        <f t="shared" si="130"/>
        <v>0</v>
      </c>
      <c r="L153" s="231">
        <f t="shared" si="130"/>
        <v>0</v>
      </c>
      <c r="M153" s="231">
        <f t="shared" si="130"/>
        <v>0</v>
      </c>
      <c r="N153" s="231">
        <f t="shared" si="130"/>
        <v>0</v>
      </c>
      <c r="O153" s="231">
        <f t="shared" si="130"/>
        <v>0</v>
      </c>
      <c r="P153" s="231">
        <f t="shared" si="130"/>
        <v>0</v>
      </c>
      <c r="Q153" s="231">
        <f t="shared" si="130"/>
        <v>0</v>
      </c>
      <c r="R153" s="231">
        <f t="shared" si="130"/>
        <v>0</v>
      </c>
      <c r="S153" s="231">
        <f t="shared" si="130"/>
        <v>0</v>
      </c>
      <c r="T153" s="231">
        <f t="shared" si="130"/>
        <v>0</v>
      </c>
      <c r="U153" s="231">
        <f t="shared" si="130"/>
        <v>0</v>
      </c>
      <c r="V153" s="231">
        <f t="shared" si="130"/>
        <v>0</v>
      </c>
      <c r="W153" s="231">
        <f t="shared" si="130"/>
        <v>0</v>
      </c>
      <c r="X153" s="231">
        <f t="shared" si="130"/>
        <v>0</v>
      </c>
      <c r="Y153" s="231">
        <f t="shared" si="130"/>
        <v>0</v>
      </c>
    </row>
    <row r="154" spans="3:27" x14ac:dyDescent="0.25">
      <c r="C154" s="76"/>
      <c r="F154" t="s">
        <v>49</v>
      </c>
      <c r="G154" t="s">
        <v>252</v>
      </c>
      <c r="J154" s="231">
        <f t="shared" si="130"/>
        <v>0</v>
      </c>
      <c r="K154" s="231">
        <f t="shared" si="130"/>
        <v>0</v>
      </c>
      <c r="L154" s="231">
        <f t="shared" si="130"/>
        <v>0</v>
      </c>
      <c r="M154" s="231">
        <f t="shared" si="130"/>
        <v>0</v>
      </c>
      <c r="N154" s="231">
        <f t="shared" si="130"/>
        <v>0</v>
      </c>
      <c r="O154" s="231">
        <f t="shared" si="130"/>
        <v>0</v>
      </c>
      <c r="P154" s="231">
        <f t="shared" si="130"/>
        <v>0</v>
      </c>
      <c r="Q154" s="231">
        <f t="shared" si="130"/>
        <v>0</v>
      </c>
      <c r="R154" s="231">
        <f t="shared" si="130"/>
        <v>0</v>
      </c>
      <c r="S154" s="231">
        <f t="shared" si="130"/>
        <v>0</v>
      </c>
      <c r="T154" s="231">
        <f t="shared" si="130"/>
        <v>0</v>
      </c>
      <c r="U154" s="231">
        <f t="shared" si="130"/>
        <v>0</v>
      </c>
      <c r="V154" s="231">
        <f t="shared" si="130"/>
        <v>0</v>
      </c>
      <c r="W154" s="231">
        <f t="shared" si="130"/>
        <v>0</v>
      </c>
      <c r="X154" s="231">
        <f t="shared" si="130"/>
        <v>0</v>
      </c>
      <c r="Y154" s="231">
        <f t="shared" si="130"/>
        <v>0</v>
      </c>
    </row>
    <row r="155" spans="3:27" x14ac:dyDescent="0.25">
      <c r="C155" s="76"/>
      <c r="F155" t="s">
        <v>50</v>
      </c>
      <c r="G155" t="s">
        <v>252</v>
      </c>
      <c r="J155" s="231">
        <f t="shared" si="130"/>
        <v>0.82685753002723084</v>
      </c>
      <c r="K155" s="231">
        <f t="shared" si="130"/>
        <v>0</v>
      </c>
      <c r="L155" s="231">
        <f t="shared" si="130"/>
        <v>0.82685753002723084</v>
      </c>
      <c r="M155" s="231">
        <f t="shared" si="130"/>
        <v>0</v>
      </c>
      <c r="N155" s="231">
        <f t="shared" si="130"/>
        <v>0</v>
      </c>
      <c r="O155" s="231">
        <f t="shared" si="130"/>
        <v>0</v>
      </c>
      <c r="P155" s="231">
        <f t="shared" si="130"/>
        <v>0</v>
      </c>
      <c r="Q155" s="231">
        <f t="shared" si="130"/>
        <v>0</v>
      </c>
      <c r="R155" s="231">
        <f t="shared" si="130"/>
        <v>0</v>
      </c>
      <c r="S155" s="231">
        <f t="shared" si="130"/>
        <v>0</v>
      </c>
      <c r="T155" s="231">
        <f t="shared" si="130"/>
        <v>0</v>
      </c>
      <c r="U155" s="231">
        <f t="shared" si="130"/>
        <v>0</v>
      </c>
      <c r="V155" s="231">
        <f t="shared" si="130"/>
        <v>0</v>
      </c>
      <c r="W155" s="231">
        <f t="shared" si="130"/>
        <v>0</v>
      </c>
      <c r="X155" s="231">
        <f t="shared" si="130"/>
        <v>0</v>
      </c>
      <c r="Y155" s="231">
        <f t="shared" si="130"/>
        <v>0</v>
      </c>
    </row>
    <row r="156" spans="3:27" x14ac:dyDescent="0.25">
      <c r="C156" s="76"/>
      <c r="D156"/>
      <c r="F156" s="80" t="s">
        <v>124</v>
      </c>
      <c r="G156" s="80" t="s">
        <v>252</v>
      </c>
      <c r="H156" s="80"/>
      <c r="I156" s="80"/>
      <c r="J156" s="224">
        <f t="shared" ref="J156:Y157" si="131">J55</f>
        <v>3.7714381746683046</v>
      </c>
      <c r="K156" s="224">
        <f t="shared" si="131"/>
        <v>0</v>
      </c>
      <c r="L156" s="224">
        <f t="shared" si="131"/>
        <v>5.080008396511781</v>
      </c>
      <c r="M156" s="224">
        <f t="shared" si="131"/>
        <v>0</v>
      </c>
      <c r="N156" s="224">
        <f t="shared" si="131"/>
        <v>23.764953284910149</v>
      </c>
      <c r="O156" s="224">
        <f t="shared" si="131"/>
        <v>8.3876305711447596</v>
      </c>
      <c r="P156" s="224">
        <f t="shared" si="131"/>
        <v>0</v>
      </c>
      <c r="Q156" s="224">
        <f t="shared" si="131"/>
        <v>0</v>
      </c>
      <c r="R156" s="224">
        <f t="shared" si="131"/>
        <v>0</v>
      </c>
      <c r="S156" s="224">
        <f t="shared" si="131"/>
        <v>0</v>
      </c>
      <c r="T156" s="224">
        <f t="shared" si="131"/>
        <v>0</v>
      </c>
      <c r="U156" s="224">
        <f t="shared" si="131"/>
        <v>0</v>
      </c>
      <c r="V156" s="224">
        <f t="shared" si="131"/>
        <v>0</v>
      </c>
      <c r="W156" s="224">
        <f t="shared" si="131"/>
        <v>0</v>
      </c>
      <c r="X156" s="224">
        <f t="shared" si="131"/>
        <v>0</v>
      </c>
      <c r="Y156" s="224">
        <f t="shared" si="131"/>
        <v>0</v>
      </c>
    </row>
    <row r="157" spans="3:27" x14ac:dyDescent="0.25">
      <c r="C157" s="76"/>
      <c r="D157"/>
      <c r="F157" s="17" t="s">
        <v>123</v>
      </c>
      <c r="G157" s="17" t="s">
        <v>252</v>
      </c>
      <c r="H157" s="17"/>
      <c r="I157" s="17"/>
      <c r="J157" s="225">
        <f t="shared" si="131"/>
        <v>0</v>
      </c>
      <c r="K157" s="225">
        <f t="shared" si="131"/>
        <v>0</v>
      </c>
      <c r="L157" s="225">
        <f t="shared" si="131"/>
        <v>0</v>
      </c>
      <c r="M157" s="225">
        <f t="shared" si="131"/>
        <v>0</v>
      </c>
      <c r="N157" s="225">
        <f t="shared" si="131"/>
        <v>0</v>
      </c>
      <c r="O157" s="225">
        <f t="shared" si="131"/>
        <v>0</v>
      </c>
      <c r="P157" s="225">
        <f t="shared" si="131"/>
        <v>126.99377480279705</v>
      </c>
      <c r="Q157" s="225">
        <f t="shared" si="131"/>
        <v>0</v>
      </c>
      <c r="R157" s="225">
        <f t="shared" si="131"/>
        <v>0</v>
      </c>
      <c r="S157" s="225">
        <f t="shared" si="131"/>
        <v>0</v>
      </c>
      <c r="T157" s="225">
        <f t="shared" si="131"/>
        <v>0</v>
      </c>
      <c r="U157" s="225">
        <f t="shared" si="131"/>
        <v>0</v>
      </c>
      <c r="V157" s="225">
        <f t="shared" si="131"/>
        <v>0</v>
      </c>
      <c r="W157" s="225">
        <f t="shared" si="131"/>
        <v>0</v>
      </c>
      <c r="X157" s="225">
        <f t="shared" si="131"/>
        <v>92.733244183596881</v>
      </c>
      <c r="Y157" s="225">
        <f t="shared" si="131"/>
        <v>92.733244183596881</v>
      </c>
    </row>
    <row r="158" spans="3:27" x14ac:dyDescent="0.25">
      <c r="C158" s="76"/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</row>
    <row r="159" spans="3:27" x14ac:dyDescent="0.25">
      <c r="C159" s="5" t="str">
        <f ca="1">INDEX('Version control'!$H$36:$H$62,MATCH($A$1,'Version control'!$F$36:$F$62,0),1)&amp;"-H: Aggregated fixed charges"</f>
        <v>Section 517-H: Aggregated fixed charges</v>
      </c>
      <c r="D159" s="5"/>
      <c r="E159" s="5"/>
      <c r="F159" s="5"/>
      <c r="G159" s="5"/>
      <c r="H159" s="5"/>
      <c r="I159" s="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5"/>
      <c r="AA159" s="5"/>
    </row>
    <row r="160" spans="3:27" x14ac:dyDescent="0.25">
      <c r="C160" s="76"/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</row>
    <row r="161" spans="2:27" x14ac:dyDescent="0.25">
      <c r="E161" t="s">
        <v>254</v>
      </c>
      <c r="G161" t="s">
        <v>252</v>
      </c>
      <c r="J161" s="215">
        <f t="shared" ref="J161:X161" si="132">SUM(J132:J143,J146:J157)</f>
        <v>4.6823787634997727</v>
      </c>
      <c r="K161" s="215">
        <f t="shared" si="132"/>
        <v>0</v>
      </c>
      <c r="L161" s="215">
        <f t="shared" si="132"/>
        <v>5.9909489853432492</v>
      </c>
      <c r="M161" s="215">
        <f t="shared" si="132"/>
        <v>0</v>
      </c>
      <c r="N161" s="215">
        <f t="shared" si="132"/>
        <v>23.764953284910149</v>
      </c>
      <c r="O161" s="215">
        <f t="shared" si="132"/>
        <v>8.3876305711447596</v>
      </c>
      <c r="P161" s="215">
        <f t="shared" si="132"/>
        <v>126.99377480279705</v>
      </c>
      <c r="Q161" s="215">
        <f t="shared" si="132"/>
        <v>0</v>
      </c>
      <c r="R161" s="215">
        <f t="shared" si="132"/>
        <v>0</v>
      </c>
      <c r="S161" s="215">
        <f t="shared" si="132"/>
        <v>0</v>
      </c>
      <c r="T161" s="215">
        <f t="shared" si="132"/>
        <v>0</v>
      </c>
      <c r="U161" s="215">
        <f t="shared" si="132"/>
        <v>0</v>
      </c>
      <c r="V161" s="215">
        <f t="shared" si="132"/>
        <v>0</v>
      </c>
      <c r="W161" s="215">
        <f t="shared" si="132"/>
        <v>0</v>
      </c>
      <c r="X161" s="215">
        <f t="shared" si="132"/>
        <v>92.733244183596881</v>
      </c>
      <c r="Y161" s="215">
        <f>SUM(Y132:Y143,Y146:Y157)</f>
        <v>92.733244183596881</v>
      </c>
    </row>
    <row r="163" spans="2:27" x14ac:dyDescent="0.25">
      <c r="B163" s="82" t="s">
        <v>109</v>
      </c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</row>
    <row r="165" spans="2:27" x14ac:dyDescent="0.25">
      <c r="C165" s="76"/>
      <c r="E165" t="s">
        <v>415</v>
      </c>
      <c r="G165" s="46" t="s">
        <v>588</v>
      </c>
      <c r="H165" s="263">
        <f t="array" ref="H165">SUM(IF(ISERROR(H18:Y161), 1))</f>
        <v>0</v>
      </c>
    </row>
    <row r="167" spans="2:27" x14ac:dyDescent="0.25">
      <c r="B167" s="82" t="s">
        <v>110</v>
      </c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7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25" width="17" customWidth="1"/>
    <col min="26" max="26" width="2.42578125" customWidth="1"/>
    <col min="27" max="27" width="50.5703125" customWidth="1"/>
    <col min="28" max="28" width="2.42578125" customWidth="1"/>
    <col min="29" max="29" width="24.5703125" hidden="1" customWidth="1"/>
    <col min="30" max="30" width="3.5703125" hidden="1" customWidth="1"/>
    <col min="31" max="31" width="15.42578125" hidden="1" customWidth="1"/>
    <col min="32" max="304" width="24.5703125" hidden="1" customWidth="1"/>
    <col min="305" max="16384" width="8.5703125" hidden="1"/>
  </cols>
  <sheetData>
    <row r="1" spans="1:27" s="8" customFormat="1" x14ac:dyDescent="0.25">
      <c r="A1" s="8" t="str">
        <f ca="1">MID(CELL("filename",A1),FIND("]",CELL("filename",A1))+1,255)</f>
        <v>SoLR &amp; bad debt adders</v>
      </c>
    </row>
    <row r="2" spans="1:27" s="8" customFormat="1" x14ac:dyDescent="0.25">
      <c r="A2" s="8" t="str">
        <f>Cover!D21&amp;" - "&amp;Cover!D23</f>
        <v>SP Distribution - One</v>
      </c>
    </row>
    <row r="3" spans="1:27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27" x14ac:dyDescent="0.25">
      <c r="A4" s="194" t="str">
        <f>H71 &amp; IF(H71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27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</row>
    <row r="9" spans="1:27" x14ac:dyDescent="0.25">
      <c r="C9" s="73" t="s">
        <v>963</v>
      </c>
      <c r="E9"/>
    </row>
    <row r="10" spans="1:27" x14ac:dyDescent="0.25">
      <c r="C10" s="73" t="s">
        <v>964</v>
      </c>
      <c r="E10"/>
    </row>
    <row r="12" spans="1:27" x14ac:dyDescent="0.25">
      <c r="B12" s="82" t="s">
        <v>965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</row>
    <row r="14" spans="1:27" x14ac:dyDescent="0.25">
      <c r="C14" s="73" t="s">
        <v>966</v>
      </c>
    </row>
    <row r="16" spans="1:27" x14ac:dyDescent="0.25">
      <c r="C16" s="5" t="str">
        <f ca="1">INDEX('Version control'!$H$36:$H$60,MATCH($A$1,'Version control'!$F$36:$F$60,0),1)&amp;"-A: Inputs for fixed tariff adjustments"</f>
        <v>Section 518-A: Inputs for fixed tariff adjustments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</row>
    <row r="18" spans="1:27" x14ac:dyDescent="0.25">
      <c r="E18" s="76" t="s">
        <v>74</v>
      </c>
      <c r="F18" s="52"/>
    </row>
    <row r="19" spans="1:27" x14ac:dyDescent="0.25">
      <c r="E19" s="73" t="s">
        <v>967</v>
      </c>
      <c r="F19" s="84"/>
    </row>
    <row r="20" spans="1:27" x14ac:dyDescent="0.25">
      <c r="C20" s="76"/>
      <c r="F20" s="80" t="s">
        <v>145</v>
      </c>
      <c r="G20" s="80" t="s">
        <v>74</v>
      </c>
      <c r="H20" s="307"/>
      <c r="I20" s="296"/>
      <c r="J20" s="307">
        <f>'Volume adjustments'!J202</f>
        <v>1858128</v>
      </c>
      <c r="K20" s="307">
        <f>'Volume adjustments'!K202</f>
        <v>92980</v>
      </c>
      <c r="L20" s="307">
        <f>'Volume adjustments'!L202</f>
        <v>126136</v>
      </c>
      <c r="M20" s="307">
        <f>'Volume adjustments'!M202</f>
        <v>5473</v>
      </c>
      <c r="N20" s="307">
        <f>'Volume adjustments'!N202</f>
        <v>11086</v>
      </c>
      <c r="O20" s="307">
        <f>'Volume adjustments'!O202</f>
        <v>278</v>
      </c>
      <c r="P20" s="307">
        <f>'Volume adjustments'!P202</f>
        <v>1279</v>
      </c>
      <c r="Q20" s="307">
        <f>'Volume adjustments'!Q202</f>
        <v>4804</v>
      </c>
      <c r="R20" s="307">
        <f>'Volume adjustments'!R202</f>
        <v>1153</v>
      </c>
      <c r="S20" s="307">
        <f>'Volume adjustments'!S202</f>
        <v>4</v>
      </c>
      <c r="T20" s="307">
        <f>'Volume adjustments'!T202</f>
        <v>496</v>
      </c>
      <c r="U20" s="307">
        <f>'Volume adjustments'!U202</f>
        <v>0</v>
      </c>
      <c r="V20" s="307">
        <f>'Volume adjustments'!V202</f>
        <v>9</v>
      </c>
      <c r="W20" s="307">
        <f>'Volume adjustments'!W202</f>
        <v>0</v>
      </c>
      <c r="X20" s="307">
        <f>'Volume adjustments'!X202</f>
        <v>261</v>
      </c>
      <c r="Y20" s="307">
        <f>'Volume adjustments'!Y202</f>
        <v>0</v>
      </c>
      <c r="Z20" s="298"/>
      <c r="AA20" s="298"/>
    </row>
    <row r="21" spans="1:27" x14ac:dyDescent="0.25">
      <c r="C21" s="76"/>
      <c r="F21" t="s">
        <v>146</v>
      </c>
      <c r="G21" t="s">
        <v>74</v>
      </c>
      <c r="H21" s="363"/>
      <c r="I21" s="298"/>
      <c r="J21" s="363">
        <f>'Volume adjustments'!J211</f>
        <v>55364.654773703347</v>
      </c>
      <c r="K21" s="363">
        <f>'Volume adjustments'!K211</f>
        <v>61</v>
      </c>
      <c r="L21" s="363">
        <f>'Volume adjustments'!L211</f>
        <v>1193</v>
      </c>
      <c r="M21" s="363">
        <f>'Volume adjustments'!M211</f>
        <v>0</v>
      </c>
      <c r="N21" s="363">
        <f>'Volume adjustments'!N211</f>
        <v>109</v>
      </c>
      <c r="O21" s="363">
        <f>'Volume adjustments'!O211</f>
        <v>0</v>
      </c>
      <c r="P21" s="363">
        <f>'Volume adjustments'!P211</f>
        <v>0</v>
      </c>
      <c r="Q21" s="363">
        <f>'Volume adjustments'!Q211</f>
        <v>71</v>
      </c>
      <c r="R21" s="363">
        <f>'Volume adjustments'!R211</f>
        <v>62</v>
      </c>
      <c r="S21" s="363">
        <f>'Volume adjustments'!S211</f>
        <v>0</v>
      </c>
      <c r="T21" s="363">
        <f>'Volume adjustments'!T211</f>
        <v>0</v>
      </c>
      <c r="U21" s="363">
        <f>'Volume adjustments'!U211</f>
        <v>0</v>
      </c>
      <c r="V21" s="363">
        <f>'Volume adjustments'!V211</f>
        <v>0</v>
      </c>
      <c r="W21" s="363">
        <f>'Volume adjustments'!W211</f>
        <v>0</v>
      </c>
      <c r="X21" s="363">
        <f>'Volume adjustments'!X211</f>
        <v>0</v>
      </c>
      <c r="Y21" s="363">
        <f>'Volume adjustments'!Y211</f>
        <v>0</v>
      </c>
      <c r="Z21" s="298"/>
      <c r="AA21" s="298"/>
    </row>
    <row r="22" spans="1:27" x14ac:dyDescent="0.25">
      <c r="C22" s="76"/>
      <c r="F22" t="s">
        <v>147</v>
      </c>
      <c r="G22" t="s">
        <v>74</v>
      </c>
      <c r="H22" s="363"/>
      <c r="I22" s="298"/>
      <c r="J22" s="363">
        <f>'Volume adjustments'!J220</f>
        <v>84249.703927492461</v>
      </c>
      <c r="K22" s="363">
        <f>'Volume adjustments'!K220</f>
        <v>70</v>
      </c>
      <c r="L22" s="363">
        <f>'Volume adjustments'!L220</f>
        <v>1722</v>
      </c>
      <c r="M22" s="363">
        <f>'Volume adjustments'!M220</f>
        <v>0</v>
      </c>
      <c r="N22" s="363">
        <f>'Volume adjustments'!N220</f>
        <v>481</v>
      </c>
      <c r="O22" s="363">
        <f>'Volume adjustments'!O220</f>
        <v>38</v>
      </c>
      <c r="P22" s="363">
        <f>'Volume adjustments'!P220</f>
        <v>30</v>
      </c>
      <c r="Q22" s="363">
        <f>'Volume adjustments'!Q220</f>
        <v>71</v>
      </c>
      <c r="R22" s="363">
        <f>'Volume adjustments'!R220</f>
        <v>521</v>
      </c>
      <c r="S22" s="363">
        <f>'Volume adjustments'!S220</f>
        <v>1</v>
      </c>
      <c r="T22" s="363">
        <f>'Volume adjustments'!T220</f>
        <v>0</v>
      </c>
      <c r="U22" s="363">
        <f>'Volume adjustments'!U220</f>
        <v>0</v>
      </c>
      <c r="V22" s="363">
        <f>'Volume adjustments'!V220</f>
        <v>0</v>
      </c>
      <c r="W22" s="363">
        <f>'Volume adjustments'!W220</f>
        <v>0</v>
      </c>
      <c r="X22" s="363">
        <f>'Volume adjustments'!X220</f>
        <v>0</v>
      </c>
      <c r="Y22" s="363">
        <f>'Volume adjustments'!Y220</f>
        <v>0</v>
      </c>
      <c r="Z22" s="298"/>
      <c r="AA22" s="298"/>
    </row>
    <row r="23" spans="1:27" x14ac:dyDescent="0.25">
      <c r="C23" s="76"/>
      <c r="F23" s="17" t="s">
        <v>968</v>
      </c>
      <c r="G23" s="17" t="s">
        <v>74</v>
      </c>
      <c r="H23" s="97"/>
      <c r="I23" s="17"/>
      <c r="J23" s="230">
        <f>'Inputs by customer type'!J164</f>
        <v>3466.0728288547793</v>
      </c>
      <c r="K23" s="230">
        <f>'Inputs by customer type'!K164</f>
        <v>0</v>
      </c>
      <c r="L23" s="230">
        <f>'Inputs by customer type'!L164</f>
        <v>0</v>
      </c>
      <c r="M23" s="230">
        <f>'Inputs by customer type'!M164</f>
        <v>84</v>
      </c>
      <c r="N23" s="230">
        <f>'Inputs by customer type'!N164</f>
        <v>3</v>
      </c>
      <c r="O23" s="230">
        <f>'Inputs by customer type'!O164</f>
        <v>31</v>
      </c>
      <c r="P23" s="230">
        <f>'Inputs by customer type'!P164</f>
        <v>5</v>
      </c>
      <c r="Q23" s="230">
        <f>'Inputs by customer type'!Q164</f>
        <v>0</v>
      </c>
      <c r="R23" s="230">
        <f>'Inputs by customer type'!R164</f>
        <v>0</v>
      </c>
      <c r="S23" s="230">
        <f>'Inputs by customer type'!S164</f>
        <v>13</v>
      </c>
      <c r="T23" s="230">
        <f>'Inputs by customer type'!T164</f>
        <v>16</v>
      </c>
      <c r="U23" s="230">
        <f>'Inputs by customer type'!U164</f>
        <v>9</v>
      </c>
      <c r="V23" s="230">
        <f>'Inputs by customer type'!V164</f>
        <v>9</v>
      </c>
      <c r="W23" s="230">
        <f>'Inputs by customer type'!W164</f>
        <v>0</v>
      </c>
      <c r="X23" s="230">
        <f>'Inputs by customer type'!X164</f>
        <v>0</v>
      </c>
      <c r="Y23" s="230">
        <f>'Inputs by customer type'!Y164</f>
        <v>0</v>
      </c>
    </row>
    <row r="24" spans="1:27" x14ac:dyDescent="0.25">
      <c r="C24" s="76"/>
      <c r="E24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</row>
    <row r="25" spans="1:27" x14ac:dyDescent="0.25">
      <c r="C25" s="76"/>
      <c r="E25" s="52" t="s">
        <v>969</v>
      </c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</row>
    <row r="26" spans="1:27" x14ac:dyDescent="0.25">
      <c r="C26" s="76"/>
      <c r="E26"/>
      <c r="F26" s="80" t="s">
        <v>957</v>
      </c>
      <c r="G26" s="80" t="s">
        <v>132</v>
      </c>
      <c r="H26" s="80"/>
      <c r="I26" s="80"/>
      <c r="J26" s="118">
        <f>'Fixed inputs'!J158</f>
        <v>1</v>
      </c>
      <c r="K26" s="118">
        <f>'Fixed inputs'!K158</f>
        <v>0</v>
      </c>
      <c r="L26" s="118">
        <f>'Fixed inputs'!L158</f>
        <v>0</v>
      </c>
      <c r="M26" s="118">
        <f>'Fixed inputs'!M158</f>
        <v>0</v>
      </c>
      <c r="N26" s="118">
        <f>'Fixed inputs'!N158</f>
        <v>0</v>
      </c>
      <c r="O26" s="118">
        <f>'Fixed inputs'!O158</f>
        <v>0</v>
      </c>
      <c r="P26" s="118">
        <f>'Fixed inputs'!P158</f>
        <v>0</v>
      </c>
      <c r="Q26" s="118">
        <f>'Fixed inputs'!Q158</f>
        <v>0</v>
      </c>
      <c r="R26" s="118">
        <f>'Fixed inputs'!R158</f>
        <v>0</v>
      </c>
      <c r="S26" s="118">
        <f>'Fixed inputs'!S158</f>
        <v>0</v>
      </c>
      <c r="T26" s="118">
        <f>'Fixed inputs'!T158</f>
        <v>0</v>
      </c>
      <c r="U26" s="118">
        <f>'Fixed inputs'!U158</f>
        <v>0</v>
      </c>
      <c r="V26" s="118">
        <f>'Fixed inputs'!V158</f>
        <v>0</v>
      </c>
      <c r="W26" s="118">
        <f>'Fixed inputs'!W158</f>
        <v>0</v>
      </c>
      <c r="X26" s="118">
        <f>'Fixed inputs'!X158</f>
        <v>0</v>
      </c>
      <c r="Y26" s="118">
        <f>'Fixed inputs'!Y158</f>
        <v>0</v>
      </c>
    </row>
    <row r="27" spans="1:27" s="476" customFormat="1" x14ac:dyDescent="0.25">
      <c r="C27" s="479"/>
      <c r="D27" s="480"/>
      <c r="F27" t="s">
        <v>958</v>
      </c>
      <c r="G27" s="476" t="s">
        <v>132</v>
      </c>
      <c r="J27" s="481">
        <f>'Fixed inputs'!J159</f>
        <v>1</v>
      </c>
      <c r="K27" s="481">
        <f>'Fixed inputs'!K159</f>
        <v>0</v>
      </c>
      <c r="L27" s="481">
        <f>'Fixed inputs'!L159</f>
        <v>1</v>
      </c>
      <c r="M27" s="481">
        <f>'Fixed inputs'!M159</f>
        <v>0</v>
      </c>
      <c r="N27" s="481">
        <f>'Fixed inputs'!N159</f>
        <v>1</v>
      </c>
      <c r="O27" s="481">
        <f>'Fixed inputs'!O159</f>
        <v>1</v>
      </c>
      <c r="P27" s="481">
        <f>'Fixed inputs'!P159</f>
        <v>1</v>
      </c>
      <c r="Q27" s="481">
        <f>'Fixed inputs'!Q159</f>
        <v>0</v>
      </c>
      <c r="R27" s="481">
        <f>'Fixed inputs'!R159</f>
        <v>0</v>
      </c>
      <c r="S27" s="481">
        <f>'Fixed inputs'!S159</f>
        <v>0</v>
      </c>
      <c r="T27" s="481">
        <f>'Fixed inputs'!T159</f>
        <v>0</v>
      </c>
      <c r="U27" s="481">
        <f>'Fixed inputs'!U159</f>
        <v>0</v>
      </c>
      <c r="V27" s="481">
        <f>'Fixed inputs'!V159</f>
        <v>0</v>
      </c>
      <c r="W27" s="481">
        <f>'Fixed inputs'!W159</f>
        <v>0</v>
      </c>
      <c r="X27" s="481">
        <f>'Fixed inputs'!X159</f>
        <v>0</v>
      </c>
      <c r="Y27" s="481">
        <f>'Fixed inputs'!Y159</f>
        <v>0</v>
      </c>
    </row>
    <row r="28" spans="1:27" x14ac:dyDescent="0.25">
      <c r="C28" s="76"/>
      <c r="E28"/>
      <c r="F28" s="17" t="s">
        <v>1247</v>
      </c>
      <c r="G28" s="17" t="s">
        <v>132</v>
      </c>
      <c r="H28" s="17"/>
      <c r="I28" s="17"/>
      <c r="J28" s="97">
        <f>'Fixed inputs'!J160</f>
        <v>1</v>
      </c>
      <c r="K28" s="97">
        <f>'Fixed inputs'!K160</f>
        <v>0</v>
      </c>
      <c r="L28" s="97">
        <f>'Fixed inputs'!L160</f>
        <v>1</v>
      </c>
      <c r="M28" s="97">
        <f>'Fixed inputs'!M160</f>
        <v>0</v>
      </c>
      <c r="N28" s="97">
        <f>'Fixed inputs'!N160</f>
        <v>1</v>
      </c>
      <c r="O28" s="97">
        <f>'Fixed inputs'!O160</f>
        <v>1</v>
      </c>
      <c r="P28" s="97">
        <f>'Fixed inputs'!P160</f>
        <v>1</v>
      </c>
      <c r="Q28" s="97">
        <f>'Fixed inputs'!Q160</f>
        <v>0</v>
      </c>
      <c r="R28" s="97">
        <f>'Fixed inputs'!R160</f>
        <v>0</v>
      </c>
      <c r="S28" s="97">
        <f>'Fixed inputs'!S160</f>
        <v>0</v>
      </c>
      <c r="T28" s="97">
        <f>'Fixed inputs'!T160</f>
        <v>0</v>
      </c>
      <c r="U28" s="97">
        <f>'Fixed inputs'!U160</f>
        <v>0</v>
      </c>
      <c r="V28" s="97">
        <f>'Fixed inputs'!V160</f>
        <v>0</v>
      </c>
      <c r="W28" s="97">
        <f>'Fixed inputs'!W160</f>
        <v>0</v>
      </c>
      <c r="X28" s="97">
        <f>'Fixed inputs'!X160</f>
        <v>0</v>
      </c>
      <c r="Y28" s="97">
        <f>'Fixed inputs'!Y160</f>
        <v>0</v>
      </c>
    </row>
    <row r="29" spans="1:27" x14ac:dyDescent="0.25">
      <c r="C29" s="76"/>
      <c r="E29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</row>
    <row r="30" spans="1:27" x14ac:dyDescent="0.25">
      <c r="C30" s="76"/>
      <c r="E30" s="52" t="s">
        <v>960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</row>
    <row r="31" spans="1:27" x14ac:dyDescent="0.25">
      <c r="C31" s="76"/>
      <c r="E31"/>
      <c r="F31" s="80" t="s">
        <v>957</v>
      </c>
      <c r="G31" s="80" t="s">
        <v>107</v>
      </c>
      <c r="H31" s="228">
        <f>'General inputs'!H56</f>
        <v>1211184.4474688924</v>
      </c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</row>
    <row r="32" spans="1:27" s="476" customFormat="1" x14ac:dyDescent="0.25">
      <c r="A32"/>
      <c r="C32" s="479"/>
      <c r="D32" s="480"/>
      <c r="F32" t="s">
        <v>958</v>
      </c>
      <c r="G32" s="476" t="s">
        <v>107</v>
      </c>
      <c r="H32" s="417">
        <f>'General inputs'!H57</f>
        <v>2435630.7059293278</v>
      </c>
      <c r="J32" s="482"/>
      <c r="K32" s="482"/>
      <c r="L32" s="482"/>
      <c r="M32" s="482"/>
      <c r="N32" s="482"/>
      <c r="O32" s="482"/>
      <c r="P32" s="482"/>
      <c r="Q32" s="482"/>
      <c r="R32" s="482"/>
      <c r="S32" s="482"/>
      <c r="T32" s="482"/>
      <c r="U32" s="482"/>
      <c r="V32" s="482"/>
      <c r="W32" s="482"/>
      <c r="X32" s="482"/>
      <c r="Y32" s="482"/>
    </row>
    <row r="33" spans="1:27" x14ac:dyDescent="0.25">
      <c r="C33" s="76"/>
      <c r="E33"/>
      <c r="F33" s="17" t="s">
        <v>1247</v>
      </c>
      <c r="G33" s="17" t="s">
        <v>107</v>
      </c>
      <c r="H33" s="230">
        <f>'General inputs'!H58</f>
        <v>0</v>
      </c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</row>
    <row r="35" spans="1:27" x14ac:dyDescent="0.25">
      <c r="C35" s="5" t="str">
        <f ca="1">INDEX('Version control'!$H$36:$H$60,MATCH($A$1,'Version control'!$F$36:$F$60,0),1)&amp;"-B: Calculation of fixed tariff adjustments"</f>
        <v>Section 518-B: Calculation of fixed tariff adjustments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</row>
    <row r="36" spans="1:27" x14ac:dyDescent="0.25">
      <c r="C36" s="76"/>
      <c r="E36"/>
      <c r="J36" s="211"/>
      <c r="K36" s="211"/>
      <c r="L36" s="211"/>
      <c r="M36" s="211"/>
      <c r="N36" s="211"/>
      <c r="O36" s="211"/>
      <c r="P36" s="211"/>
      <c r="Q36" s="211"/>
      <c r="R36" s="211"/>
      <c r="S36" s="211"/>
      <c r="T36" s="211"/>
      <c r="U36" s="211"/>
      <c r="V36" s="211"/>
      <c r="W36" s="211"/>
      <c r="X36" s="211"/>
      <c r="Y36" s="211"/>
    </row>
    <row r="37" spans="1:27" x14ac:dyDescent="0.25">
      <c r="C37" s="76"/>
      <c r="E37" s="52" t="s">
        <v>970</v>
      </c>
      <c r="J37" s="211"/>
      <c r="K37" s="211"/>
      <c r="L37" s="211"/>
      <c r="M37" s="211"/>
      <c r="N37" s="211"/>
      <c r="O37" s="211"/>
      <c r="P37" s="211"/>
      <c r="Q37" s="211"/>
      <c r="R37" s="211"/>
      <c r="S37" s="211"/>
      <c r="T37" s="211"/>
      <c r="U37" s="211"/>
      <c r="V37" s="211"/>
      <c r="W37" s="211"/>
      <c r="X37" s="211"/>
      <c r="Y37" s="211"/>
    </row>
    <row r="38" spans="1:27" x14ac:dyDescent="0.25">
      <c r="F38" s="80" t="s">
        <v>957</v>
      </c>
      <c r="G38" s="80" t="s">
        <v>74</v>
      </c>
      <c r="H38" s="80"/>
      <c r="I38" s="80"/>
      <c r="J38" s="223">
        <f>SUM( J$20:J$23 ) * J26</f>
        <v>2001208.4315300505</v>
      </c>
      <c r="K38" s="223">
        <f t="shared" ref="K38:Y38" si="0">SUM( K$20:K$23 ) * K26</f>
        <v>0</v>
      </c>
      <c r="L38" s="223">
        <f t="shared" si="0"/>
        <v>0</v>
      </c>
      <c r="M38" s="223">
        <f t="shared" si="0"/>
        <v>0</v>
      </c>
      <c r="N38" s="223">
        <f t="shared" si="0"/>
        <v>0</v>
      </c>
      <c r="O38" s="223">
        <f t="shared" si="0"/>
        <v>0</v>
      </c>
      <c r="P38" s="223">
        <f t="shared" si="0"/>
        <v>0</v>
      </c>
      <c r="Q38" s="223">
        <f t="shared" si="0"/>
        <v>0</v>
      </c>
      <c r="R38" s="223">
        <f t="shared" si="0"/>
        <v>0</v>
      </c>
      <c r="S38" s="223">
        <f t="shared" si="0"/>
        <v>0</v>
      </c>
      <c r="T38" s="223">
        <f t="shared" si="0"/>
        <v>0</v>
      </c>
      <c r="U38" s="223">
        <f t="shared" si="0"/>
        <v>0</v>
      </c>
      <c r="V38" s="223">
        <f t="shared" si="0"/>
        <v>0</v>
      </c>
      <c r="W38" s="223">
        <f t="shared" si="0"/>
        <v>0</v>
      </c>
      <c r="X38" s="223">
        <f t="shared" si="0"/>
        <v>0</v>
      </c>
      <c r="Y38" s="223">
        <f t="shared" si="0"/>
        <v>0</v>
      </c>
    </row>
    <row r="39" spans="1:27" s="476" customFormat="1" x14ac:dyDescent="0.25">
      <c r="A39"/>
      <c r="B39"/>
      <c r="C39"/>
      <c r="D39" s="84"/>
      <c r="E39" s="84"/>
      <c r="F39" t="s">
        <v>958</v>
      </c>
      <c r="G39" s="476" t="s">
        <v>74</v>
      </c>
      <c r="J39" s="478">
        <f>SUM( J$20:J$23 ) * J27</f>
        <v>2001208.4315300505</v>
      </c>
      <c r="K39" s="478">
        <f t="shared" ref="K39:Y39" si="1">SUM( K$20:K$23 ) * K27</f>
        <v>0</v>
      </c>
      <c r="L39" s="478">
        <f t="shared" si="1"/>
        <v>129051</v>
      </c>
      <c r="M39" s="478">
        <f t="shared" si="1"/>
        <v>0</v>
      </c>
      <c r="N39" s="478">
        <f t="shared" si="1"/>
        <v>11679</v>
      </c>
      <c r="O39" s="478">
        <f t="shared" si="1"/>
        <v>347</v>
      </c>
      <c r="P39" s="478">
        <f t="shared" si="1"/>
        <v>1314</v>
      </c>
      <c r="Q39" s="478">
        <f t="shared" si="1"/>
        <v>0</v>
      </c>
      <c r="R39" s="478">
        <f t="shared" si="1"/>
        <v>0</v>
      </c>
      <c r="S39" s="478">
        <f t="shared" si="1"/>
        <v>0</v>
      </c>
      <c r="T39" s="478">
        <f t="shared" si="1"/>
        <v>0</v>
      </c>
      <c r="U39" s="478">
        <f t="shared" si="1"/>
        <v>0</v>
      </c>
      <c r="V39" s="478">
        <f t="shared" si="1"/>
        <v>0</v>
      </c>
      <c r="W39" s="478">
        <f t="shared" si="1"/>
        <v>0</v>
      </c>
      <c r="X39" s="478">
        <f t="shared" si="1"/>
        <v>0</v>
      </c>
      <c r="Y39" s="478">
        <f t="shared" si="1"/>
        <v>0</v>
      </c>
    </row>
    <row r="40" spans="1:27" x14ac:dyDescent="0.25">
      <c r="F40" s="17" t="s">
        <v>1247</v>
      </c>
      <c r="G40" s="17" t="s">
        <v>74</v>
      </c>
      <c r="H40" s="17"/>
      <c r="I40" s="17"/>
      <c r="J40" s="220">
        <f t="shared" ref="J40:Y40" si="2">SUM( J$20:J$23 ) * J28</f>
        <v>2001208.4315300505</v>
      </c>
      <c r="K40" s="220">
        <f t="shared" si="2"/>
        <v>0</v>
      </c>
      <c r="L40" s="220">
        <f t="shared" si="2"/>
        <v>129051</v>
      </c>
      <c r="M40" s="220">
        <f t="shared" si="2"/>
        <v>0</v>
      </c>
      <c r="N40" s="220">
        <f t="shared" si="2"/>
        <v>11679</v>
      </c>
      <c r="O40" s="220">
        <f t="shared" si="2"/>
        <v>347</v>
      </c>
      <c r="P40" s="220">
        <f t="shared" si="2"/>
        <v>1314</v>
      </c>
      <c r="Q40" s="220">
        <f t="shared" si="2"/>
        <v>0</v>
      </c>
      <c r="R40" s="220">
        <f t="shared" si="2"/>
        <v>0</v>
      </c>
      <c r="S40" s="220">
        <f t="shared" si="2"/>
        <v>0</v>
      </c>
      <c r="T40" s="220">
        <f t="shared" si="2"/>
        <v>0</v>
      </c>
      <c r="U40" s="220">
        <f t="shared" si="2"/>
        <v>0</v>
      </c>
      <c r="V40" s="220">
        <f t="shared" si="2"/>
        <v>0</v>
      </c>
      <c r="W40" s="220">
        <f t="shared" si="2"/>
        <v>0</v>
      </c>
      <c r="X40" s="220">
        <f t="shared" si="2"/>
        <v>0</v>
      </c>
      <c r="Y40" s="220">
        <f t="shared" si="2"/>
        <v>0</v>
      </c>
    </row>
    <row r="41" spans="1:27" x14ac:dyDescent="0.25">
      <c r="C41" s="76"/>
      <c r="E41"/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</row>
    <row r="42" spans="1:27" x14ac:dyDescent="0.25">
      <c r="C42" s="76"/>
      <c r="E42" s="52" t="s">
        <v>971</v>
      </c>
      <c r="I42" t="s">
        <v>359</v>
      </c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AA42" t="s">
        <v>993</v>
      </c>
    </row>
    <row r="43" spans="1:27" x14ac:dyDescent="0.25">
      <c r="C43" s="76"/>
      <c r="E43"/>
      <c r="F43" s="80" t="s">
        <v>957</v>
      </c>
      <c r="G43" s="80" t="s">
        <v>252</v>
      </c>
      <c r="H43" s="212">
        <f>H31 / SUM( J38:Y38 ) * hundred / days_in_year</f>
        <v>0.16581548940268223</v>
      </c>
      <c r="I43" s="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</row>
    <row r="44" spans="1:27" s="476" customFormat="1" x14ac:dyDescent="0.25">
      <c r="A44"/>
      <c r="B44"/>
      <c r="C44" s="76"/>
      <c r="D44" s="84"/>
      <c r="E44"/>
      <c r="F44" t="s">
        <v>958</v>
      </c>
      <c r="G44" s="476" t="s">
        <v>252</v>
      </c>
      <c r="H44" s="486">
        <f>H32 / SUM( J39:Y39 ) * hundred / days_in_year</f>
        <v>0.31129700540177602</v>
      </c>
      <c r="I44" s="484"/>
      <c r="J44" s="485"/>
      <c r="K44" s="485"/>
      <c r="L44" s="485"/>
      <c r="M44" s="485"/>
      <c r="N44" s="485"/>
      <c r="O44" s="485"/>
      <c r="P44" s="485"/>
      <c r="Q44" s="485"/>
      <c r="R44" s="485"/>
      <c r="S44" s="485"/>
      <c r="T44" s="485"/>
      <c r="U44" s="485"/>
      <c r="V44" s="485"/>
      <c r="W44" s="485"/>
      <c r="X44" s="485"/>
      <c r="Y44" s="485"/>
    </row>
    <row r="45" spans="1:27" x14ac:dyDescent="0.25">
      <c r="C45" s="76"/>
      <c r="E45"/>
      <c r="F45" s="17" t="s">
        <v>1247</v>
      </c>
      <c r="G45" s="17" t="s">
        <v>252</v>
      </c>
      <c r="H45" s="209">
        <f>H33 / SUM( J40:Y40 ) * hundred / days_in_year</f>
        <v>0</v>
      </c>
      <c r="I45" s="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</row>
    <row r="46" spans="1:27" x14ac:dyDescent="0.25">
      <c r="C46" s="76"/>
      <c r="E46"/>
      <c r="H46" s="59"/>
      <c r="I46" s="59"/>
      <c r="J46" s="198"/>
      <c r="K46" s="198"/>
      <c r="L46" s="198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198"/>
    </row>
    <row r="47" spans="1:27" x14ac:dyDescent="0.25">
      <c r="C47" s="76"/>
      <c r="E47" s="52" t="s">
        <v>972</v>
      </c>
      <c r="H47" s="59"/>
      <c r="I47" s="59"/>
      <c r="J47" s="198"/>
      <c r="K47" s="198"/>
      <c r="L47" s="198"/>
      <c r="M47" s="198"/>
      <c r="N47" s="198"/>
      <c r="O47" s="198"/>
      <c r="P47" s="198"/>
      <c r="Q47" s="198"/>
      <c r="R47" s="198"/>
      <c r="S47" s="198"/>
      <c r="T47" s="198"/>
      <c r="U47" s="198"/>
      <c r="V47" s="198"/>
      <c r="W47" s="198"/>
      <c r="X47" s="198"/>
      <c r="Y47" s="198"/>
    </row>
    <row r="48" spans="1:27" x14ac:dyDescent="0.25">
      <c r="C48" s="76"/>
      <c r="E48"/>
      <c r="F48" s="80" t="s">
        <v>957</v>
      </c>
      <c r="G48" s="80" t="s">
        <v>252</v>
      </c>
      <c r="H48" s="212"/>
      <c r="I48" s="212"/>
      <c r="J48" s="212">
        <f>IF( J26 = 1, $H43, 0)</f>
        <v>0.16581548940268223</v>
      </c>
      <c r="K48" s="212">
        <f t="shared" ref="K48:Y48" si="3">IF( K26 = 1, $H43, 0)</f>
        <v>0</v>
      </c>
      <c r="L48" s="212">
        <f t="shared" si="3"/>
        <v>0</v>
      </c>
      <c r="M48" s="212">
        <f t="shared" si="3"/>
        <v>0</v>
      </c>
      <c r="N48" s="212">
        <f t="shared" si="3"/>
        <v>0</v>
      </c>
      <c r="O48" s="212">
        <f t="shared" si="3"/>
        <v>0</v>
      </c>
      <c r="P48" s="212">
        <f t="shared" si="3"/>
        <v>0</v>
      </c>
      <c r="Q48" s="212">
        <f t="shared" si="3"/>
        <v>0</v>
      </c>
      <c r="R48" s="212">
        <f t="shared" si="3"/>
        <v>0</v>
      </c>
      <c r="S48" s="212">
        <f t="shared" si="3"/>
        <v>0</v>
      </c>
      <c r="T48" s="212">
        <f t="shared" si="3"/>
        <v>0</v>
      </c>
      <c r="U48" s="212">
        <f t="shared" si="3"/>
        <v>0</v>
      </c>
      <c r="V48" s="212">
        <f t="shared" si="3"/>
        <v>0</v>
      </c>
      <c r="W48" s="212">
        <f t="shared" si="3"/>
        <v>0</v>
      </c>
      <c r="X48" s="212">
        <f t="shared" si="3"/>
        <v>0</v>
      </c>
      <c r="Y48" s="212">
        <f t="shared" si="3"/>
        <v>0</v>
      </c>
    </row>
    <row r="49" spans="1:27" s="476" customFormat="1" x14ac:dyDescent="0.25">
      <c r="A49"/>
      <c r="B49"/>
      <c r="C49" s="76"/>
      <c r="D49" s="84"/>
      <c r="E49"/>
      <c r="F49" t="s">
        <v>958</v>
      </c>
      <c r="G49" s="476" t="s">
        <v>252</v>
      </c>
      <c r="H49" s="486"/>
      <c r="I49" s="486"/>
      <c r="J49" s="486">
        <f>IF( J27 = 1, $H44, 0)</f>
        <v>0.31129700540177602</v>
      </c>
      <c r="K49" s="486">
        <f t="shared" ref="K49:Y49" si="4">IF( K27 = 1, $H44, 0)</f>
        <v>0</v>
      </c>
      <c r="L49" s="486">
        <f t="shared" si="4"/>
        <v>0.31129700540177602</v>
      </c>
      <c r="M49" s="486">
        <f t="shared" si="4"/>
        <v>0</v>
      </c>
      <c r="N49" s="486">
        <f t="shared" si="4"/>
        <v>0.31129700540177602</v>
      </c>
      <c r="O49" s="486">
        <f t="shared" si="4"/>
        <v>0.31129700540177602</v>
      </c>
      <c r="P49" s="486">
        <f t="shared" si="4"/>
        <v>0.31129700540177602</v>
      </c>
      <c r="Q49" s="486">
        <f t="shared" si="4"/>
        <v>0</v>
      </c>
      <c r="R49" s="486">
        <f t="shared" si="4"/>
        <v>0</v>
      </c>
      <c r="S49" s="486">
        <f t="shared" si="4"/>
        <v>0</v>
      </c>
      <c r="T49" s="486">
        <f t="shared" si="4"/>
        <v>0</v>
      </c>
      <c r="U49" s="486">
        <f t="shared" si="4"/>
        <v>0</v>
      </c>
      <c r="V49" s="486">
        <f t="shared" si="4"/>
        <v>0</v>
      </c>
      <c r="W49" s="486">
        <f t="shared" si="4"/>
        <v>0</v>
      </c>
      <c r="X49" s="486">
        <f t="shared" si="4"/>
        <v>0</v>
      </c>
      <c r="Y49" s="486">
        <f t="shared" si="4"/>
        <v>0</v>
      </c>
    </row>
    <row r="50" spans="1:27" x14ac:dyDescent="0.25">
      <c r="C50" s="76"/>
      <c r="E50"/>
      <c r="F50" s="17" t="s">
        <v>1247</v>
      </c>
      <c r="G50" s="17" t="s">
        <v>252</v>
      </c>
      <c r="H50" s="209"/>
      <c r="I50" s="209"/>
      <c r="J50" s="209">
        <f t="shared" ref="J50:Y50" si="5">IF( J28 = 1, $H45, 0)</f>
        <v>0</v>
      </c>
      <c r="K50" s="209">
        <f t="shared" si="5"/>
        <v>0</v>
      </c>
      <c r="L50" s="209">
        <f t="shared" si="5"/>
        <v>0</v>
      </c>
      <c r="M50" s="209">
        <f t="shared" si="5"/>
        <v>0</v>
      </c>
      <c r="N50" s="209">
        <f t="shared" si="5"/>
        <v>0</v>
      </c>
      <c r="O50" s="209">
        <f t="shared" si="5"/>
        <v>0</v>
      </c>
      <c r="P50" s="209">
        <f t="shared" si="5"/>
        <v>0</v>
      </c>
      <c r="Q50" s="209">
        <f t="shared" si="5"/>
        <v>0</v>
      </c>
      <c r="R50" s="209">
        <f t="shared" si="5"/>
        <v>0</v>
      </c>
      <c r="S50" s="209">
        <f t="shared" si="5"/>
        <v>0</v>
      </c>
      <c r="T50" s="209">
        <f t="shared" si="5"/>
        <v>0</v>
      </c>
      <c r="U50" s="209">
        <f t="shared" si="5"/>
        <v>0</v>
      </c>
      <c r="V50" s="209">
        <f t="shared" si="5"/>
        <v>0</v>
      </c>
      <c r="W50" s="209">
        <f t="shared" si="5"/>
        <v>0</v>
      </c>
      <c r="X50" s="209">
        <f t="shared" si="5"/>
        <v>0</v>
      </c>
      <c r="Y50" s="209">
        <f t="shared" si="5"/>
        <v>0</v>
      </c>
    </row>
    <row r="51" spans="1:27" s="476" customFormat="1" x14ac:dyDescent="0.25">
      <c r="A51"/>
      <c r="B51"/>
      <c r="C51" s="76"/>
      <c r="D51" s="84"/>
      <c r="E51"/>
      <c r="F51" s="66" t="s">
        <v>215</v>
      </c>
      <c r="G51" s="487" t="s">
        <v>252</v>
      </c>
      <c r="H51" s="488"/>
      <c r="I51" s="488"/>
      <c r="J51" s="490">
        <f xml:space="preserve"> J48 + J50 + J49</f>
        <v>0.47711249480445828</v>
      </c>
      <c r="K51" s="490">
        <f t="shared" ref="K51:Y51" si="6" xml:space="preserve"> K48 + K50 + K49</f>
        <v>0</v>
      </c>
      <c r="L51" s="490">
        <f t="shared" si="6"/>
        <v>0.31129700540177602</v>
      </c>
      <c r="M51" s="490">
        <f t="shared" si="6"/>
        <v>0</v>
      </c>
      <c r="N51" s="490">
        <f t="shared" si="6"/>
        <v>0.31129700540177602</v>
      </c>
      <c r="O51" s="490">
        <f t="shared" si="6"/>
        <v>0.31129700540177602</v>
      </c>
      <c r="P51" s="490">
        <f t="shared" si="6"/>
        <v>0.31129700540177602</v>
      </c>
      <c r="Q51" s="490">
        <f t="shared" si="6"/>
        <v>0</v>
      </c>
      <c r="R51" s="490">
        <f t="shared" si="6"/>
        <v>0</v>
      </c>
      <c r="S51" s="490">
        <f t="shared" si="6"/>
        <v>0</v>
      </c>
      <c r="T51" s="490">
        <f t="shared" si="6"/>
        <v>0</v>
      </c>
      <c r="U51" s="490">
        <f t="shared" si="6"/>
        <v>0</v>
      </c>
      <c r="V51" s="490">
        <f t="shared" si="6"/>
        <v>0</v>
      </c>
      <c r="W51" s="490">
        <f t="shared" si="6"/>
        <v>0</v>
      </c>
      <c r="X51" s="490">
        <f t="shared" si="6"/>
        <v>0</v>
      </c>
      <c r="Y51" s="490">
        <f t="shared" si="6"/>
        <v>0</v>
      </c>
    </row>
    <row r="52" spans="1:27" x14ac:dyDescent="0.25">
      <c r="C52" s="76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</row>
    <row r="53" spans="1:27" x14ac:dyDescent="0.25">
      <c r="C53" s="5" t="str">
        <f ca="1">INDEX('Version control'!$H$36:$H$60,MATCH($A$1,'Version control'!$F$36:$F$60,0),1)&amp;"-C: Calculation of fixed charge adder revenue"</f>
        <v>Section 518-C: Calculation of fixed charge adder revenue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</row>
    <row r="54" spans="1:27" x14ac:dyDescent="0.25">
      <c r="C54" s="76"/>
      <c r="E54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</row>
    <row r="55" spans="1:27" x14ac:dyDescent="0.25">
      <c r="E55" t="s">
        <v>973</v>
      </c>
      <c r="G55" s="46" t="s">
        <v>107</v>
      </c>
      <c r="H55" s="372"/>
      <c r="I55" s="59"/>
      <c r="J55" s="372">
        <f t="shared" ref="J55:Y55" si="7">J51 / hundred * days_in_year * SUM( J20:J22 )</f>
        <v>3478989.6186881172</v>
      </c>
      <c r="K55" s="372">
        <f t="shared" si="7"/>
        <v>0</v>
      </c>
      <c r="L55" s="372">
        <f t="shared" si="7"/>
        <v>146632.14293098179</v>
      </c>
      <c r="M55" s="372">
        <f t="shared" si="7"/>
        <v>0</v>
      </c>
      <c r="N55" s="372">
        <f t="shared" si="7"/>
        <v>13266.668998009651</v>
      </c>
      <c r="O55" s="372">
        <f t="shared" si="7"/>
        <v>359.04996603040848</v>
      </c>
      <c r="P55" s="372">
        <f t="shared" si="7"/>
        <v>1487.3303972588756</v>
      </c>
      <c r="Q55" s="372">
        <f t="shared" si="7"/>
        <v>0</v>
      </c>
      <c r="R55" s="372">
        <f t="shared" si="7"/>
        <v>0</v>
      </c>
      <c r="S55" s="372">
        <f t="shared" si="7"/>
        <v>0</v>
      </c>
      <c r="T55" s="372">
        <f t="shared" si="7"/>
        <v>0</v>
      </c>
      <c r="U55" s="372">
        <f t="shared" si="7"/>
        <v>0</v>
      </c>
      <c r="V55" s="372">
        <f t="shared" si="7"/>
        <v>0</v>
      </c>
      <c r="W55" s="372">
        <f t="shared" si="7"/>
        <v>0</v>
      </c>
      <c r="X55" s="372">
        <f t="shared" si="7"/>
        <v>0</v>
      </c>
      <c r="Y55" s="372">
        <f t="shared" si="7"/>
        <v>0</v>
      </c>
    </row>
    <row r="56" spans="1:27" x14ac:dyDescent="0.25"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</row>
    <row r="57" spans="1:27" x14ac:dyDescent="0.25">
      <c r="E57" t="s">
        <v>974</v>
      </c>
      <c r="G57" s="46" t="s">
        <v>107</v>
      </c>
      <c r="H57" s="197">
        <f>SUM( J55:Y55 )</f>
        <v>3640734.8109803977</v>
      </c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</row>
    <row r="58" spans="1:27" x14ac:dyDescent="0.25"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</row>
    <row r="59" spans="1:27" x14ac:dyDescent="0.25">
      <c r="E59" t="s">
        <v>975</v>
      </c>
      <c r="G59" s="46" t="s">
        <v>107</v>
      </c>
      <c r="H59" s="372"/>
      <c r="I59" s="59"/>
      <c r="J59" s="372">
        <f t="shared" ref="J59:Y59" si="8">J51 / hundred * days_in_year * J23</f>
        <v>6036.0292891033023</v>
      </c>
      <c r="K59" s="372">
        <f t="shared" si="8"/>
        <v>0</v>
      </c>
      <c r="L59" s="372">
        <f t="shared" si="8"/>
        <v>0</v>
      </c>
      <c r="M59" s="372">
        <f t="shared" si="8"/>
        <v>0</v>
      </c>
      <c r="N59" s="372">
        <f t="shared" si="8"/>
        <v>3.4087022091494479</v>
      </c>
      <c r="O59" s="372">
        <f t="shared" si="8"/>
        <v>35.223256161210962</v>
      </c>
      <c r="P59" s="372">
        <f t="shared" si="8"/>
        <v>5.6811703485824125</v>
      </c>
      <c r="Q59" s="372">
        <f t="shared" si="8"/>
        <v>0</v>
      </c>
      <c r="R59" s="372">
        <f t="shared" si="8"/>
        <v>0</v>
      </c>
      <c r="S59" s="372">
        <f t="shared" si="8"/>
        <v>0</v>
      </c>
      <c r="T59" s="372">
        <f t="shared" si="8"/>
        <v>0</v>
      </c>
      <c r="U59" s="372">
        <f t="shared" si="8"/>
        <v>0</v>
      </c>
      <c r="V59" s="372">
        <f t="shared" si="8"/>
        <v>0</v>
      </c>
      <c r="W59" s="372">
        <f t="shared" si="8"/>
        <v>0</v>
      </c>
      <c r="X59" s="372">
        <f t="shared" si="8"/>
        <v>0</v>
      </c>
      <c r="Y59" s="372">
        <f t="shared" si="8"/>
        <v>0</v>
      </c>
    </row>
    <row r="60" spans="1:27" x14ac:dyDescent="0.25"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</row>
    <row r="61" spans="1:27" x14ac:dyDescent="0.25">
      <c r="E61" t="s">
        <v>976</v>
      </c>
      <c r="G61" s="46" t="s">
        <v>107</v>
      </c>
      <c r="H61" s="197">
        <f>SUM( J59:Y59 )</f>
        <v>6080.3424178222458</v>
      </c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</row>
    <row r="62" spans="1:27" x14ac:dyDescent="0.25"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</row>
    <row r="63" spans="1:27" x14ac:dyDescent="0.25">
      <c r="B63" s="82" t="s">
        <v>109</v>
      </c>
      <c r="C63" s="82"/>
      <c r="D63" s="82"/>
      <c r="E63" s="82"/>
      <c r="F63" s="82"/>
      <c r="G63" s="82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82"/>
      <c r="AA63" s="82"/>
    </row>
    <row r="64" spans="1:27" x14ac:dyDescent="0.25"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</row>
    <row r="65" spans="2:27" x14ac:dyDescent="0.25">
      <c r="E65" t="s">
        <v>977</v>
      </c>
      <c r="G65" s="46" t="s">
        <v>107</v>
      </c>
      <c r="H65" s="372"/>
      <c r="I65" s="59"/>
      <c r="J65" s="372">
        <f xml:space="preserve"> J55 + J59</f>
        <v>3485025.6479772204</v>
      </c>
      <c r="K65" s="372">
        <f t="shared" ref="K65:Y65" si="9" xml:space="preserve"> K55 + K59</f>
        <v>0</v>
      </c>
      <c r="L65" s="372">
        <f t="shared" si="9"/>
        <v>146632.14293098179</v>
      </c>
      <c r="M65" s="372">
        <f t="shared" si="9"/>
        <v>0</v>
      </c>
      <c r="N65" s="372">
        <f t="shared" si="9"/>
        <v>13270.077700218801</v>
      </c>
      <c r="O65" s="372">
        <f t="shared" si="9"/>
        <v>394.27322219161942</v>
      </c>
      <c r="P65" s="372">
        <f t="shared" si="9"/>
        <v>1493.0115676074579</v>
      </c>
      <c r="Q65" s="372">
        <f t="shared" si="9"/>
        <v>0</v>
      </c>
      <c r="R65" s="372">
        <f t="shared" si="9"/>
        <v>0</v>
      </c>
      <c r="S65" s="372">
        <f t="shared" si="9"/>
        <v>0</v>
      </c>
      <c r="T65" s="372">
        <f t="shared" si="9"/>
        <v>0</v>
      </c>
      <c r="U65" s="372">
        <f t="shared" si="9"/>
        <v>0</v>
      </c>
      <c r="V65" s="372">
        <f t="shared" si="9"/>
        <v>0</v>
      </c>
      <c r="W65" s="372">
        <f t="shared" si="9"/>
        <v>0</v>
      </c>
      <c r="X65" s="372">
        <f t="shared" si="9"/>
        <v>0</v>
      </c>
      <c r="Y65" s="372">
        <f t="shared" si="9"/>
        <v>0</v>
      </c>
    </row>
    <row r="66" spans="2:27" x14ac:dyDescent="0.25"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</row>
    <row r="67" spans="2:27" x14ac:dyDescent="0.25">
      <c r="E67" t="s">
        <v>978</v>
      </c>
      <c r="G67" s="46" t="s">
        <v>107</v>
      </c>
      <c r="H67" s="211">
        <f>SUM( J65:Y65 )</f>
        <v>3646815.15339822</v>
      </c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</row>
    <row r="68" spans="2:27" x14ac:dyDescent="0.25"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</row>
    <row r="69" spans="2:27" x14ac:dyDescent="0.25">
      <c r="E69" t="s">
        <v>979</v>
      </c>
      <c r="G69" s="46" t="s">
        <v>588</v>
      </c>
      <c r="H69" s="362">
        <f>IF( ABS( IFERROR( H67, 0 ) - ( H31 + H32 + H33 ) ) &lt; 10^-check_decimals, 0, 1)</f>
        <v>0</v>
      </c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</row>
    <row r="70" spans="2:27" x14ac:dyDescent="0.25"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</row>
    <row r="71" spans="2:27" x14ac:dyDescent="0.25">
      <c r="E71" t="s">
        <v>415</v>
      </c>
      <c r="G71" s="46" t="s">
        <v>588</v>
      </c>
      <c r="H71" s="263" cm="1">
        <f t="array" ref="H71">SUM( IF( ISERROR( H20:Y62 ), 1 )) + H69</f>
        <v>0</v>
      </c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</row>
    <row r="72" spans="2:27" x14ac:dyDescent="0.25"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</row>
    <row r="73" spans="2:27" x14ac:dyDescent="0.25">
      <c r="B73" s="82" t="s">
        <v>110</v>
      </c>
      <c r="C73" s="82"/>
      <c r="D73" s="82"/>
      <c r="E73" s="82"/>
      <c r="F73" s="82"/>
      <c r="G73" s="82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82"/>
      <c r="AA73" s="82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9">
    <cfRule type="cellIs" dxfId="38" priority="2" operator="greaterThan">
      <formula>0</formula>
    </cfRule>
  </conditionalFormatting>
  <conditionalFormatting sqref="H71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5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429" width="24.5703125" hidden="1" customWidth="1"/>
    <col min="430" max="16384" width="8.5703125" hidden="1"/>
  </cols>
  <sheetData>
    <row r="1" spans="1:43" s="8" customFormat="1" x14ac:dyDescent="0.25">
      <c r="A1" s="8" t="str">
        <f ca="1">MID(CELL("filename",A1),FIND("]",CELL("filename",A1))+1,255)</f>
        <v>Revenue matching</v>
      </c>
    </row>
    <row r="2" spans="1:43" s="8" customFormat="1" x14ac:dyDescent="0.25">
      <c r="A2" s="8" t="str">
        <f>Cover!D21&amp;" - "&amp;Cover!D23</f>
        <v>SP Distribution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H433 &amp; IF(H433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315" t="s">
        <v>91</v>
      </c>
      <c r="H5" s="330" t="s">
        <v>92</v>
      </c>
      <c r="J5" s="330" t="s">
        <v>1001</v>
      </c>
      <c r="K5" s="330" t="s">
        <v>926</v>
      </c>
      <c r="L5" s="330" t="s">
        <v>1002</v>
      </c>
      <c r="M5" s="330" t="s">
        <v>1003</v>
      </c>
      <c r="N5" s="330" t="s">
        <v>1004</v>
      </c>
      <c r="O5" s="330" t="s">
        <v>1005</v>
      </c>
      <c r="P5" s="330" t="s">
        <v>1006</v>
      </c>
      <c r="Q5" s="330" t="s">
        <v>928</v>
      </c>
      <c r="R5" s="330" t="s">
        <v>1007</v>
      </c>
      <c r="S5" s="330" t="s">
        <v>1008</v>
      </c>
      <c r="T5" s="330" t="s">
        <v>1009</v>
      </c>
      <c r="U5" s="330" t="s">
        <v>1010</v>
      </c>
      <c r="V5" s="330" t="s">
        <v>1011</v>
      </c>
      <c r="W5" s="330" t="s">
        <v>1012</v>
      </c>
      <c r="X5" s="330" t="s">
        <v>1013</v>
      </c>
      <c r="Y5" s="330" t="s">
        <v>1014</v>
      </c>
      <c r="Z5" s="330" t="s">
        <v>1015</v>
      </c>
      <c r="AA5" s="330" t="s">
        <v>1016</v>
      </c>
      <c r="AB5" s="330" t="s">
        <v>1017</v>
      </c>
      <c r="AC5" s="330" t="s">
        <v>1018</v>
      </c>
      <c r="AD5" s="330" t="s">
        <v>1019</v>
      </c>
      <c r="AE5" s="330" t="s">
        <v>1020</v>
      </c>
      <c r="AF5" s="330" t="s">
        <v>1021</v>
      </c>
      <c r="AG5" s="330" t="s">
        <v>932</v>
      </c>
      <c r="AH5" s="330" t="s">
        <v>933</v>
      </c>
      <c r="AI5" s="330" t="s">
        <v>934</v>
      </c>
      <c r="AJ5" s="330" t="s">
        <v>935</v>
      </c>
      <c r="AK5" s="330" t="s">
        <v>936</v>
      </c>
      <c r="AL5" s="330" t="s">
        <v>937</v>
      </c>
      <c r="AM5" s="330" t="s">
        <v>938</v>
      </c>
      <c r="AN5" s="330" t="s">
        <v>939</v>
      </c>
      <c r="AO5" s="330" t="s">
        <v>940</v>
      </c>
      <c r="AQ5" s="1" t="s">
        <v>93</v>
      </c>
    </row>
    <row r="6" spans="1:43" x14ac:dyDescent="0.25">
      <c r="C6" s="76"/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65"/>
      <c r="AQ7" s="65"/>
    </row>
    <row r="9" spans="1:43" x14ac:dyDescent="0.25">
      <c r="D9" s="73" t="s">
        <v>409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O9" s="3"/>
    </row>
    <row r="10" spans="1:43" x14ac:dyDescent="0.25">
      <c r="D10" s="73" t="s">
        <v>410</v>
      </c>
      <c r="E10"/>
    </row>
    <row r="11" spans="1:43" x14ac:dyDescent="0.25">
      <c r="D11" s="73" t="s">
        <v>742</v>
      </c>
    </row>
    <row r="13" spans="1:43" x14ac:dyDescent="0.25">
      <c r="B13" s="82" t="s">
        <v>282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65"/>
      <c r="AQ13" s="65"/>
    </row>
    <row r="14" spans="1:43" x14ac:dyDescent="0.25">
      <c r="C14" s="76"/>
    </row>
    <row r="15" spans="1:43" x14ac:dyDescent="0.25">
      <c r="C15" s="5" t="str">
        <f ca="1">INDEX('Version control'!$H$36:$H$62,MATCH($A$1,'Version control'!$F$36:$F$62,0),1)&amp;"-A: Inputs to revenue matching"</f>
        <v>Section 519-A: Inputs to revenue matching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</row>
    <row r="16" spans="1:43" x14ac:dyDescent="0.25">
      <c r="C16" s="73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</row>
    <row r="17" spans="3:43" x14ac:dyDescent="0.25">
      <c r="D17" s="73" t="s">
        <v>1104</v>
      </c>
      <c r="F17" s="84"/>
    </row>
    <row r="18" spans="3:43" x14ac:dyDescent="0.25">
      <c r="D18" s="76"/>
      <c r="F18" s="84"/>
    </row>
    <row r="19" spans="3:43" ht="60" x14ac:dyDescent="0.25">
      <c r="D19"/>
      <c r="E19" s="52" t="s">
        <v>253</v>
      </c>
      <c r="F19" s="52"/>
      <c r="J19" s="431" t="s">
        <v>925</v>
      </c>
      <c r="K19" s="431" t="s">
        <v>926</v>
      </c>
      <c r="L19" s="431" t="s">
        <v>927</v>
      </c>
      <c r="M19" s="431" t="s">
        <v>928</v>
      </c>
      <c r="N19" s="431" t="s">
        <v>929</v>
      </c>
      <c r="O19" s="431" t="s">
        <v>930</v>
      </c>
      <c r="P19" s="431" t="s">
        <v>931</v>
      </c>
      <c r="Q19" s="431" t="s">
        <v>932</v>
      </c>
      <c r="R19" s="431" t="s">
        <v>933</v>
      </c>
      <c r="S19" s="431" t="s">
        <v>934</v>
      </c>
      <c r="T19" s="431" t="s">
        <v>935</v>
      </c>
      <c r="U19" s="431" t="s">
        <v>936</v>
      </c>
      <c r="V19" s="431" t="s">
        <v>937</v>
      </c>
      <c r="W19" s="431" t="s">
        <v>938</v>
      </c>
      <c r="X19" s="431" t="s">
        <v>939</v>
      </c>
      <c r="Y19" s="431" t="s">
        <v>940</v>
      </c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</row>
    <row r="20" spans="3:43" x14ac:dyDescent="0.25">
      <c r="D20"/>
      <c r="E20" s="76"/>
      <c r="F20" s="80" t="s">
        <v>134</v>
      </c>
      <c r="G20" s="80" t="s">
        <v>183</v>
      </c>
      <c r="H20" s="296"/>
      <c r="I20" s="296"/>
      <c r="J20" s="307">
        <f>'Unit rate charges'!J217</f>
        <v>8.299709774288182</v>
      </c>
      <c r="K20" s="307">
        <f>'Unit rate charges'!K217</f>
        <v>8.299709774288182</v>
      </c>
      <c r="L20" s="307">
        <f>'Unit rate charges'!L217</f>
        <v>10.017578595522124</v>
      </c>
      <c r="M20" s="307">
        <f>'Unit rate charges'!M217</f>
        <v>10.017578595522124</v>
      </c>
      <c r="N20" s="307">
        <f>'Unit rate charges'!N217</f>
        <v>7.2441646887714617</v>
      </c>
      <c r="O20" s="307">
        <f>'Unit rate charges'!O217</f>
        <v>4.1678200402601213</v>
      </c>
      <c r="P20" s="307">
        <f>'Unit rate charges'!P217</f>
        <v>2.8865352453672846</v>
      </c>
      <c r="Q20" s="307">
        <f>'Unit rate charges'!Q217</f>
        <v>22.750664930150901</v>
      </c>
      <c r="R20" s="307">
        <f>'Unit rate charges'!R217</f>
        <v>-6.5281797312705345</v>
      </c>
      <c r="S20" s="307">
        <f>'Unit rate charges'!S217</f>
        <v>-5.6839788146925212</v>
      </c>
      <c r="T20" s="307">
        <f>'Unit rate charges'!T217</f>
        <v>-6.5281797312705345</v>
      </c>
      <c r="U20" s="307">
        <f>'Unit rate charges'!U217</f>
        <v>-6.5281797312705345</v>
      </c>
      <c r="V20" s="307">
        <f>'Unit rate charges'!V217</f>
        <v>-5.6839788146925212</v>
      </c>
      <c r="W20" s="307">
        <f>'Unit rate charges'!W217</f>
        <v>-5.6839788146925212</v>
      </c>
      <c r="X20" s="307">
        <f>'Unit rate charges'!X217</f>
        <v>-3.5120732557973353</v>
      </c>
      <c r="Y20" s="307">
        <f>'Unit rate charges'!Y217</f>
        <v>-3.5120732557973353</v>
      </c>
      <c r="Z20" s="198"/>
      <c r="AA20" s="198"/>
      <c r="AB20" s="198"/>
      <c r="AC20" s="198"/>
      <c r="AD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298"/>
      <c r="AQ20" s="298"/>
    </row>
    <row r="21" spans="3:43" x14ac:dyDescent="0.25">
      <c r="D21"/>
      <c r="E21" s="76"/>
      <c r="F21" t="s">
        <v>135</v>
      </c>
      <c r="G21" t="s">
        <v>183</v>
      </c>
      <c r="H21" s="298"/>
      <c r="I21" s="298"/>
      <c r="J21" s="432">
        <f>'Unit rate charges'!J218</f>
        <v>0.95313219533521953</v>
      </c>
      <c r="K21" s="432">
        <f>'Unit rate charges'!K218</f>
        <v>0.95313219533521953</v>
      </c>
      <c r="L21" s="432">
        <f>'Unit rate charges'!L218</f>
        <v>1.150410910544398</v>
      </c>
      <c r="M21" s="432">
        <f>'Unit rate charges'!M218</f>
        <v>1.150410910544398</v>
      </c>
      <c r="N21" s="432">
        <f>'Unit rate charges'!N218</f>
        <v>0.78722064913810097</v>
      </c>
      <c r="O21" s="432">
        <f>'Unit rate charges'!O218</f>
        <v>0.37434886539562695</v>
      </c>
      <c r="P21" s="432">
        <f>'Unit rate charges'!P218</f>
        <v>0.22923280291328646</v>
      </c>
      <c r="Q21" s="432">
        <f>'Unit rate charges'!Q218</f>
        <v>1.3580108270601396</v>
      </c>
      <c r="R21" s="432">
        <f>'Unit rate charges'!R218</f>
        <v>-0.74969106728101365</v>
      </c>
      <c r="S21" s="432">
        <f>'Unit rate charges'!S218</f>
        <v>-0.63496742960815677</v>
      </c>
      <c r="T21" s="432">
        <f>'Unit rate charges'!T218</f>
        <v>-0.74969106728101365</v>
      </c>
      <c r="U21" s="432">
        <f>'Unit rate charges'!U218</f>
        <v>-0.74969106728101365</v>
      </c>
      <c r="V21" s="432">
        <f>'Unit rate charges'!V218</f>
        <v>-0.63496742960815677</v>
      </c>
      <c r="W21" s="432">
        <f>'Unit rate charges'!W218</f>
        <v>-0.63496742960815677</v>
      </c>
      <c r="X21" s="432">
        <f>'Unit rate charges'!X218</f>
        <v>-0.31331277837518495</v>
      </c>
      <c r="Y21" s="432">
        <f>'Unit rate charges'!Y218</f>
        <v>-0.31331277837518495</v>
      </c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298"/>
      <c r="AQ21" s="298"/>
    </row>
    <row r="22" spans="3:43" x14ac:dyDescent="0.25">
      <c r="D22"/>
      <c r="E22" s="76"/>
      <c r="F22" t="s">
        <v>136</v>
      </c>
      <c r="G22" t="s">
        <v>183</v>
      </c>
      <c r="H22" s="298"/>
      <c r="I22" s="298"/>
      <c r="J22" s="432">
        <f>'Unit rate charges'!J219</f>
        <v>1.7003237233463812E-2</v>
      </c>
      <c r="K22" s="432">
        <f>'Unit rate charges'!K219</f>
        <v>1.7003237233463812E-2</v>
      </c>
      <c r="L22" s="432">
        <f>'Unit rate charges'!L219</f>
        <v>2.0522556811830232E-2</v>
      </c>
      <c r="M22" s="432">
        <f>'Unit rate charges'!M219</f>
        <v>2.0522556811830232E-2</v>
      </c>
      <c r="N22" s="432">
        <f>'Unit rate charges'!N219</f>
        <v>1.3643911588587573E-2</v>
      </c>
      <c r="O22" s="432">
        <f>'Unit rate charges'!O219</f>
        <v>5.7458313786606487E-3</v>
      </c>
      <c r="P22" s="432">
        <f>'Unit rate charges'!P219</f>
        <v>3.17516871760074E-3</v>
      </c>
      <c r="Q22" s="432">
        <f>'Unit rate charges'!Q219</f>
        <v>0.45597518216619148</v>
      </c>
      <c r="R22" s="432">
        <f>'Unit rate charges'!R219</f>
        <v>-1.3373984355134004E-2</v>
      </c>
      <c r="S22" s="432">
        <f>'Unit rate charges'!S219</f>
        <v>-1.1168466179409052E-2</v>
      </c>
      <c r="T22" s="432">
        <f>'Unit rate charges'!T219</f>
        <v>-1.3373984355134004E-2</v>
      </c>
      <c r="U22" s="432">
        <f>'Unit rate charges'!U219</f>
        <v>-1.3373984355134004E-2</v>
      </c>
      <c r="V22" s="432">
        <f>'Unit rate charges'!V219</f>
        <v>-1.1168466179409052E-2</v>
      </c>
      <c r="W22" s="432">
        <f>'Unit rate charges'!W219</f>
        <v>-1.1168466179409052E-2</v>
      </c>
      <c r="X22" s="432">
        <f>'Unit rate charges'!X219</f>
        <v>-4.7845614421207936E-3</v>
      </c>
      <c r="Y22" s="432">
        <f>'Unit rate charges'!Y219</f>
        <v>-4.7845614421207936E-3</v>
      </c>
      <c r="Z22" s="198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298"/>
      <c r="AQ22" s="298"/>
    </row>
    <row r="23" spans="3:43" x14ac:dyDescent="0.25">
      <c r="D23"/>
      <c r="E23" s="76"/>
      <c r="F23" t="s">
        <v>254</v>
      </c>
      <c r="G23" t="s">
        <v>252</v>
      </c>
      <c r="J23" s="228">
        <f>'Fixed charges'!J161</f>
        <v>4.6823787634997727</v>
      </c>
      <c r="K23" s="228">
        <f>'Fixed charges'!K161</f>
        <v>0</v>
      </c>
      <c r="L23" s="228">
        <f>'Fixed charges'!L161</f>
        <v>5.9909489853432492</v>
      </c>
      <c r="M23" s="228">
        <f>'Fixed charges'!M161</f>
        <v>0</v>
      </c>
      <c r="N23" s="228">
        <f>'Fixed charges'!N161</f>
        <v>23.764953284910149</v>
      </c>
      <c r="O23" s="228">
        <f>'Fixed charges'!O161</f>
        <v>8.3876305711447596</v>
      </c>
      <c r="P23" s="228">
        <f>'Fixed charges'!P161</f>
        <v>126.99377480279705</v>
      </c>
      <c r="Q23" s="228">
        <f>'Fixed charges'!Q161</f>
        <v>0</v>
      </c>
      <c r="R23" s="228">
        <f>'Fixed charges'!R161</f>
        <v>0</v>
      </c>
      <c r="S23" s="228">
        <f>'Fixed charges'!S161</f>
        <v>0</v>
      </c>
      <c r="T23" s="228">
        <f>'Fixed charges'!T161</f>
        <v>0</v>
      </c>
      <c r="U23" s="228">
        <f>'Fixed charges'!U161</f>
        <v>0</v>
      </c>
      <c r="V23" s="228">
        <f>'Fixed charges'!V161</f>
        <v>0</v>
      </c>
      <c r="W23" s="228">
        <f>'Fixed charges'!W161</f>
        <v>0</v>
      </c>
      <c r="X23" s="228">
        <f>'Fixed charges'!X161</f>
        <v>92.733244183596881</v>
      </c>
      <c r="Y23" s="228">
        <f>'Fixed charges'!Y161</f>
        <v>92.733244183596881</v>
      </c>
      <c r="Z23" s="198"/>
      <c r="AA23" s="198"/>
      <c r="AB23" s="198"/>
      <c r="AC23" s="198"/>
      <c r="AD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</row>
    <row r="24" spans="3:43" x14ac:dyDescent="0.25">
      <c r="D24"/>
      <c r="E24" s="76"/>
      <c r="F24" t="s">
        <v>255</v>
      </c>
      <c r="G24" t="s">
        <v>251</v>
      </c>
      <c r="J24" s="228">
        <f>'Capacity charges'!J256</f>
        <v>0</v>
      </c>
      <c r="K24" s="228">
        <f>'Capacity charges'!K256</f>
        <v>0</v>
      </c>
      <c r="L24" s="228">
        <f>'Capacity charges'!L256</f>
        <v>0</v>
      </c>
      <c r="M24" s="228">
        <f>'Capacity charges'!M256</f>
        <v>0</v>
      </c>
      <c r="N24" s="228">
        <f>'Capacity charges'!N256</f>
        <v>2.9404507692016573</v>
      </c>
      <c r="O24" s="228">
        <f>'Capacity charges'!O256</f>
        <v>5.4245039682001561</v>
      </c>
      <c r="P24" s="228">
        <f>'Capacity charges'!P256</f>
        <v>5.9690070627261953</v>
      </c>
      <c r="Q24" s="228">
        <f>'Capacity charges'!Q256</f>
        <v>0</v>
      </c>
      <c r="R24" s="228">
        <f>'Capacity charges'!R256</f>
        <v>0</v>
      </c>
      <c r="S24" s="228">
        <f>'Capacity charges'!S256</f>
        <v>0</v>
      </c>
      <c r="T24" s="228">
        <f>'Capacity charges'!T256</f>
        <v>0</v>
      </c>
      <c r="U24" s="228">
        <f>'Capacity charges'!U256</f>
        <v>0</v>
      </c>
      <c r="V24" s="228">
        <f>'Capacity charges'!V256</f>
        <v>0</v>
      </c>
      <c r="W24" s="228">
        <f>'Capacity charges'!W256</f>
        <v>0</v>
      </c>
      <c r="X24" s="228">
        <f>'Capacity charges'!X256</f>
        <v>0</v>
      </c>
      <c r="Y24" s="228">
        <f>'Capacity charges'!Y256</f>
        <v>0</v>
      </c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</row>
    <row r="25" spans="3:43" x14ac:dyDescent="0.25">
      <c r="D25"/>
      <c r="E25" s="76"/>
      <c r="F25" t="s">
        <v>256</v>
      </c>
      <c r="G25" t="s">
        <v>251</v>
      </c>
      <c r="J25" s="230">
        <f>'Capacity charges'!J257</f>
        <v>0</v>
      </c>
      <c r="K25" s="230">
        <f>'Capacity charges'!K257</f>
        <v>0</v>
      </c>
      <c r="L25" s="230">
        <f>'Capacity charges'!L257</f>
        <v>0</v>
      </c>
      <c r="M25" s="230">
        <f>'Capacity charges'!M257</f>
        <v>0</v>
      </c>
      <c r="N25" s="230">
        <f>'Capacity charges'!N257</f>
        <v>4.2719194296801346</v>
      </c>
      <c r="O25" s="230">
        <f>'Capacity charges'!O257</f>
        <v>6.1822714517718973</v>
      </c>
      <c r="P25" s="230">
        <f>'Capacity charges'!P257</f>
        <v>7.3529287417940443</v>
      </c>
      <c r="Q25" s="230">
        <f>'Capacity charges'!Q257</f>
        <v>0</v>
      </c>
      <c r="R25" s="230">
        <f>'Capacity charges'!R257</f>
        <v>0</v>
      </c>
      <c r="S25" s="230">
        <f>'Capacity charges'!S257</f>
        <v>0</v>
      </c>
      <c r="T25" s="230">
        <f>'Capacity charges'!T257</f>
        <v>0</v>
      </c>
      <c r="U25" s="230">
        <f>'Capacity charges'!U257</f>
        <v>0</v>
      </c>
      <c r="V25" s="230">
        <f>'Capacity charges'!V257</f>
        <v>0</v>
      </c>
      <c r="W25" s="230">
        <f>'Capacity charges'!W257</f>
        <v>0</v>
      </c>
      <c r="X25" s="230">
        <f>'Capacity charges'!X257</f>
        <v>0</v>
      </c>
      <c r="Y25" s="230">
        <f>'Capacity charges'!Y257</f>
        <v>0</v>
      </c>
      <c r="Z25" s="198"/>
      <c r="AA25" s="198"/>
      <c r="AB25" s="198"/>
      <c r="AC25" s="198"/>
      <c r="AD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</row>
    <row r="26" spans="3:43" x14ac:dyDescent="0.25">
      <c r="D26"/>
      <c r="E26" s="76"/>
      <c r="F26" s="17" t="s">
        <v>257</v>
      </c>
      <c r="G26" s="17" t="s">
        <v>258</v>
      </c>
      <c r="H26" s="300"/>
      <c r="I26" s="300"/>
      <c r="J26" s="310">
        <f>'Reactive power charges'!J250</f>
        <v>0</v>
      </c>
      <c r="K26" s="310">
        <f>'Reactive power charges'!K250</f>
        <v>0</v>
      </c>
      <c r="L26" s="310">
        <f>'Reactive power charges'!L250</f>
        <v>0</v>
      </c>
      <c r="M26" s="310">
        <f>'Reactive power charges'!M250</f>
        <v>0</v>
      </c>
      <c r="N26" s="310">
        <f>'Reactive power charges'!N250</f>
        <v>0.14921334832108674</v>
      </c>
      <c r="O26" s="310">
        <f>'Reactive power charges'!O250</f>
        <v>7.5151983325622007E-2</v>
      </c>
      <c r="P26" s="310">
        <f>'Reactive power charges'!P250</f>
        <v>4.7539599896088004E-2</v>
      </c>
      <c r="Q26" s="310">
        <f>'Reactive power charges'!Q250</f>
        <v>0</v>
      </c>
      <c r="R26" s="310">
        <f>'Reactive power charges'!R250</f>
        <v>0</v>
      </c>
      <c r="S26" s="310">
        <f>'Reactive power charges'!S250</f>
        <v>0</v>
      </c>
      <c r="T26" s="310">
        <f>'Reactive power charges'!T250</f>
        <v>0.13504878564133801</v>
      </c>
      <c r="U26" s="310">
        <f>'Reactive power charges'!U250</f>
        <v>0</v>
      </c>
      <c r="V26" s="310">
        <f>'Reactive power charges'!V250</f>
        <v>0.11742378853173932</v>
      </c>
      <c r="W26" s="310">
        <f>'Reactive power charges'!W250</f>
        <v>0</v>
      </c>
      <c r="X26" s="310">
        <f>'Reactive power charges'!X250</f>
        <v>9.5740261905297164E-2</v>
      </c>
      <c r="Y26" s="310">
        <f>'Reactive power charges'!Y250</f>
        <v>0</v>
      </c>
      <c r="Z26" s="198"/>
      <c r="AA26" s="198"/>
      <c r="AB26" s="198"/>
      <c r="AC26" s="198"/>
      <c r="AD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298"/>
      <c r="AQ26" s="298"/>
    </row>
    <row r="27" spans="3:43" x14ac:dyDescent="0.25">
      <c r="D27"/>
      <c r="E27" s="76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198"/>
      <c r="AC27" s="198"/>
      <c r="AD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</row>
    <row r="28" spans="3:43" ht="60" x14ac:dyDescent="0.25">
      <c r="D28"/>
      <c r="E28" s="76"/>
      <c r="J28" s="431" t="s">
        <v>925</v>
      </c>
      <c r="K28" s="431" t="s">
        <v>926</v>
      </c>
      <c r="L28" s="431" t="s">
        <v>927</v>
      </c>
      <c r="M28" s="431" t="s">
        <v>928</v>
      </c>
      <c r="N28" s="431" t="s">
        <v>929</v>
      </c>
      <c r="O28" s="431" t="s">
        <v>930</v>
      </c>
      <c r="P28" s="431" t="s">
        <v>931</v>
      </c>
      <c r="Q28" s="431" t="s">
        <v>932</v>
      </c>
      <c r="R28" s="431" t="s">
        <v>933</v>
      </c>
      <c r="S28" s="431" t="s">
        <v>934</v>
      </c>
      <c r="T28" s="431" t="s">
        <v>935</v>
      </c>
      <c r="U28" s="431" t="s">
        <v>936</v>
      </c>
      <c r="V28" s="431" t="s">
        <v>937</v>
      </c>
      <c r="W28" s="431" t="s">
        <v>938</v>
      </c>
      <c r="X28" s="431" t="s">
        <v>939</v>
      </c>
      <c r="Y28" s="431" t="s">
        <v>940</v>
      </c>
      <c r="Z28" s="198"/>
      <c r="AA28" s="198"/>
      <c r="AB28" s="198"/>
      <c r="AC28" s="198"/>
      <c r="AD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</row>
    <row r="29" spans="3:43" x14ac:dyDescent="0.25">
      <c r="D29"/>
      <c r="E29" s="12" t="s">
        <v>971</v>
      </c>
      <c r="F29" s="417"/>
      <c r="G29" t="s">
        <v>252</v>
      </c>
      <c r="J29" s="433">
        <f>'SoLR &amp; bad debt adders'!J51</f>
        <v>0.47711249480445828</v>
      </c>
      <c r="K29" s="433">
        <f>'SoLR &amp; bad debt adders'!K51</f>
        <v>0</v>
      </c>
      <c r="L29" s="433">
        <f>'SoLR &amp; bad debt adders'!L51</f>
        <v>0.31129700540177602</v>
      </c>
      <c r="M29" s="433">
        <f>'SoLR &amp; bad debt adders'!M51</f>
        <v>0</v>
      </c>
      <c r="N29" s="433">
        <f>'SoLR &amp; bad debt adders'!N51</f>
        <v>0.31129700540177602</v>
      </c>
      <c r="O29" s="433">
        <f>'SoLR &amp; bad debt adders'!O51</f>
        <v>0.31129700540177602</v>
      </c>
      <c r="P29" s="433">
        <f>'SoLR &amp; bad debt adders'!P51</f>
        <v>0.31129700540177602</v>
      </c>
      <c r="Q29" s="433">
        <f>'SoLR &amp; bad debt adders'!Q51</f>
        <v>0</v>
      </c>
      <c r="R29" s="433">
        <f>'SoLR &amp; bad debt adders'!R51</f>
        <v>0</v>
      </c>
      <c r="S29" s="433">
        <f>'SoLR &amp; bad debt adders'!S51</f>
        <v>0</v>
      </c>
      <c r="T29" s="433">
        <f>'SoLR &amp; bad debt adders'!T51</f>
        <v>0</v>
      </c>
      <c r="U29" s="433">
        <f>'SoLR &amp; bad debt adders'!U51</f>
        <v>0</v>
      </c>
      <c r="V29" s="433">
        <f>'SoLR &amp; bad debt adders'!V51</f>
        <v>0</v>
      </c>
      <c r="W29" s="433">
        <f>'SoLR &amp; bad debt adders'!W51</f>
        <v>0</v>
      </c>
      <c r="X29" s="433">
        <f>'SoLR &amp; bad debt adders'!X51</f>
        <v>0</v>
      </c>
      <c r="Y29" s="433">
        <f>'SoLR &amp; bad debt adders'!Y51</f>
        <v>0</v>
      </c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</row>
    <row r="30" spans="3:43" x14ac:dyDescent="0.25">
      <c r="D30"/>
      <c r="E30" s="76"/>
      <c r="J30" s="198"/>
      <c r="K30" s="198"/>
      <c r="L30" s="198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</row>
    <row r="31" spans="3:43" x14ac:dyDescent="0.25">
      <c r="D31"/>
      <c r="E31" s="434" t="str">
        <f>'Fixed inputs'!E164</f>
        <v>Flags for calculation of revenue matching</v>
      </c>
    </row>
    <row r="32" spans="3:43" x14ac:dyDescent="0.25">
      <c r="C32" s="73"/>
      <c r="F32" s="80" t="s">
        <v>1105</v>
      </c>
      <c r="G32" s="80" t="s">
        <v>1023</v>
      </c>
      <c r="H32" s="80"/>
      <c r="I32" s="80"/>
      <c r="J32" s="169" t="b">
        <f>'Fixed inputs'!J165</f>
        <v>1</v>
      </c>
      <c r="K32" s="169" t="b">
        <f>'Fixed inputs'!K165</f>
        <v>0</v>
      </c>
      <c r="L32" s="169" t="b">
        <f>'Fixed inputs'!L165</f>
        <v>0</v>
      </c>
      <c r="M32" s="169" t="b">
        <f>'Fixed inputs'!M165</f>
        <v>1</v>
      </c>
      <c r="N32" s="169" t="b">
        <f>'Fixed inputs'!N165</f>
        <v>1</v>
      </c>
      <c r="O32" s="169" t="b">
        <f>'Fixed inputs'!O165</f>
        <v>1</v>
      </c>
      <c r="P32" s="169" t="b">
        <f>'Fixed inputs'!P165</f>
        <v>1</v>
      </c>
      <c r="Q32" s="169" t="b">
        <f>'Fixed inputs'!Q165</f>
        <v>0</v>
      </c>
      <c r="R32" s="169" t="b">
        <f>'Fixed inputs'!R165</f>
        <v>0</v>
      </c>
      <c r="S32" s="169" t="b">
        <f>'Fixed inputs'!S165</f>
        <v>1</v>
      </c>
      <c r="T32" s="169" t="b">
        <f>'Fixed inputs'!T165</f>
        <v>1</v>
      </c>
      <c r="U32" s="169" t="b">
        <f>'Fixed inputs'!U165</f>
        <v>1</v>
      </c>
      <c r="V32" s="169" t="b">
        <f>'Fixed inputs'!V165</f>
        <v>1</v>
      </c>
      <c r="W32" s="169" t="b">
        <f>'Fixed inputs'!W165</f>
        <v>0</v>
      </c>
      <c r="X32" s="169" t="b">
        <f>'Fixed inputs'!X165</f>
        <v>1</v>
      </c>
      <c r="Y32" s="169" t="b">
        <f>'Fixed inputs'!Y165</f>
        <v>1</v>
      </c>
      <c r="Z32" s="169" t="b">
        <f>'Fixed inputs'!Z165</f>
        <v>1</v>
      </c>
      <c r="AA32" s="169" t="b">
        <f>'Fixed inputs'!AA165</f>
        <v>1</v>
      </c>
      <c r="AB32" s="169" t="b">
        <f>'Fixed inputs'!AB165</f>
        <v>0</v>
      </c>
      <c r="AC32" s="169" t="b">
        <f>'Fixed inputs'!AC165</f>
        <v>1</v>
      </c>
      <c r="AD32" s="169" t="b">
        <f>'Fixed inputs'!AD165</f>
        <v>1</v>
      </c>
      <c r="AE32" s="169" t="b">
        <f>'Fixed inputs'!AE165</f>
        <v>1</v>
      </c>
      <c r="AF32" s="169" t="b">
        <f>'Fixed inputs'!AF165</f>
        <v>1</v>
      </c>
      <c r="AG32" s="169" t="b">
        <f>'Fixed inputs'!AG165</f>
        <v>1</v>
      </c>
      <c r="AH32" s="169" t="b">
        <f>'Fixed inputs'!AH165</f>
        <v>0</v>
      </c>
      <c r="AI32" s="169" t="b">
        <f>'Fixed inputs'!AI165</f>
        <v>0</v>
      </c>
      <c r="AJ32" s="169" t="b">
        <f>'Fixed inputs'!AJ165</f>
        <v>0</v>
      </c>
      <c r="AK32" s="169" t="b">
        <f>'Fixed inputs'!AK165</f>
        <v>0</v>
      </c>
      <c r="AL32" s="169" t="b">
        <f>'Fixed inputs'!AL165</f>
        <v>0</v>
      </c>
      <c r="AM32" s="169" t="b">
        <f>'Fixed inputs'!AM165</f>
        <v>0</v>
      </c>
      <c r="AN32" s="169" t="b">
        <f>'Fixed inputs'!AN165</f>
        <v>0</v>
      </c>
      <c r="AO32" s="169" t="b">
        <f>'Fixed inputs'!AO165</f>
        <v>0</v>
      </c>
    </row>
    <row r="33" spans="3:43" x14ac:dyDescent="0.25">
      <c r="C33" s="73"/>
      <c r="D33"/>
      <c r="F33" t="s">
        <v>1106</v>
      </c>
      <c r="G33" t="s">
        <v>1023</v>
      </c>
      <c r="J33" s="75" t="b">
        <f>'Fixed inputs'!J166</f>
        <v>1</v>
      </c>
      <c r="K33" s="85"/>
      <c r="L33" s="85"/>
      <c r="M33" s="75" t="b">
        <f>'Fixed inputs'!M166</f>
        <v>1</v>
      </c>
      <c r="N33" s="75" t="b">
        <f>'Fixed inputs'!N166</f>
        <v>1</v>
      </c>
      <c r="O33" s="75" t="b">
        <f>'Fixed inputs'!O166</f>
        <v>1</v>
      </c>
      <c r="P33" s="75" t="b">
        <f>'Fixed inputs'!P166</f>
        <v>1</v>
      </c>
      <c r="Q33" s="85"/>
      <c r="R33" s="85"/>
      <c r="S33" s="75" t="b">
        <f>'Fixed inputs'!S166</f>
        <v>1</v>
      </c>
      <c r="T33" s="75" t="b">
        <f>'Fixed inputs'!T166</f>
        <v>1</v>
      </c>
      <c r="U33" s="75" t="b">
        <f>'Fixed inputs'!U166</f>
        <v>1</v>
      </c>
      <c r="V33" s="75" t="b">
        <f>'Fixed inputs'!V166</f>
        <v>1</v>
      </c>
      <c r="W33" s="85"/>
      <c r="X33" s="75" t="b">
        <f>'Fixed inputs'!X166</f>
        <v>1</v>
      </c>
      <c r="Y33" s="75" t="b">
        <f>'Fixed inputs'!Y166</f>
        <v>1</v>
      </c>
      <c r="Z33" s="75" t="b">
        <f>'Fixed inputs'!Z166</f>
        <v>1</v>
      </c>
      <c r="AA33" s="75" t="b">
        <f>'Fixed inputs'!AA166</f>
        <v>1</v>
      </c>
      <c r="AB33" s="85"/>
      <c r="AC33" s="75" t="b">
        <f>'Fixed inputs'!AC166</f>
        <v>1</v>
      </c>
      <c r="AD33" s="75" t="b">
        <f>'Fixed inputs'!AD166</f>
        <v>1</v>
      </c>
      <c r="AE33" s="75" t="b">
        <f>'Fixed inputs'!AE166</f>
        <v>1</v>
      </c>
      <c r="AF33" s="75" t="b">
        <f>'Fixed inputs'!AF166</f>
        <v>1</v>
      </c>
      <c r="AG33" s="75" t="b">
        <f>'Fixed inputs'!AG166</f>
        <v>0</v>
      </c>
      <c r="AH33" s="85"/>
      <c r="AI33" s="85"/>
      <c r="AJ33" s="85"/>
      <c r="AK33" s="85"/>
      <c r="AL33" s="85"/>
      <c r="AM33" s="85"/>
      <c r="AN33" s="85"/>
      <c r="AO33" s="85"/>
    </row>
    <row r="34" spans="3:43" x14ac:dyDescent="0.25">
      <c r="C34" s="73"/>
      <c r="D34"/>
      <c r="F34" t="s">
        <v>1107</v>
      </c>
      <c r="G34" t="s">
        <v>1023</v>
      </c>
      <c r="J34" s="75" t="b">
        <f>'Fixed inputs'!J167</f>
        <v>0</v>
      </c>
      <c r="K34" s="85"/>
      <c r="L34" s="85"/>
      <c r="M34" s="75" t="b">
        <f>'Fixed inputs'!M167</f>
        <v>0</v>
      </c>
      <c r="N34" s="75" t="b">
        <f>'Fixed inputs'!N167</f>
        <v>0</v>
      </c>
      <c r="O34" s="75" t="b">
        <f>'Fixed inputs'!O167</f>
        <v>0</v>
      </c>
      <c r="P34" s="75" t="b">
        <f>'Fixed inputs'!P167</f>
        <v>0</v>
      </c>
      <c r="Q34" s="85"/>
      <c r="R34" s="85"/>
      <c r="S34" s="75" t="b">
        <f>'Fixed inputs'!S167</f>
        <v>0</v>
      </c>
      <c r="T34" s="75" t="b">
        <f>'Fixed inputs'!T167</f>
        <v>0</v>
      </c>
      <c r="U34" s="75" t="b">
        <f>'Fixed inputs'!U167</f>
        <v>0</v>
      </c>
      <c r="V34" s="75" t="b">
        <f>'Fixed inputs'!V167</f>
        <v>0</v>
      </c>
      <c r="W34" s="85"/>
      <c r="X34" s="75" t="b">
        <f>'Fixed inputs'!X167</f>
        <v>0</v>
      </c>
      <c r="Y34" s="75" t="b">
        <f>'Fixed inputs'!Y167</f>
        <v>0</v>
      </c>
      <c r="Z34" s="75" t="b">
        <f>'Fixed inputs'!Z167</f>
        <v>0</v>
      </c>
      <c r="AA34" s="75" t="b">
        <f>'Fixed inputs'!AA167</f>
        <v>0</v>
      </c>
      <c r="AB34" s="85"/>
      <c r="AC34" s="75" t="b">
        <f>'Fixed inputs'!AC167</f>
        <v>0</v>
      </c>
      <c r="AD34" s="75" t="b">
        <f>'Fixed inputs'!AD167</f>
        <v>0</v>
      </c>
      <c r="AE34" s="75" t="b">
        <f>'Fixed inputs'!AE167</f>
        <v>0</v>
      </c>
      <c r="AF34" s="75" t="b">
        <f>'Fixed inputs'!AF167</f>
        <v>0</v>
      </c>
      <c r="AG34" s="75" t="b">
        <f>'Fixed inputs'!AG167</f>
        <v>1</v>
      </c>
      <c r="AH34" s="85"/>
      <c r="AI34" s="85"/>
      <c r="AJ34" s="85"/>
      <c r="AK34" s="85"/>
      <c r="AL34" s="85"/>
      <c r="AM34" s="85"/>
      <c r="AN34" s="85"/>
      <c r="AO34" s="85"/>
    </row>
    <row r="35" spans="3:43" x14ac:dyDescent="0.25">
      <c r="F35" t="s">
        <v>1026</v>
      </c>
      <c r="G35" t="s">
        <v>426</v>
      </c>
      <c r="J35" s="75">
        <f>'Fixed inputs'!J168</f>
        <v>1</v>
      </c>
      <c r="K35" s="85"/>
      <c r="L35" s="85"/>
      <c r="M35" s="75">
        <f>'Fixed inputs'!M168</f>
        <v>2</v>
      </c>
      <c r="N35" s="75">
        <f>'Fixed inputs'!N168</f>
        <v>2</v>
      </c>
      <c r="O35" s="75">
        <f>'Fixed inputs'!O168</f>
        <v>2</v>
      </c>
      <c r="P35" s="75">
        <f>'Fixed inputs'!P168</f>
        <v>2</v>
      </c>
      <c r="Q35" s="85"/>
      <c r="R35" s="85"/>
      <c r="S35" s="75">
        <f>'Fixed inputs'!S168</f>
        <v>3</v>
      </c>
      <c r="T35" s="75">
        <f>'Fixed inputs'!T168</f>
        <v>3</v>
      </c>
      <c r="U35" s="75">
        <f>'Fixed inputs'!U168</f>
        <v>3</v>
      </c>
      <c r="V35" s="75">
        <f>'Fixed inputs'!V168</f>
        <v>3</v>
      </c>
      <c r="W35" s="85"/>
      <c r="X35" s="75">
        <f>'Fixed inputs'!X168</f>
        <v>3</v>
      </c>
      <c r="Y35" s="75">
        <f>'Fixed inputs'!Y168</f>
        <v>3</v>
      </c>
      <c r="Z35" s="75">
        <f>'Fixed inputs'!Z168</f>
        <v>3</v>
      </c>
      <c r="AA35" s="75">
        <f>'Fixed inputs'!AA168</f>
        <v>3</v>
      </c>
      <c r="AB35" s="85"/>
      <c r="AC35" s="75">
        <f>'Fixed inputs'!AC168</f>
        <v>4</v>
      </c>
      <c r="AD35" s="75">
        <f>'Fixed inputs'!AD168</f>
        <v>4</v>
      </c>
      <c r="AE35" s="75">
        <f>'Fixed inputs'!AE168</f>
        <v>4</v>
      </c>
      <c r="AF35" s="75">
        <f>'Fixed inputs'!AF168</f>
        <v>4</v>
      </c>
      <c r="AG35" s="75">
        <f>'Fixed inputs'!AG168</f>
        <v>5</v>
      </c>
      <c r="AH35" s="85"/>
      <c r="AI35" s="85"/>
      <c r="AJ35" s="85"/>
      <c r="AK35" s="85"/>
      <c r="AL35" s="85"/>
      <c r="AM35" s="85"/>
      <c r="AN35" s="85"/>
      <c r="AO35" s="85"/>
    </row>
    <row r="36" spans="3:43" x14ac:dyDescent="0.25">
      <c r="C36" s="73"/>
      <c r="F36" t="s">
        <v>1027</v>
      </c>
      <c r="G36" t="s">
        <v>426</v>
      </c>
      <c r="J36" s="75">
        <f>'Fixed inputs'!J169</f>
        <v>1</v>
      </c>
      <c r="K36" s="85"/>
      <c r="L36" s="85"/>
      <c r="M36" s="75">
        <f>'Fixed inputs'!M169</f>
        <v>1</v>
      </c>
      <c r="N36" s="75">
        <f>'Fixed inputs'!N169</f>
        <v>2</v>
      </c>
      <c r="O36" s="75">
        <f>'Fixed inputs'!O169</f>
        <v>3</v>
      </c>
      <c r="P36" s="75">
        <f>'Fixed inputs'!P169</f>
        <v>4</v>
      </c>
      <c r="Q36" s="85"/>
      <c r="R36" s="85"/>
      <c r="S36" s="75">
        <f>'Fixed inputs'!S169</f>
        <v>1</v>
      </c>
      <c r="T36" s="75">
        <f>'Fixed inputs'!T169</f>
        <v>2</v>
      </c>
      <c r="U36" s="75">
        <f>'Fixed inputs'!U169</f>
        <v>3</v>
      </c>
      <c r="V36" s="75">
        <f>'Fixed inputs'!V169</f>
        <v>4</v>
      </c>
      <c r="W36" s="85"/>
      <c r="X36" s="75">
        <f>'Fixed inputs'!X169</f>
        <v>1</v>
      </c>
      <c r="Y36" s="75">
        <f>'Fixed inputs'!Y169</f>
        <v>2</v>
      </c>
      <c r="Z36" s="75">
        <f>'Fixed inputs'!Z169</f>
        <v>3</v>
      </c>
      <c r="AA36" s="75">
        <f>'Fixed inputs'!AA169</f>
        <v>4</v>
      </c>
      <c r="AB36" s="85"/>
      <c r="AC36" s="75">
        <f>'Fixed inputs'!AC169</f>
        <v>1</v>
      </c>
      <c r="AD36" s="75">
        <f>'Fixed inputs'!AD169</f>
        <v>2</v>
      </c>
      <c r="AE36" s="75">
        <f>'Fixed inputs'!AE169</f>
        <v>3</v>
      </c>
      <c r="AF36" s="75">
        <f>'Fixed inputs'!AF169</f>
        <v>4</v>
      </c>
      <c r="AG36" s="75">
        <f>'Fixed inputs'!AG169</f>
        <v>1</v>
      </c>
      <c r="AH36" s="85"/>
      <c r="AI36" s="85"/>
      <c r="AJ36" s="85"/>
      <c r="AK36" s="85"/>
      <c r="AL36" s="85"/>
      <c r="AM36" s="85"/>
      <c r="AN36" s="85"/>
      <c r="AO36" s="85"/>
    </row>
    <row r="37" spans="3:43" x14ac:dyDescent="0.25">
      <c r="D37" s="76"/>
      <c r="F37" s="13" t="s">
        <v>1108</v>
      </c>
      <c r="G37" s="17" t="s">
        <v>426</v>
      </c>
      <c r="H37" s="17"/>
      <c r="I37" s="17"/>
      <c r="J37" s="97">
        <f>'Fixed inputs'!J170</f>
        <v>1</v>
      </c>
      <c r="K37" s="97">
        <f>'Fixed inputs'!K170</f>
        <v>2</v>
      </c>
      <c r="L37" s="97">
        <f>'Fixed inputs'!L170</f>
        <v>3</v>
      </c>
      <c r="M37" s="97">
        <f>'Fixed inputs'!M170</f>
        <v>3</v>
      </c>
      <c r="N37" s="97">
        <f>'Fixed inputs'!N170</f>
        <v>3</v>
      </c>
      <c r="O37" s="97">
        <f>'Fixed inputs'!O170</f>
        <v>3</v>
      </c>
      <c r="P37" s="97">
        <f>'Fixed inputs'!P170</f>
        <v>3</v>
      </c>
      <c r="Q37" s="97">
        <f>'Fixed inputs'!Q170</f>
        <v>4</v>
      </c>
      <c r="R37" s="97">
        <f>'Fixed inputs'!R170</f>
        <v>5</v>
      </c>
      <c r="S37" s="97">
        <f>'Fixed inputs'!S170</f>
        <v>5</v>
      </c>
      <c r="T37" s="97">
        <f>'Fixed inputs'!T170</f>
        <v>5</v>
      </c>
      <c r="U37" s="97">
        <f>'Fixed inputs'!U170</f>
        <v>5</v>
      </c>
      <c r="V37" s="97">
        <f>'Fixed inputs'!V170</f>
        <v>5</v>
      </c>
      <c r="W37" s="97">
        <f>'Fixed inputs'!W170</f>
        <v>6</v>
      </c>
      <c r="X37" s="97">
        <f>'Fixed inputs'!X170</f>
        <v>6</v>
      </c>
      <c r="Y37" s="97">
        <f>'Fixed inputs'!Y170</f>
        <v>6</v>
      </c>
      <c r="Z37" s="97">
        <f>'Fixed inputs'!Z170</f>
        <v>6</v>
      </c>
      <c r="AA37" s="97">
        <f>'Fixed inputs'!AA170</f>
        <v>6</v>
      </c>
      <c r="AB37" s="97">
        <f>'Fixed inputs'!AB170</f>
        <v>7</v>
      </c>
      <c r="AC37" s="97">
        <f>'Fixed inputs'!AC170</f>
        <v>7</v>
      </c>
      <c r="AD37" s="97">
        <f>'Fixed inputs'!AD170</f>
        <v>7</v>
      </c>
      <c r="AE37" s="97">
        <f>'Fixed inputs'!AE170</f>
        <v>7</v>
      </c>
      <c r="AF37" s="97">
        <f>'Fixed inputs'!AF170</f>
        <v>7</v>
      </c>
      <c r="AG37" s="97">
        <f>'Fixed inputs'!AG170</f>
        <v>8</v>
      </c>
      <c r="AH37" s="97">
        <f>'Fixed inputs'!AH170</f>
        <v>9</v>
      </c>
      <c r="AI37" s="97">
        <f>'Fixed inputs'!AI170</f>
        <v>10</v>
      </c>
      <c r="AJ37" s="97">
        <f>'Fixed inputs'!AJ170</f>
        <v>11</v>
      </c>
      <c r="AK37" s="97">
        <f>'Fixed inputs'!AK170</f>
        <v>12</v>
      </c>
      <c r="AL37" s="97">
        <f>'Fixed inputs'!AL170</f>
        <v>13</v>
      </c>
      <c r="AM37" s="97">
        <f>'Fixed inputs'!AM170</f>
        <v>14</v>
      </c>
      <c r="AN37" s="97">
        <f>'Fixed inputs'!AN170</f>
        <v>15</v>
      </c>
      <c r="AO37" s="97">
        <f>'Fixed inputs'!AO170</f>
        <v>16</v>
      </c>
    </row>
    <row r="38" spans="3:43" x14ac:dyDescent="0.25">
      <c r="C38" s="73"/>
      <c r="J38" s="344"/>
      <c r="K38" s="344"/>
      <c r="L38" s="344"/>
      <c r="M38" s="344"/>
      <c r="N38" s="344"/>
      <c r="O38" s="344"/>
      <c r="P38" s="344"/>
      <c r="Q38" s="344"/>
      <c r="R38" s="344"/>
      <c r="S38" s="344"/>
      <c r="T38" s="344"/>
      <c r="U38" s="344"/>
      <c r="V38" s="344"/>
      <c r="W38" s="344"/>
      <c r="X38" s="344"/>
      <c r="Y38" s="344"/>
      <c r="Z38" s="344"/>
      <c r="AA38" s="344"/>
      <c r="AB38" s="344"/>
      <c r="AC38" s="344"/>
      <c r="AD38" s="344"/>
      <c r="AE38" s="344"/>
      <c r="AF38" s="344"/>
      <c r="AG38" s="344"/>
      <c r="AH38" s="344"/>
      <c r="AI38" s="344"/>
      <c r="AJ38" s="344"/>
      <c r="AK38" s="344"/>
      <c r="AL38" s="344"/>
      <c r="AM38" s="344"/>
      <c r="AN38" s="344"/>
      <c r="AO38" s="344"/>
    </row>
    <row r="39" spans="3:43" x14ac:dyDescent="0.25">
      <c r="D39"/>
      <c r="E39" s="52" t="s">
        <v>253</v>
      </c>
      <c r="F39" s="52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</row>
    <row r="40" spans="3:43" x14ac:dyDescent="0.25">
      <c r="D40"/>
      <c r="E40" s="76"/>
      <c r="F40" s="80" t="s">
        <v>134</v>
      </c>
      <c r="G40" s="80" t="s">
        <v>183</v>
      </c>
      <c r="H40" s="296"/>
      <c r="I40" s="296"/>
      <c r="J40" s="302">
        <f t="shared" ref="J40:AO46" si="0">INDEX($J20:$Y20,J$37)</f>
        <v>8.299709774288182</v>
      </c>
      <c r="K40" s="302">
        <f t="shared" si="0"/>
        <v>8.299709774288182</v>
      </c>
      <c r="L40" s="302">
        <f t="shared" si="0"/>
        <v>10.017578595522124</v>
      </c>
      <c r="M40" s="302">
        <f t="shared" si="0"/>
        <v>10.017578595522124</v>
      </c>
      <c r="N40" s="302">
        <f t="shared" si="0"/>
        <v>10.017578595522124</v>
      </c>
      <c r="O40" s="302">
        <f t="shared" si="0"/>
        <v>10.017578595522124</v>
      </c>
      <c r="P40" s="302">
        <f t="shared" si="0"/>
        <v>10.017578595522124</v>
      </c>
      <c r="Q40" s="302">
        <f t="shared" si="0"/>
        <v>10.017578595522124</v>
      </c>
      <c r="R40" s="302">
        <f t="shared" si="0"/>
        <v>7.2441646887714617</v>
      </c>
      <c r="S40" s="302">
        <f t="shared" si="0"/>
        <v>7.2441646887714617</v>
      </c>
      <c r="T40" s="302">
        <f t="shared" si="0"/>
        <v>7.2441646887714617</v>
      </c>
      <c r="U40" s="302">
        <f t="shared" si="0"/>
        <v>7.2441646887714617</v>
      </c>
      <c r="V40" s="302">
        <f t="shared" si="0"/>
        <v>7.2441646887714617</v>
      </c>
      <c r="W40" s="302">
        <f t="shared" si="0"/>
        <v>4.1678200402601213</v>
      </c>
      <c r="X40" s="302">
        <f t="shared" si="0"/>
        <v>4.1678200402601213</v>
      </c>
      <c r="Y40" s="302">
        <f t="shared" si="0"/>
        <v>4.1678200402601213</v>
      </c>
      <c r="Z40" s="302">
        <f t="shared" si="0"/>
        <v>4.1678200402601213</v>
      </c>
      <c r="AA40" s="302">
        <f t="shared" si="0"/>
        <v>4.1678200402601213</v>
      </c>
      <c r="AB40" s="302">
        <f t="shared" si="0"/>
        <v>2.8865352453672846</v>
      </c>
      <c r="AC40" s="302">
        <f t="shared" si="0"/>
        <v>2.8865352453672846</v>
      </c>
      <c r="AD40" s="302">
        <f t="shared" si="0"/>
        <v>2.8865352453672846</v>
      </c>
      <c r="AE40" s="302">
        <f t="shared" si="0"/>
        <v>2.8865352453672846</v>
      </c>
      <c r="AF40" s="302">
        <f t="shared" si="0"/>
        <v>2.8865352453672846</v>
      </c>
      <c r="AG40" s="302">
        <f t="shared" si="0"/>
        <v>22.750664930150901</v>
      </c>
      <c r="AH40" s="302">
        <f t="shared" si="0"/>
        <v>-6.5281797312705345</v>
      </c>
      <c r="AI40" s="302">
        <f t="shared" si="0"/>
        <v>-5.6839788146925212</v>
      </c>
      <c r="AJ40" s="302">
        <f t="shared" si="0"/>
        <v>-6.5281797312705345</v>
      </c>
      <c r="AK40" s="302">
        <f t="shared" si="0"/>
        <v>-6.5281797312705345</v>
      </c>
      <c r="AL40" s="302">
        <f t="shared" si="0"/>
        <v>-5.6839788146925212</v>
      </c>
      <c r="AM40" s="302">
        <f t="shared" si="0"/>
        <v>-5.6839788146925212</v>
      </c>
      <c r="AN40" s="302">
        <f t="shared" si="0"/>
        <v>-3.5120732557973353</v>
      </c>
      <c r="AO40" s="302">
        <f t="shared" si="0"/>
        <v>-3.5120732557973353</v>
      </c>
      <c r="AP40" s="298"/>
      <c r="AQ40" s="298"/>
    </row>
    <row r="41" spans="3:43" x14ac:dyDescent="0.25">
      <c r="D41"/>
      <c r="E41" s="76"/>
      <c r="F41" t="s">
        <v>135</v>
      </c>
      <c r="G41" t="s">
        <v>183</v>
      </c>
      <c r="H41" s="298"/>
      <c r="I41" s="298"/>
      <c r="J41" s="303">
        <f t="shared" si="0"/>
        <v>0.95313219533521953</v>
      </c>
      <c r="K41" s="303">
        <f t="shared" si="0"/>
        <v>0.95313219533521953</v>
      </c>
      <c r="L41" s="303">
        <f t="shared" si="0"/>
        <v>1.150410910544398</v>
      </c>
      <c r="M41" s="303">
        <f t="shared" si="0"/>
        <v>1.150410910544398</v>
      </c>
      <c r="N41" s="303">
        <f t="shared" si="0"/>
        <v>1.150410910544398</v>
      </c>
      <c r="O41" s="303">
        <f t="shared" si="0"/>
        <v>1.150410910544398</v>
      </c>
      <c r="P41" s="303">
        <f t="shared" si="0"/>
        <v>1.150410910544398</v>
      </c>
      <c r="Q41" s="303">
        <f t="shared" si="0"/>
        <v>1.150410910544398</v>
      </c>
      <c r="R41" s="303">
        <f t="shared" si="0"/>
        <v>0.78722064913810097</v>
      </c>
      <c r="S41" s="303">
        <f t="shared" si="0"/>
        <v>0.78722064913810097</v>
      </c>
      <c r="T41" s="303">
        <f t="shared" si="0"/>
        <v>0.78722064913810097</v>
      </c>
      <c r="U41" s="303">
        <f t="shared" si="0"/>
        <v>0.78722064913810097</v>
      </c>
      <c r="V41" s="303">
        <f t="shared" si="0"/>
        <v>0.78722064913810097</v>
      </c>
      <c r="W41" s="303">
        <f t="shared" si="0"/>
        <v>0.37434886539562695</v>
      </c>
      <c r="X41" s="303">
        <f t="shared" si="0"/>
        <v>0.37434886539562695</v>
      </c>
      <c r="Y41" s="303">
        <f t="shared" si="0"/>
        <v>0.37434886539562695</v>
      </c>
      <c r="Z41" s="303">
        <f t="shared" si="0"/>
        <v>0.37434886539562695</v>
      </c>
      <c r="AA41" s="303">
        <f t="shared" si="0"/>
        <v>0.37434886539562695</v>
      </c>
      <c r="AB41" s="303">
        <f t="shared" si="0"/>
        <v>0.22923280291328646</v>
      </c>
      <c r="AC41" s="303">
        <f t="shared" si="0"/>
        <v>0.22923280291328646</v>
      </c>
      <c r="AD41" s="303">
        <f t="shared" si="0"/>
        <v>0.22923280291328646</v>
      </c>
      <c r="AE41" s="303">
        <f t="shared" si="0"/>
        <v>0.22923280291328646</v>
      </c>
      <c r="AF41" s="303">
        <f t="shared" si="0"/>
        <v>0.22923280291328646</v>
      </c>
      <c r="AG41" s="303">
        <f t="shared" si="0"/>
        <v>1.3580108270601396</v>
      </c>
      <c r="AH41" s="303">
        <f t="shared" si="0"/>
        <v>-0.74969106728101365</v>
      </c>
      <c r="AI41" s="303">
        <f t="shared" si="0"/>
        <v>-0.63496742960815677</v>
      </c>
      <c r="AJ41" s="303">
        <f t="shared" si="0"/>
        <v>-0.74969106728101365</v>
      </c>
      <c r="AK41" s="303">
        <f t="shared" si="0"/>
        <v>-0.74969106728101365</v>
      </c>
      <c r="AL41" s="303">
        <f t="shared" si="0"/>
        <v>-0.63496742960815677</v>
      </c>
      <c r="AM41" s="303">
        <f t="shared" si="0"/>
        <v>-0.63496742960815677</v>
      </c>
      <c r="AN41" s="303">
        <f t="shared" si="0"/>
        <v>-0.31331277837518495</v>
      </c>
      <c r="AO41" s="303">
        <f t="shared" si="0"/>
        <v>-0.31331277837518495</v>
      </c>
      <c r="AP41" s="298"/>
      <c r="AQ41" s="298"/>
    </row>
    <row r="42" spans="3:43" x14ac:dyDescent="0.25">
      <c r="D42"/>
      <c r="E42" s="76"/>
      <c r="F42" t="s">
        <v>136</v>
      </c>
      <c r="G42" t="s">
        <v>183</v>
      </c>
      <c r="H42" s="298"/>
      <c r="I42" s="298"/>
      <c r="J42" s="303">
        <f t="shared" si="0"/>
        <v>1.7003237233463812E-2</v>
      </c>
      <c r="K42" s="303">
        <f t="shared" si="0"/>
        <v>1.7003237233463812E-2</v>
      </c>
      <c r="L42" s="303">
        <f t="shared" si="0"/>
        <v>2.0522556811830232E-2</v>
      </c>
      <c r="M42" s="303">
        <f t="shared" si="0"/>
        <v>2.0522556811830232E-2</v>
      </c>
      <c r="N42" s="303">
        <f t="shared" si="0"/>
        <v>2.0522556811830232E-2</v>
      </c>
      <c r="O42" s="303">
        <f t="shared" si="0"/>
        <v>2.0522556811830232E-2</v>
      </c>
      <c r="P42" s="303">
        <f t="shared" si="0"/>
        <v>2.0522556811830232E-2</v>
      </c>
      <c r="Q42" s="303">
        <f t="shared" si="0"/>
        <v>2.0522556811830232E-2</v>
      </c>
      <c r="R42" s="303">
        <f t="shared" si="0"/>
        <v>1.3643911588587573E-2</v>
      </c>
      <c r="S42" s="303">
        <f t="shared" si="0"/>
        <v>1.3643911588587573E-2</v>
      </c>
      <c r="T42" s="303">
        <f t="shared" si="0"/>
        <v>1.3643911588587573E-2</v>
      </c>
      <c r="U42" s="303">
        <f t="shared" si="0"/>
        <v>1.3643911588587573E-2</v>
      </c>
      <c r="V42" s="303">
        <f t="shared" si="0"/>
        <v>1.3643911588587573E-2</v>
      </c>
      <c r="W42" s="303">
        <f t="shared" si="0"/>
        <v>5.7458313786606487E-3</v>
      </c>
      <c r="X42" s="303">
        <f t="shared" si="0"/>
        <v>5.7458313786606487E-3</v>
      </c>
      <c r="Y42" s="303">
        <f t="shared" si="0"/>
        <v>5.7458313786606487E-3</v>
      </c>
      <c r="Z42" s="303">
        <f t="shared" si="0"/>
        <v>5.7458313786606487E-3</v>
      </c>
      <c r="AA42" s="303">
        <f t="shared" si="0"/>
        <v>5.7458313786606487E-3</v>
      </c>
      <c r="AB42" s="303">
        <f t="shared" si="0"/>
        <v>3.17516871760074E-3</v>
      </c>
      <c r="AC42" s="303">
        <f t="shared" si="0"/>
        <v>3.17516871760074E-3</v>
      </c>
      <c r="AD42" s="303">
        <f t="shared" si="0"/>
        <v>3.17516871760074E-3</v>
      </c>
      <c r="AE42" s="303">
        <f t="shared" si="0"/>
        <v>3.17516871760074E-3</v>
      </c>
      <c r="AF42" s="303">
        <f t="shared" si="0"/>
        <v>3.17516871760074E-3</v>
      </c>
      <c r="AG42" s="303">
        <f t="shared" si="0"/>
        <v>0.45597518216619148</v>
      </c>
      <c r="AH42" s="303">
        <f t="shared" si="0"/>
        <v>-1.3373984355134004E-2</v>
      </c>
      <c r="AI42" s="303">
        <f t="shared" si="0"/>
        <v>-1.1168466179409052E-2</v>
      </c>
      <c r="AJ42" s="303">
        <f t="shared" si="0"/>
        <v>-1.3373984355134004E-2</v>
      </c>
      <c r="AK42" s="303">
        <f t="shared" si="0"/>
        <v>-1.3373984355134004E-2</v>
      </c>
      <c r="AL42" s="303">
        <f t="shared" si="0"/>
        <v>-1.1168466179409052E-2</v>
      </c>
      <c r="AM42" s="303">
        <f t="shared" si="0"/>
        <v>-1.1168466179409052E-2</v>
      </c>
      <c r="AN42" s="303">
        <f t="shared" si="0"/>
        <v>-4.7845614421207936E-3</v>
      </c>
      <c r="AO42" s="303">
        <f t="shared" si="0"/>
        <v>-4.7845614421207936E-3</v>
      </c>
      <c r="AP42" s="298"/>
      <c r="AQ42" s="298"/>
    </row>
    <row r="43" spans="3:43" x14ac:dyDescent="0.25">
      <c r="D43"/>
      <c r="E43" s="76"/>
      <c r="F43" t="s">
        <v>254</v>
      </c>
      <c r="G43" t="s">
        <v>252</v>
      </c>
      <c r="J43" s="197">
        <f t="shared" si="0"/>
        <v>4.6823787634997727</v>
      </c>
      <c r="K43" s="197">
        <f t="shared" si="0"/>
        <v>0</v>
      </c>
      <c r="L43" s="197">
        <f t="shared" si="0"/>
        <v>5.9909489853432492</v>
      </c>
      <c r="M43" s="197">
        <f t="shared" si="0"/>
        <v>5.9909489853432492</v>
      </c>
      <c r="N43" s="197">
        <f t="shared" si="0"/>
        <v>5.9909489853432492</v>
      </c>
      <c r="O43" s="197">
        <f t="shared" si="0"/>
        <v>5.9909489853432492</v>
      </c>
      <c r="P43" s="197">
        <f t="shared" si="0"/>
        <v>5.9909489853432492</v>
      </c>
      <c r="Q43" s="197">
        <f t="shared" si="0"/>
        <v>0</v>
      </c>
      <c r="R43" s="197">
        <f t="shared" si="0"/>
        <v>23.764953284910149</v>
      </c>
      <c r="S43" s="197">
        <f t="shared" si="0"/>
        <v>23.764953284910149</v>
      </c>
      <c r="T43" s="197">
        <f t="shared" si="0"/>
        <v>23.764953284910149</v>
      </c>
      <c r="U43" s="197">
        <f t="shared" si="0"/>
        <v>23.764953284910149</v>
      </c>
      <c r="V43" s="197">
        <f t="shared" si="0"/>
        <v>23.764953284910149</v>
      </c>
      <c r="W43" s="197">
        <f t="shared" si="0"/>
        <v>8.3876305711447596</v>
      </c>
      <c r="X43" s="197">
        <f t="shared" si="0"/>
        <v>8.3876305711447596</v>
      </c>
      <c r="Y43" s="197">
        <f t="shared" si="0"/>
        <v>8.3876305711447596</v>
      </c>
      <c r="Z43" s="197">
        <f t="shared" si="0"/>
        <v>8.3876305711447596</v>
      </c>
      <c r="AA43" s="197">
        <f t="shared" si="0"/>
        <v>8.3876305711447596</v>
      </c>
      <c r="AB43" s="197">
        <f t="shared" si="0"/>
        <v>126.99377480279705</v>
      </c>
      <c r="AC43" s="197">
        <f t="shared" si="0"/>
        <v>126.99377480279705</v>
      </c>
      <c r="AD43" s="197">
        <f t="shared" si="0"/>
        <v>126.99377480279705</v>
      </c>
      <c r="AE43" s="197">
        <f t="shared" si="0"/>
        <v>126.99377480279705</v>
      </c>
      <c r="AF43" s="197">
        <f t="shared" si="0"/>
        <v>126.99377480279705</v>
      </c>
      <c r="AG43" s="197">
        <f t="shared" si="0"/>
        <v>0</v>
      </c>
      <c r="AH43" s="197">
        <f t="shared" si="0"/>
        <v>0</v>
      </c>
      <c r="AI43" s="197">
        <f t="shared" si="0"/>
        <v>0</v>
      </c>
      <c r="AJ43" s="197">
        <f t="shared" si="0"/>
        <v>0</v>
      </c>
      <c r="AK43" s="197">
        <f t="shared" si="0"/>
        <v>0</v>
      </c>
      <c r="AL43" s="197">
        <f t="shared" si="0"/>
        <v>0</v>
      </c>
      <c r="AM43" s="197">
        <f t="shared" si="0"/>
        <v>0</v>
      </c>
      <c r="AN43" s="197">
        <f t="shared" si="0"/>
        <v>92.733244183596881</v>
      </c>
      <c r="AO43" s="197">
        <f t="shared" si="0"/>
        <v>92.733244183596881</v>
      </c>
    </row>
    <row r="44" spans="3:43" x14ac:dyDescent="0.25">
      <c r="D44"/>
      <c r="E44" s="76"/>
      <c r="F44" t="s">
        <v>255</v>
      </c>
      <c r="G44" t="s">
        <v>251</v>
      </c>
      <c r="J44" s="197">
        <f t="shared" si="0"/>
        <v>0</v>
      </c>
      <c r="K44" s="197">
        <f t="shared" si="0"/>
        <v>0</v>
      </c>
      <c r="L44" s="197">
        <f t="shared" si="0"/>
        <v>0</v>
      </c>
      <c r="M44" s="197">
        <f t="shared" si="0"/>
        <v>0</v>
      </c>
      <c r="N44" s="197">
        <f t="shared" si="0"/>
        <v>0</v>
      </c>
      <c r="O44" s="197">
        <f t="shared" si="0"/>
        <v>0</v>
      </c>
      <c r="P44" s="197">
        <f t="shared" si="0"/>
        <v>0</v>
      </c>
      <c r="Q44" s="197">
        <f t="shared" si="0"/>
        <v>0</v>
      </c>
      <c r="R44" s="197">
        <f t="shared" si="0"/>
        <v>2.9404507692016573</v>
      </c>
      <c r="S44" s="197">
        <f t="shared" si="0"/>
        <v>2.9404507692016573</v>
      </c>
      <c r="T44" s="197">
        <f t="shared" si="0"/>
        <v>2.9404507692016573</v>
      </c>
      <c r="U44" s="197">
        <f t="shared" si="0"/>
        <v>2.9404507692016573</v>
      </c>
      <c r="V44" s="197">
        <f t="shared" si="0"/>
        <v>2.9404507692016573</v>
      </c>
      <c r="W44" s="197">
        <f t="shared" si="0"/>
        <v>5.4245039682001561</v>
      </c>
      <c r="X44" s="197">
        <f t="shared" si="0"/>
        <v>5.4245039682001561</v>
      </c>
      <c r="Y44" s="197">
        <f t="shared" si="0"/>
        <v>5.4245039682001561</v>
      </c>
      <c r="Z44" s="197">
        <f t="shared" si="0"/>
        <v>5.4245039682001561</v>
      </c>
      <c r="AA44" s="197">
        <f t="shared" si="0"/>
        <v>5.4245039682001561</v>
      </c>
      <c r="AB44" s="197">
        <f t="shared" si="0"/>
        <v>5.9690070627261953</v>
      </c>
      <c r="AC44" s="197">
        <f t="shared" si="0"/>
        <v>5.9690070627261953</v>
      </c>
      <c r="AD44" s="197">
        <f t="shared" si="0"/>
        <v>5.9690070627261953</v>
      </c>
      <c r="AE44" s="197">
        <f t="shared" si="0"/>
        <v>5.9690070627261953</v>
      </c>
      <c r="AF44" s="197">
        <f t="shared" si="0"/>
        <v>5.9690070627261953</v>
      </c>
      <c r="AG44" s="197">
        <f t="shared" si="0"/>
        <v>0</v>
      </c>
      <c r="AH44" s="197">
        <f t="shared" si="0"/>
        <v>0</v>
      </c>
      <c r="AI44" s="197">
        <f t="shared" si="0"/>
        <v>0</v>
      </c>
      <c r="AJ44" s="197">
        <f t="shared" si="0"/>
        <v>0</v>
      </c>
      <c r="AK44" s="197">
        <f t="shared" si="0"/>
        <v>0</v>
      </c>
      <c r="AL44" s="197">
        <f t="shared" si="0"/>
        <v>0</v>
      </c>
      <c r="AM44" s="197">
        <f t="shared" si="0"/>
        <v>0</v>
      </c>
      <c r="AN44" s="197">
        <f t="shared" si="0"/>
        <v>0</v>
      </c>
      <c r="AO44" s="197">
        <f t="shared" si="0"/>
        <v>0</v>
      </c>
    </row>
    <row r="45" spans="3:43" x14ac:dyDescent="0.25">
      <c r="D45"/>
      <c r="E45" s="76"/>
      <c r="F45" t="s">
        <v>256</v>
      </c>
      <c r="G45" t="s">
        <v>251</v>
      </c>
      <c r="J45" s="197">
        <f t="shared" si="0"/>
        <v>0</v>
      </c>
      <c r="K45" s="197">
        <f t="shared" si="0"/>
        <v>0</v>
      </c>
      <c r="L45" s="197">
        <f t="shared" si="0"/>
        <v>0</v>
      </c>
      <c r="M45" s="197">
        <f t="shared" si="0"/>
        <v>0</v>
      </c>
      <c r="N45" s="197">
        <f t="shared" si="0"/>
        <v>0</v>
      </c>
      <c r="O45" s="197">
        <f t="shared" si="0"/>
        <v>0</v>
      </c>
      <c r="P45" s="197">
        <f t="shared" si="0"/>
        <v>0</v>
      </c>
      <c r="Q45" s="197">
        <f t="shared" si="0"/>
        <v>0</v>
      </c>
      <c r="R45" s="197">
        <f t="shared" si="0"/>
        <v>4.2719194296801346</v>
      </c>
      <c r="S45" s="197">
        <f t="shared" si="0"/>
        <v>4.2719194296801346</v>
      </c>
      <c r="T45" s="197">
        <f t="shared" si="0"/>
        <v>4.2719194296801346</v>
      </c>
      <c r="U45" s="197">
        <f t="shared" si="0"/>
        <v>4.2719194296801346</v>
      </c>
      <c r="V45" s="197">
        <f t="shared" si="0"/>
        <v>4.2719194296801346</v>
      </c>
      <c r="W45" s="197">
        <f t="shared" si="0"/>
        <v>6.1822714517718973</v>
      </c>
      <c r="X45" s="197">
        <f t="shared" si="0"/>
        <v>6.1822714517718973</v>
      </c>
      <c r="Y45" s="197">
        <f t="shared" si="0"/>
        <v>6.1822714517718973</v>
      </c>
      <c r="Z45" s="197">
        <f t="shared" si="0"/>
        <v>6.1822714517718973</v>
      </c>
      <c r="AA45" s="197">
        <f t="shared" si="0"/>
        <v>6.1822714517718973</v>
      </c>
      <c r="AB45" s="197">
        <f t="shared" si="0"/>
        <v>7.3529287417940443</v>
      </c>
      <c r="AC45" s="197">
        <f t="shared" si="0"/>
        <v>7.3529287417940443</v>
      </c>
      <c r="AD45" s="197">
        <f t="shared" si="0"/>
        <v>7.3529287417940443</v>
      </c>
      <c r="AE45" s="197">
        <f t="shared" si="0"/>
        <v>7.3529287417940443</v>
      </c>
      <c r="AF45" s="197">
        <f t="shared" si="0"/>
        <v>7.3529287417940443</v>
      </c>
      <c r="AG45" s="197">
        <f t="shared" si="0"/>
        <v>0</v>
      </c>
      <c r="AH45" s="197">
        <f t="shared" si="0"/>
        <v>0</v>
      </c>
      <c r="AI45" s="197">
        <f t="shared" si="0"/>
        <v>0</v>
      </c>
      <c r="AJ45" s="197">
        <f t="shared" si="0"/>
        <v>0</v>
      </c>
      <c r="AK45" s="197">
        <f t="shared" si="0"/>
        <v>0</v>
      </c>
      <c r="AL45" s="197">
        <f t="shared" si="0"/>
        <v>0</v>
      </c>
      <c r="AM45" s="197">
        <f t="shared" si="0"/>
        <v>0</v>
      </c>
      <c r="AN45" s="197">
        <f t="shared" si="0"/>
        <v>0</v>
      </c>
      <c r="AO45" s="197">
        <f t="shared" si="0"/>
        <v>0</v>
      </c>
    </row>
    <row r="46" spans="3:43" x14ac:dyDescent="0.25">
      <c r="D46"/>
      <c r="E46" s="76"/>
      <c r="F46" s="17" t="s">
        <v>257</v>
      </c>
      <c r="G46" s="17" t="s">
        <v>258</v>
      </c>
      <c r="H46" s="300"/>
      <c r="I46" s="300"/>
      <c r="J46" s="304">
        <f t="shared" si="0"/>
        <v>0</v>
      </c>
      <c r="K46" s="304">
        <f t="shared" si="0"/>
        <v>0</v>
      </c>
      <c r="L46" s="304">
        <f t="shared" si="0"/>
        <v>0</v>
      </c>
      <c r="M46" s="304">
        <f t="shared" si="0"/>
        <v>0</v>
      </c>
      <c r="N46" s="304">
        <f t="shared" si="0"/>
        <v>0</v>
      </c>
      <c r="O46" s="304">
        <f t="shared" si="0"/>
        <v>0</v>
      </c>
      <c r="P46" s="304">
        <f t="shared" si="0"/>
        <v>0</v>
      </c>
      <c r="Q46" s="304">
        <f t="shared" si="0"/>
        <v>0</v>
      </c>
      <c r="R46" s="304">
        <f t="shared" si="0"/>
        <v>0.14921334832108674</v>
      </c>
      <c r="S46" s="304">
        <f t="shared" si="0"/>
        <v>0.14921334832108674</v>
      </c>
      <c r="T46" s="304">
        <f t="shared" si="0"/>
        <v>0.14921334832108674</v>
      </c>
      <c r="U46" s="304">
        <f t="shared" si="0"/>
        <v>0.14921334832108674</v>
      </c>
      <c r="V46" s="304">
        <f t="shared" si="0"/>
        <v>0.14921334832108674</v>
      </c>
      <c r="W46" s="304">
        <f t="shared" si="0"/>
        <v>7.5151983325622007E-2</v>
      </c>
      <c r="X46" s="304">
        <f t="shared" si="0"/>
        <v>7.5151983325622007E-2</v>
      </c>
      <c r="Y46" s="304">
        <f t="shared" si="0"/>
        <v>7.5151983325622007E-2</v>
      </c>
      <c r="Z46" s="304">
        <f t="shared" si="0"/>
        <v>7.5151983325622007E-2</v>
      </c>
      <c r="AA46" s="304">
        <f t="shared" si="0"/>
        <v>7.5151983325622007E-2</v>
      </c>
      <c r="AB46" s="304">
        <f t="shared" si="0"/>
        <v>4.7539599896088004E-2</v>
      </c>
      <c r="AC46" s="304">
        <f t="shared" si="0"/>
        <v>4.7539599896088004E-2</v>
      </c>
      <c r="AD46" s="304">
        <f t="shared" si="0"/>
        <v>4.7539599896088004E-2</v>
      </c>
      <c r="AE46" s="304">
        <f t="shared" si="0"/>
        <v>4.7539599896088004E-2</v>
      </c>
      <c r="AF46" s="304">
        <f t="shared" si="0"/>
        <v>4.7539599896088004E-2</v>
      </c>
      <c r="AG46" s="304">
        <f t="shared" si="0"/>
        <v>0</v>
      </c>
      <c r="AH46" s="304">
        <f t="shared" si="0"/>
        <v>0</v>
      </c>
      <c r="AI46" s="304">
        <f t="shared" si="0"/>
        <v>0</v>
      </c>
      <c r="AJ46" s="304">
        <f t="shared" si="0"/>
        <v>0.13504878564133801</v>
      </c>
      <c r="AK46" s="304">
        <f t="shared" si="0"/>
        <v>0</v>
      </c>
      <c r="AL46" s="304">
        <f t="shared" si="0"/>
        <v>0.11742378853173932</v>
      </c>
      <c r="AM46" s="304">
        <f t="shared" si="0"/>
        <v>0</v>
      </c>
      <c r="AN46" s="304">
        <f t="shared" si="0"/>
        <v>9.5740261905297164E-2</v>
      </c>
      <c r="AO46" s="304">
        <f t="shared" si="0"/>
        <v>0</v>
      </c>
      <c r="AP46" s="298"/>
      <c r="AQ46" s="298"/>
    </row>
    <row r="47" spans="3:43" x14ac:dyDescent="0.25">
      <c r="D47"/>
      <c r="E47" s="76"/>
      <c r="J47" s="198"/>
      <c r="K47" s="198"/>
      <c r="L47" s="198"/>
      <c r="M47" s="198"/>
      <c r="N47" s="198"/>
      <c r="O47" s="198"/>
      <c r="P47" s="198"/>
      <c r="Q47" s="198"/>
      <c r="R47" s="198"/>
      <c r="S47" s="198"/>
      <c r="T47" s="198"/>
      <c r="U47" s="198"/>
      <c r="V47" s="198"/>
      <c r="W47" s="198"/>
      <c r="X47" s="198"/>
      <c r="Y47" s="198"/>
      <c r="Z47" s="198"/>
      <c r="AA47" s="198"/>
      <c r="AB47" s="198"/>
      <c r="AC47" s="198"/>
      <c r="AD47" s="198"/>
      <c r="AE47" s="198"/>
      <c r="AF47" s="198"/>
      <c r="AG47" s="198"/>
      <c r="AH47" s="198"/>
      <c r="AI47" s="198"/>
      <c r="AJ47" s="198"/>
      <c r="AK47" s="198"/>
      <c r="AL47" s="198"/>
      <c r="AM47" s="198"/>
      <c r="AN47" s="198"/>
      <c r="AO47" s="198"/>
    </row>
    <row r="48" spans="3:43" x14ac:dyDescent="0.25">
      <c r="D48"/>
      <c r="E48" s="12" t="s">
        <v>971</v>
      </c>
      <c r="F48" s="417"/>
      <c r="G48" t="s">
        <v>252</v>
      </c>
      <c r="J48" s="197">
        <f t="shared" ref="J48:AO48" si="1">INDEX($J29:$Y29,J$37)</f>
        <v>0.47711249480445828</v>
      </c>
      <c r="K48" s="197">
        <f t="shared" si="1"/>
        <v>0</v>
      </c>
      <c r="L48" s="197">
        <f t="shared" si="1"/>
        <v>0.31129700540177602</v>
      </c>
      <c r="M48" s="197">
        <f t="shared" si="1"/>
        <v>0.31129700540177602</v>
      </c>
      <c r="N48" s="197">
        <f t="shared" si="1"/>
        <v>0.31129700540177602</v>
      </c>
      <c r="O48" s="197">
        <f t="shared" si="1"/>
        <v>0.31129700540177602</v>
      </c>
      <c r="P48" s="197">
        <f t="shared" si="1"/>
        <v>0.31129700540177602</v>
      </c>
      <c r="Q48" s="197">
        <f t="shared" si="1"/>
        <v>0</v>
      </c>
      <c r="R48" s="197">
        <f t="shared" si="1"/>
        <v>0.31129700540177602</v>
      </c>
      <c r="S48" s="197">
        <f t="shared" si="1"/>
        <v>0.31129700540177602</v>
      </c>
      <c r="T48" s="197">
        <f t="shared" si="1"/>
        <v>0.31129700540177602</v>
      </c>
      <c r="U48" s="197">
        <f t="shared" si="1"/>
        <v>0.31129700540177602</v>
      </c>
      <c r="V48" s="197">
        <f t="shared" si="1"/>
        <v>0.31129700540177602</v>
      </c>
      <c r="W48" s="197">
        <f t="shared" si="1"/>
        <v>0.31129700540177602</v>
      </c>
      <c r="X48" s="197">
        <f t="shared" si="1"/>
        <v>0.31129700540177602</v>
      </c>
      <c r="Y48" s="197">
        <f t="shared" si="1"/>
        <v>0.31129700540177602</v>
      </c>
      <c r="Z48" s="197">
        <f t="shared" si="1"/>
        <v>0.31129700540177602</v>
      </c>
      <c r="AA48" s="197">
        <f t="shared" si="1"/>
        <v>0.31129700540177602</v>
      </c>
      <c r="AB48" s="197">
        <f t="shared" si="1"/>
        <v>0.31129700540177602</v>
      </c>
      <c r="AC48" s="197">
        <f t="shared" si="1"/>
        <v>0.31129700540177602</v>
      </c>
      <c r="AD48" s="197">
        <f t="shared" si="1"/>
        <v>0.31129700540177602</v>
      </c>
      <c r="AE48" s="197">
        <f t="shared" si="1"/>
        <v>0.31129700540177602</v>
      </c>
      <c r="AF48" s="197">
        <f t="shared" si="1"/>
        <v>0.31129700540177602</v>
      </c>
      <c r="AG48" s="197">
        <f t="shared" si="1"/>
        <v>0</v>
      </c>
      <c r="AH48" s="197">
        <f t="shared" si="1"/>
        <v>0</v>
      </c>
      <c r="AI48" s="197">
        <f t="shared" si="1"/>
        <v>0</v>
      </c>
      <c r="AJ48" s="197">
        <f t="shared" si="1"/>
        <v>0</v>
      </c>
      <c r="AK48" s="197">
        <f t="shared" si="1"/>
        <v>0</v>
      </c>
      <c r="AL48" s="197">
        <f t="shared" si="1"/>
        <v>0</v>
      </c>
      <c r="AM48" s="197">
        <f t="shared" si="1"/>
        <v>0</v>
      </c>
      <c r="AN48" s="197">
        <f t="shared" si="1"/>
        <v>0</v>
      </c>
      <c r="AO48" s="197">
        <f t="shared" si="1"/>
        <v>0</v>
      </c>
    </row>
    <row r="49" spans="4:41" x14ac:dyDescent="0.25">
      <c r="D49"/>
      <c r="E49" s="76"/>
      <c r="J49" s="198"/>
      <c r="K49" s="198"/>
      <c r="L49" s="198"/>
      <c r="M49" s="198"/>
      <c r="N49" s="198"/>
      <c r="O49" s="198"/>
      <c r="P49" s="198"/>
      <c r="Q49" s="198"/>
      <c r="R49" s="198"/>
      <c r="S49" s="198"/>
      <c r="T49" s="198"/>
      <c r="U49" s="198"/>
      <c r="V49" s="198"/>
      <c r="W49" s="198"/>
      <c r="X49" s="198"/>
      <c r="Y49" s="198"/>
      <c r="Z49" s="198"/>
      <c r="AA49" s="198"/>
      <c r="AB49" s="198"/>
      <c r="AC49" s="198"/>
      <c r="AD49" s="198"/>
      <c r="AE49" s="198"/>
      <c r="AF49" s="198"/>
      <c r="AG49" s="198"/>
      <c r="AH49" s="198"/>
      <c r="AI49" s="198"/>
      <c r="AJ49" s="198"/>
      <c r="AK49" s="198"/>
      <c r="AL49" s="198"/>
      <c r="AM49" s="198"/>
      <c r="AN49" s="198"/>
      <c r="AO49" s="198"/>
    </row>
    <row r="50" spans="4:41" x14ac:dyDescent="0.25">
      <c r="D50"/>
      <c r="E50" s="52" t="s">
        <v>272</v>
      </c>
      <c r="J50" s="198"/>
      <c r="K50" s="198"/>
      <c r="L50" s="198"/>
      <c r="M50" s="198"/>
      <c r="N50" s="198"/>
      <c r="O50" s="198"/>
      <c r="P50" s="198"/>
      <c r="Q50" s="198"/>
      <c r="R50" s="198"/>
      <c r="S50" s="198"/>
      <c r="T50" s="198"/>
      <c r="U50" s="198"/>
      <c r="V50" s="198"/>
      <c r="W50" s="198"/>
      <c r="X50" s="198"/>
      <c r="Y50" s="198"/>
      <c r="Z50" s="198"/>
      <c r="AA50" s="198"/>
      <c r="AB50" s="198"/>
      <c r="AC50" s="198"/>
      <c r="AD50" s="198"/>
      <c r="AE50" s="198"/>
      <c r="AF50" s="198"/>
      <c r="AG50" s="198"/>
      <c r="AH50" s="198"/>
      <c r="AI50" s="198"/>
      <c r="AJ50" s="198"/>
      <c r="AK50" s="198"/>
      <c r="AL50" s="198"/>
      <c r="AM50" s="198"/>
      <c r="AN50" s="198"/>
      <c r="AO50" s="198"/>
    </row>
    <row r="51" spans="4:41" x14ac:dyDescent="0.25">
      <c r="D51"/>
      <c r="E51" s="52"/>
      <c r="F51" s="73" t="s">
        <v>1109</v>
      </c>
      <c r="J51" s="198"/>
      <c r="K51" s="198"/>
      <c r="L51" s="198"/>
      <c r="M51" s="198"/>
      <c r="N51" s="198"/>
      <c r="O51" s="198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  <c r="AA51" s="198"/>
      <c r="AB51" s="198"/>
      <c r="AC51" s="198"/>
      <c r="AD51" s="198"/>
      <c r="AE51" s="198"/>
      <c r="AF51" s="198"/>
      <c r="AG51" s="198"/>
      <c r="AH51" s="198"/>
      <c r="AI51" s="198"/>
      <c r="AJ51" s="198"/>
      <c r="AK51" s="198"/>
      <c r="AL51" s="198"/>
      <c r="AM51" s="198"/>
      <c r="AN51" s="198"/>
      <c r="AO51" s="198"/>
    </row>
    <row r="52" spans="4:41" x14ac:dyDescent="0.25">
      <c r="D52"/>
      <c r="E52" s="52"/>
      <c r="F52" s="73" t="s">
        <v>1110</v>
      </c>
      <c r="J52" s="198"/>
      <c r="K52" s="198"/>
      <c r="L52" s="198"/>
      <c r="M52" s="198"/>
      <c r="N52" s="198"/>
      <c r="O52" s="198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8"/>
      <c r="AH52" s="198"/>
      <c r="AI52" s="198"/>
      <c r="AJ52" s="198"/>
      <c r="AK52" s="198"/>
      <c r="AL52" s="198"/>
      <c r="AM52" s="198"/>
      <c r="AN52" s="198"/>
      <c r="AO52" s="198"/>
    </row>
    <row r="53" spans="4:41" x14ac:dyDescent="0.25">
      <c r="D53" s="76"/>
      <c r="F53" s="80" t="s">
        <v>134</v>
      </c>
      <c r="G53" s="80" t="s">
        <v>120</v>
      </c>
      <c r="H53" s="402">
        <v>0</v>
      </c>
      <c r="I53" s="80"/>
      <c r="J53" s="238">
        <f>INDEX('Volume adjustments'!$J$481:$Y$521, J$36 + 1 + $H53*$H$59, J$37)</f>
        <v>715414.14424724563</v>
      </c>
      <c r="K53" s="238">
        <f>INDEX('Volume adjustments'!$J$481:$Y$521, K$36 + 1 + $H53*$H$59, K$37)</f>
        <v>653.19854705140472</v>
      </c>
      <c r="L53" s="238">
        <f>INDEX('Volume adjustments'!$J$481:$Y$521, L$36 + 1 + $H53*$H$59, L$37)</f>
        <v>17.458206837827863</v>
      </c>
      <c r="M53" s="238">
        <f>INDEX('Volume adjustments'!$J$481:$Y$521, M$36 + 1 + $H53*$H$59, M$37)</f>
        <v>16830.933999091732</v>
      </c>
      <c r="N53" s="238">
        <f>INDEX('Volume adjustments'!$J$481:$Y$521, N$36 + 1 + $H53*$H$59, N$37)</f>
        <v>30337.857984181341</v>
      </c>
      <c r="O53" s="238">
        <f>INDEX('Volume adjustments'!$J$481:$Y$521, O$36 + 1 + $H53*$H$59, O$37)</f>
        <v>37746.513855855017</v>
      </c>
      <c r="P53" s="238">
        <f>INDEX('Volume adjustments'!$J$481:$Y$521, P$36 + 1 + $H53*$H$59, P$37)</f>
        <v>113715.25745369098</v>
      </c>
      <c r="Q53" s="238">
        <f>INDEX('Volume adjustments'!$J$481:$Y$521, Q$36 + 1 + $H53*$H$59, Q$37)</f>
        <v>596.52194686342921</v>
      </c>
      <c r="R53" s="238">
        <f>INDEX('Volume adjustments'!$J$481:$Y$521, R$36 + 1 + $H53*$H$59, R$37)</f>
        <v>12.367051703011343</v>
      </c>
      <c r="S53" s="238">
        <f>INDEX('Volume adjustments'!$J$481:$Y$521, S$36 + 1 + $H53*$H$59, S$37)</f>
        <v>46169.335329102898</v>
      </c>
      <c r="T53" s="238">
        <f>INDEX('Volume adjustments'!$J$481:$Y$521, T$36 + 1 + $H53*$H$59, T$37)</f>
        <v>66833.204284466337</v>
      </c>
      <c r="U53" s="238">
        <f>INDEX('Volume adjustments'!$J$481:$Y$521, U$36 + 1 + $H53*$H$59, U$37)</f>
        <v>38441.000052264499</v>
      </c>
      <c r="V53" s="238">
        <f>INDEX('Volume adjustments'!$J$481:$Y$521, V$36 + 1 + $H53*$H$59, V$37)</f>
        <v>95232.67112123828</v>
      </c>
      <c r="W53" s="238">
        <f>INDEX('Volume adjustments'!$J$481:$Y$521, W$36 + 1 + $H53*$H$59, W$37)</f>
        <v>0.10809059005544162</v>
      </c>
      <c r="X53" s="238">
        <f>INDEX('Volume adjustments'!$J$481:$Y$521, X$36 + 1 + $H53*$H$59, X$37)</f>
        <v>138.40406993184831</v>
      </c>
      <c r="Y53" s="238">
        <f>INDEX('Volume adjustments'!$J$481:$Y$521, Y$36 + 1 + $H53*$H$59, Y$37)</f>
        <v>655.20281343986665</v>
      </c>
      <c r="Z53" s="238">
        <f>INDEX('Volume adjustments'!$J$481:$Y$521, Z$36 + 1 + $H53*$H$59, Z$37)</f>
        <v>2110.6383406168134</v>
      </c>
      <c r="AA53" s="238">
        <f>INDEX('Volume adjustments'!$J$481:$Y$521, AA$36 + 1 + $H53*$H$59, AA$37)</f>
        <v>23795.077796595204</v>
      </c>
      <c r="AB53" s="238">
        <f>INDEX('Volume adjustments'!$J$481:$Y$521, AB$36 + 1 + $H53*$H$59, AB$37)</f>
        <v>303.00288221653483</v>
      </c>
      <c r="AC53" s="238">
        <f>INDEX('Volume adjustments'!$J$481:$Y$521, AC$36 + 1 + $H53*$H$59, AC$37)</f>
        <v>17133.920595490683</v>
      </c>
      <c r="AD53" s="238">
        <f>INDEX('Volume adjustments'!$J$481:$Y$521, AD$36 + 1 + $H53*$H$59, AD$37)</f>
        <v>58349.346287214612</v>
      </c>
      <c r="AE53" s="238">
        <f>INDEX('Volume adjustments'!$J$481:$Y$521, AE$36 + 1 + $H53*$H$59, AE$37)</f>
        <v>53442.468628816052</v>
      </c>
      <c r="AF53" s="238">
        <f>INDEX('Volume adjustments'!$J$481:$Y$521, AF$36 + 1 + $H53*$H$59, AF$37)</f>
        <v>166683.18248264582</v>
      </c>
      <c r="AG53" s="238">
        <f>INDEX('Volume adjustments'!$J$481:$Y$521, AG$36 + 1 + $H53*$H$59, AG$37)</f>
        <v>11206.576663337462</v>
      </c>
      <c r="AH53" s="238">
        <f>INDEX('Volume adjustments'!$J$481:$Y$521, AH$36 + 1 + $H53*$H$59, AH$37)</f>
        <v>1639.8703771358053</v>
      </c>
      <c r="AI53" s="238">
        <f>INDEX('Volume adjustments'!$J$481:$Y$521, AI$36 + 1 + $H53*$H$59, AI$37)</f>
        <v>19.515999999999998</v>
      </c>
      <c r="AJ53" s="238">
        <f>INDEX('Volume adjustments'!$J$481:$Y$521, AJ$36 + 1 + $H53*$H$59, AJ$37)</f>
        <v>5840.0349999999999</v>
      </c>
      <c r="AK53" s="238">
        <f>INDEX('Volume adjustments'!$J$481:$Y$521, AK$36 + 1 + $H53*$H$59, AK$37)</f>
        <v>0</v>
      </c>
      <c r="AL53" s="238">
        <f>INDEX('Volume adjustments'!$J$481:$Y$521, AL$36 + 1 + $H53*$H$59, AL$37)</f>
        <v>62.863</v>
      </c>
      <c r="AM53" s="238">
        <f>INDEX('Volume adjustments'!$J$481:$Y$521, AM$36 + 1 + $H53*$H$59, AM$37)</f>
        <v>0</v>
      </c>
      <c r="AN53" s="238">
        <f>INDEX('Volume adjustments'!$J$481:$Y$521, AN$36 + 1 + $H53*$H$59, AN$37)</f>
        <v>118436.88399999999</v>
      </c>
      <c r="AO53" s="238">
        <f>INDEX('Volume adjustments'!$J$481:$Y$521, AO$36 + 1 + $H53*$H$59, AO$37)</f>
        <v>0</v>
      </c>
    </row>
    <row r="54" spans="4:41" x14ac:dyDescent="0.25">
      <c r="D54" s="76"/>
      <c r="F54" t="s">
        <v>135</v>
      </c>
      <c r="G54" t="s">
        <v>120</v>
      </c>
      <c r="H54" s="435">
        <v>1</v>
      </c>
      <c r="J54" s="433">
        <f>INDEX('Volume adjustments'!$J$481:$Y$521, J$36 + 1 + $H54*$H$59, J$37)</f>
        <v>2461960.7706021941</v>
      </c>
      <c r="K54" s="433">
        <f>INDEX('Volume adjustments'!$J$481:$Y$521, K$36 + 1 + $H54*$H$59, K$37)</f>
        <v>17781.49408813944</v>
      </c>
      <c r="L54" s="433">
        <f>INDEX('Volume adjustments'!$J$481:$Y$521, L$36 + 1 + $H54*$H$59, L$37)</f>
        <v>89.773682852368651</v>
      </c>
      <c r="M54" s="433">
        <f>INDEX('Volume adjustments'!$J$481:$Y$521, M$36 + 1 + $H54*$H$59, M$37)</f>
        <v>86556.315062413807</v>
      </c>
      <c r="N54" s="433">
        <f>INDEX('Volume adjustments'!$J$481:$Y$521, N$36 + 1 + $H54*$H$59, N$37)</f>
        <v>156015.40824177497</v>
      </c>
      <c r="O54" s="433">
        <f>INDEX('Volume adjustments'!$J$481:$Y$521, O$36 + 1 + $H54*$H$59, O$37)</f>
        <v>194114.46316481108</v>
      </c>
      <c r="P54" s="433">
        <f>INDEX('Volume adjustments'!$J$481:$Y$521, P$36 + 1 + $H54*$H$59, P$37)</f>
        <v>584775.52501283109</v>
      </c>
      <c r="Q54" s="433">
        <f>INDEX('Volume adjustments'!$J$481:$Y$521, Q$36 + 1 + $H54*$H$59, Q$37)</f>
        <v>8872.4799352594691</v>
      </c>
      <c r="R54" s="433">
        <f>INDEX('Volume adjustments'!$J$481:$Y$521, R$36 + 1 + $H54*$H$59, R$37)</f>
        <v>59.332965344726659</v>
      </c>
      <c r="S54" s="433">
        <f>INDEX('Volume adjustments'!$J$481:$Y$521, S$36 + 1 + $H54*$H$59, S$37)</f>
        <v>221364.34504091096</v>
      </c>
      <c r="T54" s="433">
        <f>INDEX('Volume adjustments'!$J$481:$Y$521, T$36 + 1 + $H54*$H$59, T$37)</f>
        <v>320210.95263347327</v>
      </c>
      <c r="U54" s="433">
        <f>INDEX('Volume adjustments'!$J$481:$Y$521, U$36 + 1 + $H54*$H$59, U$37)</f>
        <v>183876.33823199061</v>
      </c>
      <c r="V54" s="433">
        <f>INDEX('Volume adjustments'!$J$481:$Y$521, V$36 + 1 + $H54*$H$59, V$37)</f>
        <v>455304.91773659328</v>
      </c>
      <c r="W54" s="433">
        <f>INDEX('Volume adjustments'!$J$481:$Y$521, W$36 + 1 + $H54*$H$59, W$37)</f>
        <v>0.50378073179162042</v>
      </c>
      <c r="X54" s="433">
        <f>INDEX('Volume adjustments'!$J$481:$Y$521, X$36 + 1 + $H54*$H$59, X$37)</f>
        <v>645.06358599246971</v>
      </c>
      <c r="Y54" s="433">
        <f>INDEX('Volume adjustments'!$J$481:$Y$521, Y$36 + 1 + $H54*$H$59, Y$37)</f>
        <v>3050.4858950843641</v>
      </c>
      <c r="Z54" s="433">
        <f>INDEX('Volume adjustments'!$J$481:$Y$521, Z$36 + 1 + $H54*$H$59, Z$37)</f>
        <v>9834.8828110708655</v>
      </c>
      <c r="AA54" s="433">
        <f>INDEX('Volume adjustments'!$J$481:$Y$521, AA$36 + 1 + $H54*$H$59, AA$37)</f>
        <v>110697.10705135003</v>
      </c>
      <c r="AB54" s="433">
        <f>INDEX('Volume adjustments'!$J$481:$Y$521, AB$36 + 1 + $H54*$H$59, AB$37)</f>
        <v>1405.3229265301227</v>
      </c>
      <c r="AC54" s="433">
        <f>INDEX('Volume adjustments'!$J$481:$Y$521, AC$36 + 1 + $H54*$H$59, AC$37)</f>
        <v>79401.494073673166</v>
      </c>
      <c r="AD54" s="433">
        <f>INDEX('Volume adjustments'!$J$481:$Y$521, AD$36 + 1 + $H54*$H$59, AD$37)</f>
        <v>270535.34371686453</v>
      </c>
      <c r="AE54" s="433">
        <f>INDEX('Volume adjustments'!$J$481:$Y$521, AE$36 + 1 + $H54*$H$59, AE$37)</f>
        <v>247593.67089200363</v>
      </c>
      <c r="AF54" s="433">
        <f>INDEX('Volume adjustments'!$J$481:$Y$521, AF$36 + 1 + $H54*$H$59, AF$37)</f>
        <v>772621.29842243204</v>
      </c>
      <c r="AG54" s="433">
        <f>INDEX('Volume adjustments'!$J$481:$Y$521, AG$36 + 1 + $H54*$H$59, AG$37)</f>
        <v>64706.530073099166</v>
      </c>
      <c r="AH54" s="433">
        <f>INDEX('Volume adjustments'!$J$481:$Y$521, AH$36 + 1 + $H54*$H$59, AH$37)</f>
        <v>8641.960699846697</v>
      </c>
      <c r="AI54" s="433">
        <f>INDEX('Volume adjustments'!$J$481:$Y$521, AI$36 + 1 + $H54*$H$59, AI$37)</f>
        <v>77.882999999999996</v>
      </c>
      <c r="AJ54" s="433">
        <f>INDEX('Volume adjustments'!$J$481:$Y$521, AJ$36 + 1 + $H54*$H$59, AJ$37)</f>
        <v>26458.666000000001</v>
      </c>
      <c r="AK54" s="433">
        <f>INDEX('Volume adjustments'!$J$481:$Y$521, AK$36 + 1 + $H54*$H$59, AK$37)</f>
        <v>0</v>
      </c>
      <c r="AL54" s="433">
        <f>INDEX('Volume adjustments'!$J$481:$Y$521, AL$36 + 1 + $H54*$H$59, AL$37)</f>
        <v>312.48</v>
      </c>
      <c r="AM54" s="433">
        <f>INDEX('Volume adjustments'!$J$481:$Y$521, AM$36 + 1 + $H54*$H$59, AM$37)</f>
        <v>0</v>
      </c>
      <c r="AN54" s="433">
        <f>INDEX('Volume adjustments'!$J$481:$Y$521, AN$36 + 1 + $H54*$H$59, AN$37)</f>
        <v>429284.261</v>
      </c>
      <c r="AO54" s="433">
        <f>INDEX('Volume adjustments'!$J$481:$Y$521, AO$36 + 1 + $H54*$H$59, AO$37)</f>
        <v>0</v>
      </c>
    </row>
    <row r="55" spans="4:41" x14ac:dyDescent="0.25">
      <c r="D55" s="76"/>
      <c r="F55" t="s">
        <v>136</v>
      </c>
      <c r="G55" t="s">
        <v>120</v>
      </c>
      <c r="H55" s="435">
        <v>2</v>
      </c>
      <c r="J55" s="433">
        <f>INDEX('Volume adjustments'!$J$481:$Y$521, J$36 + 1 + $H55*$H$59, J$37)</f>
        <v>2333226.662709387</v>
      </c>
      <c r="K55" s="433">
        <f>INDEX('Volume adjustments'!$J$481:$Y$521, K$36 + 1 + $H55*$H$59, K$37)</f>
        <v>171787.63043176121</v>
      </c>
      <c r="L55" s="433">
        <f>INDEX('Volume adjustments'!$J$481:$Y$521, L$36 + 1 + $H55*$H$59, L$37)</f>
        <v>72.20746328181572</v>
      </c>
      <c r="M55" s="433">
        <f>INDEX('Volume adjustments'!$J$481:$Y$521, M$36 + 1 + $H55*$H$59, M$37)</f>
        <v>69583.805651119197</v>
      </c>
      <c r="N55" s="433">
        <f>INDEX('Volume adjustments'!$J$481:$Y$521, N$36 + 1 + $H55*$H$59, N$37)</f>
        <v>125437.16145212483</v>
      </c>
      <c r="O55" s="433">
        <f>INDEX('Volume adjustments'!$J$481:$Y$521, O$36 + 1 + $H55*$H$59, O$37)</f>
        <v>156080.74063455418</v>
      </c>
      <c r="P55" s="433">
        <f>INDEX('Volume adjustments'!$J$481:$Y$521, P$36 + 1 + $H55*$H$59, P$37)</f>
        <v>470253.32774256839</v>
      </c>
      <c r="Q55" s="433">
        <f>INDEX('Volume adjustments'!$J$481:$Y$521, Q$36 + 1 + $H55*$H$59, Q$37)</f>
        <v>35850.647959933427</v>
      </c>
      <c r="R55" s="433">
        <f>INDEX('Volume adjustments'!$J$481:$Y$521, R$36 + 1 + $H55*$H$59, R$37)</f>
        <v>52.629377636737694</v>
      </c>
      <c r="S55" s="433">
        <f>INDEX('Volume adjustments'!$J$481:$Y$521, S$36 + 1 + $H55*$H$59, S$37)</f>
        <v>196386.70199102216</v>
      </c>
      <c r="T55" s="433">
        <f>INDEX('Volume adjustments'!$J$481:$Y$521, T$36 + 1 + $H55*$H$59, T$37)</f>
        <v>284137.23231146194</v>
      </c>
      <c r="U55" s="433">
        <f>INDEX('Volume adjustments'!$J$481:$Y$521, U$36 + 1 + $H55*$H$59, U$37)</f>
        <v>163225.47741360229</v>
      </c>
      <c r="V55" s="433">
        <f>INDEX('Volume adjustments'!$J$481:$Y$521, V$36 + 1 + $H55*$H$59, V$37)</f>
        <v>404284.74226230447</v>
      </c>
      <c r="W55" s="433">
        <f>INDEX('Volume adjustments'!$J$481:$Y$521, W$36 + 1 + $H55*$H$59, W$37)</f>
        <v>0.51812867815293817</v>
      </c>
      <c r="X55" s="433">
        <f>INDEX('Volume adjustments'!$J$481:$Y$521, X$36 + 1 + $H55*$H$59, X$37)</f>
        <v>663.435344075682</v>
      </c>
      <c r="Y55" s="433">
        <f>INDEX('Volume adjustments'!$J$481:$Y$521, Y$36 + 1 + $H55*$H$59, Y$37)</f>
        <v>3120.745255533991</v>
      </c>
      <c r="Z55" s="433">
        <f>INDEX('Volume adjustments'!$J$481:$Y$521, Z$36 + 1 + $H55*$H$59, Z$37)</f>
        <v>10103.549704315687</v>
      </c>
      <c r="AA55" s="433">
        <f>INDEX('Volume adjustments'!$J$481:$Y$521, AA$36 + 1 + $H55*$H$59, AA$37)</f>
        <v>112795.48457842709</v>
      </c>
      <c r="AB55" s="433">
        <f>INDEX('Volume adjustments'!$J$481:$Y$521, AB$36 + 1 + $H55*$H$59, AB$37)</f>
        <v>1546.3846427787762</v>
      </c>
      <c r="AC55" s="433">
        <f>INDEX('Volume adjustments'!$J$481:$Y$521, AC$36 + 1 + $H55*$H$59, AC$37)</f>
        <v>87469.520480843115</v>
      </c>
      <c r="AD55" s="433">
        <f>INDEX('Volume adjustments'!$J$481:$Y$521, AD$36 + 1 + $H55*$H$59, AD$37)</f>
        <v>297822.76043848717</v>
      </c>
      <c r="AE55" s="433">
        <f>INDEX('Volume adjustments'!$J$481:$Y$521, AE$36 + 1 + $H55*$H$59, AE$37)</f>
        <v>272853.45614356297</v>
      </c>
      <c r="AF55" s="433">
        <f>INDEX('Volume adjustments'!$J$481:$Y$521, AF$36 + 1 + $H55*$H$59, AF$37)</f>
        <v>850853.06726722093</v>
      </c>
      <c r="AG55" s="433">
        <f>INDEX('Volume adjustments'!$J$481:$Y$521, AG$36 + 1 + $H55*$H$59, AG$37)</f>
        <v>148914.11944191009</v>
      </c>
      <c r="AH55" s="433">
        <f>INDEX('Volume adjustments'!$J$481:$Y$521, AH$36 + 1 + $H55*$H$59, AH$37)</f>
        <v>3872.32969751788</v>
      </c>
      <c r="AI55" s="433">
        <f>INDEX('Volume adjustments'!$J$481:$Y$521, AI$36 + 1 + $H55*$H$59, AI$37)</f>
        <v>58.205000000000005</v>
      </c>
      <c r="AJ55" s="433">
        <f>INDEX('Volume adjustments'!$J$481:$Y$521, AJ$36 + 1 + $H55*$H$59, AJ$37)</f>
        <v>29713.727000000003</v>
      </c>
      <c r="AK55" s="433">
        <f>INDEX('Volume adjustments'!$J$481:$Y$521, AK$36 + 1 + $H55*$H$59, AK$37)</f>
        <v>0</v>
      </c>
      <c r="AL55" s="433">
        <f>INDEX('Volume adjustments'!$J$481:$Y$521, AL$36 + 1 + $H55*$H$59, AL$37)</f>
        <v>275.35399999999998</v>
      </c>
      <c r="AM55" s="433">
        <f>INDEX('Volume adjustments'!$J$481:$Y$521, AM$36 + 1 + $H55*$H$59, AM$37)</f>
        <v>0</v>
      </c>
      <c r="AN55" s="433">
        <f>INDEX('Volume adjustments'!$J$481:$Y$521, AN$36 + 1 + $H55*$H$59, AN$37)</f>
        <v>489264.26399999997</v>
      </c>
      <c r="AO55" s="433">
        <f>INDEX('Volume adjustments'!$J$481:$Y$521, AO$36 + 1 + $H55*$H$59, AO$37)</f>
        <v>0</v>
      </c>
    </row>
    <row r="56" spans="4:41" x14ac:dyDescent="0.25">
      <c r="D56" s="76"/>
      <c r="F56" t="s">
        <v>74</v>
      </c>
      <c r="G56" t="s">
        <v>74</v>
      </c>
      <c r="H56" s="435">
        <v>3</v>
      </c>
      <c r="J56" s="433">
        <f>INDEX('Volume adjustments'!$J$481:$Y$521, J$36 + 1 + $H56*$H$59, J$37)</f>
        <v>1924111.5351780879</v>
      </c>
      <c r="K56" s="433">
        <f>INDEX('Volume adjustments'!$J$481:$Y$521, K$36 + 1 + $H56*$H$59, K$37)</f>
        <v>93043.729371061141</v>
      </c>
      <c r="L56" s="433">
        <f>INDEX('Volume adjustments'!$J$481:$Y$521, L$36 + 1 + $H56*$H$59, L$37)</f>
        <v>60</v>
      </c>
      <c r="M56" s="433">
        <f>INDEX('Volume adjustments'!$J$481:$Y$521, M$36 + 1 + $H56*$H$59, M$37)</f>
        <v>47213.103232814901</v>
      </c>
      <c r="N56" s="433">
        <f>INDEX('Volume adjustments'!$J$481:$Y$521, N$36 + 1 + $H56*$H$59, N$37)</f>
        <v>37038.605893096035</v>
      </c>
      <c r="O56" s="433">
        <f>INDEX('Volume adjustments'!$J$481:$Y$521, O$36 + 1 + $H56*$H$59, O$37)</f>
        <v>21339.552223993102</v>
      </c>
      <c r="P56" s="433">
        <f>INDEX('Volume adjustments'!$J$481:$Y$521, P$36 + 1 + $H56*$H$59, P$37)</f>
        <v>21869.841808601694</v>
      </c>
      <c r="Q56" s="433">
        <f>INDEX('Volume adjustments'!$J$481:$Y$521, Q$36 + 1 + $H56*$H$59, Q$37)</f>
        <v>5473</v>
      </c>
      <c r="R56" s="433">
        <f>INDEX('Volume adjustments'!$J$481:$Y$521, R$36 + 1 + $H56*$H$59, R$37)</f>
        <v>21</v>
      </c>
      <c r="S56" s="433">
        <f>INDEX('Volume adjustments'!$J$481:$Y$521, S$36 + 1 + $H56*$H$59, S$37)</f>
        <v>4576.790000581711</v>
      </c>
      <c r="T56" s="433">
        <f>INDEX('Volume adjustments'!$J$481:$Y$521, T$36 + 1 + $H56*$H$59, T$37)</f>
        <v>3798.2082072567027</v>
      </c>
      <c r="U56" s="433">
        <f>INDEX('Volume adjustments'!$J$481:$Y$521, U$36 + 1 + $H56*$H$59, U$37)</f>
        <v>1321.6755763829976</v>
      </c>
      <c r="V56" s="433">
        <f>INDEX('Volume adjustments'!$J$481:$Y$521, V$36 + 1 + $H56*$H$59, V$37)</f>
        <v>1622.0803482151771</v>
      </c>
      <c r="W56" s="433">
        <f>INDEX('Volume adjustments'!$J$481:$Y$521, W$36 + 1 + $H56*$H$59, W$37)</f>
        <v>1</v>
      </c>
      <c r="X56" s="433">
        <f>INDEX('Volume adjustments'!$J$481:$Y$521, X$36 + 1 + $H56*$H$59, X$37)</f>
        <v>10</v>
      </c>
      <c r="Y56" s="433">
        <f>INDEX('Volume adjustments'!$J$481:$Y$521, Y$36 + 1 + $H56*$H$59, Y$37)</f>
        <v>25.988881765217645</v>
      </c>
      <c r="Z56" s="433">
        <f>INDEX('Volume adjustments'!$J$481:$Y$521, Z$36 + 1 + $H56*$H$59, Z$37)</f>
        <v>41.66296058840588</v>
      </c>
      <c r="AA56" s="433">
        <f>INDEX('Volume adjustments'!$J$481:$Y$521, AA$36 + 1 + $H56*$H$59, AA$37)</f>
        <v>224.54066000579996</v>
      </c>
      <c r="AB56" s="433">
        <f>INDEX('Volume adjustments'!$J$481:$Y$521, AB$36 + 1 + $H56*$H$59, AB$37)</f>
        <v>133</v>
      </c>
      <c r="AC56" s="433">
        <f>INDEX('Volume adjustments'!$J$481:$Y$521, AC$36 + 1 + $H56*$H$59, AC$37)</f>
        <v>362.84574284209867</v>
      </c>
      <c r="AD56" s="433">
        <f>INDEX('Volume adjustments'!$J$481:$Y$521, AD$36 + 1 + $H56*$H$59, AD$37)</f>
        <v>407.56382856139908</v>
      </c>
      <c r="AE56" s="433">
        <f>INDEX('Volume adjustments'!$J$481:$Y$521, AE$36 + 1 + $H56*$H$59, AE$37)</f>
        <v>183.08510474853213</v>
      </c>
      <c r="AF56" s="433">
        <f>INDEX('Volume adjustments'!$J$481:$Y$521, AF$36 + 1 + $H56*$H$59, AF$37)</f>
        <v>215.32446665496562</v>
      </c>
      <c r="AG56" s="433">
        <f>INDEX('Volume adjustments'!$J$481:$Y$521, AG$36 + 1 + $H56*$H$59, AG$37)</f>
        <v>4874.0599354170627</v>
      </c>
      <c r="AH56" s="433">
        <f>INDEX('Volume adjustments'!$J$481:$Y$521, AH$36 + 1 + $H56*$H$59, AH$37)</f>
        <v>1153</v>
      </c>
      <c r="AI56" s="433">
        <f>INDEX('Volume adjustments'!$J$481:$Y$521, AI$36 + 1 + $H56*$H$59, AI$37)</f>
        <v>4</v>
      </c>
      <c r="AJ56" s="433">
        <f>INDEX('Volume adjustments'!$J$481:$Y$521, AJ$36 + 1 + $H56*$H$59, AJ$37)</f>
        <v>496</v>
      </c>
      <c r="AK56" s="433">
        <f>INDEX('Volume adjustments'!$J$481:$Y$521, AK$36 + 1 + $H56*$H$59, AK$37)</f>
        <v>0</v>
      </c>
      <c r="AL56" s="433">
        <f>INDEX('Volume adjustments'!$J$481:$Y$521, AL$36 + 1 + $H56*$H$59, AL$37)</f>
        <v>9</v>
      </c>
      <c r="AM56" s="433">
        <f>INDEX('Volume adjustments'!$J$481:$Y$521, AM$36 + 1 + $H56*$H$59, AM$37)</f>
        <v>0</v>
      </c>
      <c r="AN56" s="433">
        <f>INDEX('Volume adjustments'!$J$481:$Y$521, AN$36 + 1 + $H56*$H$59, AN$37)</f>
        <v>261</v>
      </c>
      <c r="AO56" s="433">
        <f>INDEX('Volume adjustments'!$J$481:$Y$521, AO$36 + 1 + $H56*$H$59, AO$37)</f>
        <v>0</v>
      </c>
    </row>
    <row r="57" spans="4:41" x14ac:dyDescent="0.25">
      <c r="D57" s="76"/>
      <c r="F57" t="s">
        <v>273</v>
      </c>
      <c r="G57" t="s">
        <v>169</v>
      </c>
      <c r="H57" s="435">
        <v>4</v>
      </c>
      <c r="J57" s="433">
        <f>INDEX('Volume adjustments'!$J$481:$Y$521, J$36 + 1 + $H57*$H$59, J$37)</f>
        <v>0</v>
      </c>
      <c r="K57" s="433">
        <f>INDEX('Volume adjustments'!$J$481:$Y$521, K$36 + 1 + $H57*$H$59, K$37)</f>
        <v>0</v>
      </c>
      <c r="L57" s="433">
        <f>INDEX('Volume adjustments'!$J$481:$Y$521, L$36 + 1 + $H57*$H$59, L$37)</f>
        <v>0</v>
      </c>
      <c r="M57" s="433">
        <f>INDEX('Volume adjustments'!$J$481:$Y$521, M$36 + 1 + $H57*$H$59, M$37)</f>
        <v>0</v>
      </c>
      <c r="N57" s="433">
        <f>INDEX('Volume adjustments'!$J$481:$Y$521, N$36 + 1 + $H57*$H$59, N$37)</f>
        <v>0</v>
      </c>
      <c r="O57" s="433">
        <f>INDEX('Volume adjustments'!$J$481:$Y$521, O$36 + 1 + $H57*$H$59, O$37)</f>
        <v>0</v>
      </c>
      <c r="P57" s="433">
        <f>INDEX('Volume adjustments'!$J$481:$Y$521, P$36 + 1 + $H57*$H$59, P$37)</f>
        <v>0</v>
      </c>
      <c r="Q57" s="433">
        <f>INDEX('Volume adjustments'!$J$481:$Y$521, Q$36 + 1 + $H57*$H$59, Q$37)</f>
        <v>0</v>
      </c>
      <c r="R57" s="433">
        <f>INDEX('Volume adjustments'!$J$481:$Y$521, R$36 + 1 + $H57*$H$59, R$37)</f>
        <v>952</v>
      </c>
      <c r="S57" s="433">
        <f>INDEX('Volume adjustments'!$J$481:$Y$521, S$36 + 1 + $H57*$H$59, S$37)</f>
        <v>256462.99429193456</v>
      </c>
      <c r="T57" s="433">
        <f>INDEX('Volume adjustments'!$J$481:$Y$521, T$36 + 1 + $H57*$H$59, T$37)</f>
        <v>428540.01799453655</v>
      </c>
      <c r="U57" s="433">
        <f>INDEX('Volume adjustments'!$J$481:$Y$521, U$36 + 1 + $H57*$H$59, U$37)</f>
        <v>248632.75791036771</v>
      </c>
      <c r="V57" s="433">
        <f>INDEX('Volume adjustments'!$J$481:$Y$521, V$36 + 1 + $H57*$H$59, V$37)</f>
        <v>638324.75957094086</v>
      </c>
      <c r="W57" s="433">
        <f>INDEX('Volume adjustments'!$J$481:$Y$521, W$36 + 1 + $H57*$H$59, W$37)</f>
        <v>8</v>
      </c>
      <c r="X57" s="433">
        <f>INDEX('Volume adjustments'!$J$481:$Y$521, X$36 + 1 + $H57*$H$59, X$37)</f>
        <v>456</v>
      </c>
      <c r="Y57" s="433">
        <f>INDEX('Volume adjustments'!$J$481:$Y$521, Y$36 + 1 + $H57*$H$59, Y$37)</f>
        <v>3267.7881124087235</v>
      </c>
      <c r="Z57" s="433">
        <f>INDEX('Volume adjustments'!$J$481:$Y$521, Z$36 + 1 + $H57*$H$59, Z$37)</f>
        <v>7890.1661323913231</v>
      </c>
      <c r="AA57" s="433">
        <f>INDEX('Volume adjustments'!$J$481:$Y$521, AA$36 + 1 + $H57*$H$59, AA$37)</f>
        <v>111392.45444589161</v>
      </c>
      <c r="AB57" s="433">
        <f>INDEX('Volume adjustments'!$J$481:$Y$521, AB$36 + 1 + $H57*$H$59, AB$37)</f>
        <v>7676</v>
      </c>
      <c r="AC57" s="433">
        <f>INDEX('Volume adjustments'!$J$481:$Y$521, AC$36 + 1 + $H57*$H$59, AC$37)</f>
        <v>73715.430290652963</v>
      </c>
      <c r="AD57" s="433">
        <f>INDEX('Volume adjustments'!$J$481:$Y$521, AD$36 + 1 + $H57*$H$59, AD$37)</f>
        <v>280516.55775572825</v>
      </c>
      <c r="AE57" s="433">
        <f>INDEX('Volume adjustments'!$J$481:$Y$521, AE$36 + 1 + $H57*$H$59, AE$37)</f>
        <v>248207.27426665829</v>
      </c>
      <c r="AF57" s="433">
        <f>INDEX('Volume adjustments'!$J$481:$Y$521, AF$36 + 1 + $H57*$H$59, AF$37)</f>
        <v>736991.1237777638</v>
      </c>
      <c r="AG57" s="433">
        <f>INDEX('Volume adjustments'!$J$481:$Y$521, AG$36 + 1 + $H57*$H$59, AG$37)</f>
        <v>0</v>
      </c>
      <c r="AH57" s="433">
        <f>INDEX('Volume adjustments'!$J$481:$Y$521, AH$36 + 1 + $H57*$H$59, AH$37)</f>
        <v>0</v>
      </c>
      <c r="AI57" s="433">
        <f>INDEX('Volume adjustments'!$J$481:$Y$521, AI$36 + 1 + $H57*$H$59, AI$37)</f>
        <v>0</v>
      </c>
      <c r="AJ57" s="433">
        <f>INDEX('Volume adjustments'!$J$481:$Y$521, AJ$36 + 1 + $H57*$H$59, AJ$37)</f>
        <v>0</v>
      </c>
      <c r="AK57" s="433">
        <f>INDEX('Volume adjustments'!$J$481:$Y$521, AK$36 + 1 + $H57*$H$59, AK$37)</f>
        <v>0</v>
      </c>
      <c r="AL57" s="433">
        <f>INDEX('Volume adjustments'!$J$481:$Y$521, AL$36 + 1 + $H57*$H$59, AL$37)</f>
        <v>0</v>
      </c>
      <c r="AM57" s="433">
        <f>INDEX('Volume adjustments'!$J$481:$Y$521, AM$36 + 1 + $H57*$H$59, AM$37)</f>
        <v>0</v>
      </c>
      <c r="AN57" s="433">
        <f>INDEX('Volume adjustments'!$J$481:$Y$521, AN$36 + 1 + $H57*$H$59, AN$37)</f>
        <v>0</v>
      </c>
      <c r="AO57" s="433">
        <f>INDEX('Volume adjustments'!$J$481:$Y$521, AO$36 + 1 + $H57*$H$59, AO$37)</f>
        <v>0</v>
      </c>
    </row>
    <row r="58" spans="4:41" x14ac:dyDescent="0.25">
      <c r="D58" s="76"/>
      <c r="F58" t="s">
        <v>203</v>
      </c>
      <c r="G58" t="s">
        <v>169</v>
      </c>
      <c r="H58" s="435">
        <v>5</v>
      </c>
      <c r="J58" s="433">
        <f>INDEX('Volume adjustments'!$J$481:$Y$521, J$36 + 1 + $H58*$H$59, J$37)</f>
        <v>0</v>
      </c>
      <c r="K58" s="433">
        <f>INDEX('Volume adjustments'!$J$481:$Y$521, K$36 + 1 + $H58*$H$59, K$37)</f>
        <v>0</v>
      </c>
      <c r="L58" s="433">
        <f>INDEX('Volume adjustments'!$J$481:$Y$521, L$36 + 1 + $H58*$H$59, L$37)</f>
        <v>0</v>
      </c>
      <c r="M58" s="433">
        <f>INDEX('Volume adjustments'!$J$481:$Y$521, M$36 + 1 + $H58*$H$59, M$37)</f>
        <v>0</v>
      </c>
      <c r="N58" s="433">
        <f>INDEX('Volume adjustments'!$J$481:$Y$521, N$36 + 1 + $H58*$H$59, N$37)</f>
        <v>0</v>
      </c>
      <c r="O58" s="433">
        <f>INDEX('Volume adjustments'!$J$481:$Y$521, O$36 + 1 + $H58*$H$59, O$37)</f>
        <v>0</v>
      </c>
      <c r="P58" s="433">
        <f>INDEX('Volume adjustments'!$J$481:$Y$521, P$36 + 1 + $H58*$H$59, P$37)</f>
        <v>0</v>
      </c>
      <c r="Q58" s="433">
        <f>INDEX('Volume adjustments'!$J$481:$Y$521, Q$36 + 1 + $H58*$H$59, Q$37)</f>
        <v>0</v>
      </c>
      <c r="R58" s="433">
        <f>INDEX('Volume adjustments'!$J$481:$Y$521, R$36 + 1 + $H58*$H$59, R$37)</f>
        <v>42</v>
      </c>
      <c r="S58" s="433">
        <f>INDEX('Volume adjustments'!$J$481:$Y$521, S$36 + 1 + $H58*$H$59, S$37)</f>
        <v>12248.684823299011</v>
      </c>
      <c r="T58" s="433">
        <f>INDEX('Volume adjustments'!$J$481:$Y$521, T$36 + 1 + $H58*$H$59, T$37)</f>
        <v>6992.4522123902125</v>
      </c>
      <c r="U58" s="433">
        <f>INDEX('Volume adjustments'!$J$481:$Y$521, U$36 + 1 + $H58*$H$59, U$37)</f>
        <v>1366.7477946248528</v>
      </c>
      <c r="V58" s="433">
        <f>INDEX('Volume adjustments'!$J$481:$Y$521, V$36 + 1 + $H58*$H$59, V$37)</f>
        <v>1667.3456872459681</v>
      </c>
      <c r="W58" s="433">
        <f>INDEX('Volume adjustments'!$J$481:$Y$521, W$36 + 1 + $H58*$H$59, W$37)</f>
        <v>5</v>
      </c>
      <c r="X58" s="433">
        <f>INDEX('Volume adjustments'!$J$481:$Y$521, X$36 + 1 + $H58*$H$59, X$37)</f>
        <v>302</v>
      </c>
      <c r="Y58" s="433">
        <f>INDEX('Volume adjustments'!$J$481:$Y$521, Y$36 + 1 + $H58*$H$59, Y$37)</f>
        <v>189</v>
      </c>
      <c r="Z58" s="433">
        <f>INDEX('Volume adjustments'!$J$481:$Y$521, Z$36 + 1 + $H58*$H$59, Z$37)</f>
        <v>144</v>
      </c>
      <c r="AA58" s="433">
        <f>INDEX('Volume adjustments'!$J$481:$Y$521, AA$36 + 1 + $H58*$H$59, AA$37)</f>
        <v>322.97776353043531</v>
      </c>
      <c r="AB58" s="433">
        <f>INDEX('Volume adjustments'!$J$481:$Y$521, AB$36 + 1 + $H58*$H$59, AB$37)</f>
        <v>744</v>
      </c>
      <c r="AC58" s="433">
        <f>INDEX('Volume adjustments'!$J$481:$Y$521, AC$36 + 1 + $H58*$H$59, AC$37)</f>
        <v>5855.1276571227982</v>
      </c>
      <c r="AD58" s="433">
        <f>INDEX('Volume adjustments'!$J$481:$Y$521, AD$36 + 1 + $H58*$H$59, AD$37)</f>
        <v>2085.9308475906309</v>
      </c>
      <c r="AE58" s="433">
        <f>INDEX('Volume adjustments'!$J$481:$Y$521, AE$36 + 1 + $H58*$H$59, AE$37)</f>
        <v>1726.7925427718924</v>
      </c>
      <c r="AF58" s="433">
        <f>INDEX('Volume adjustments'!$J$481:$Y$521, AF$36 + 1 + $H58*$H$59, AF$37)</f>
        <v>3978.6542379531538</v>
      </c>
      <c r="AG58" s="433">
        <f>INDEX('Volume adjustments'!$J$481:$Y$521, AG$36 + 1 + $H58*$H$59, AG$37)</f>
        <v>0</v>
      </c>
      <c r="AH58" s="433">
        <f>INDEX('Volume adjustments'!$J$481:$Y$521, AH$36 + 1 + $H58*$H$59, AH$37)</f>
        <v>0</v>
      </c>
      <c r="AI58" s="433">
        <f>INDEX('Volume adjustments'!$J$481:$Y$521, AI$36 + 1 + $H58*$H$59, AI$37)</f>
        <v>0</v>
      </c>
      <c r="AJ58" s="433">
        <f>INDEX('Volume adjustments'!$J$481:$Y$521, AJ$36 + 1 + $H58*$H$59, AJ$37)</f>
        <v>0</v>
      </c>
      <c r="AK58" s="433">
        <f>INDEX('Volume adjustments'!$J$481:$Y$521, AK$36 + 1 + $H58*$H$59, AK$37)</f>
        <v>0</v>
      </c>
      <c r="AL58" s="433">
        <f>INDEX('Volume adjustments'!$J$481:$Y$521, AL$36 + 1 + $H58*$H$59, AL$37)</f>
        <v>0</v>
      </c>
      <c r="AM58" s="433">
        <f>INDEX('Volume adjustments'!$J$481:$Y$521, AM$36 + 1 + $H58*$H$59, AM$37)</f>
        <v>0</v>
      </c>
      <c r="AN58" s="433">
        <f>INDEX('Volume adjustments'!$J$481:$Y$521, AN$36 + 1 + $H58*$H$59, AN$37)</f>
        <v>0</v>
      </c>
      <c r="AO58" s="433">
        <f>INDEX('Volume adjustments'!$J$481:$Y$521, AO$36 + 1 + $H58*$H$59, AO$37)</f>
        <v>0</v>
      </c>
    </row>
    <row r="59" spans="4:41" x14ac:dyDescent="0.25">
      <c r="D59" s="76"/>
      <c r="F59" s="17" t="s">
        <v>77</v>
      </c>
      <c r="G59" s="13" t="s">
        <v>170</v>
      </c>
      <c r="H59" s="403">
        <v>6</v>
      </c>
      <c r="I59" s="17"/>
      <c r="J59" s="239">
        <f>INDEX('Volume adjustments'!$J$481:$Y$521, J$36 + 1 + $H59*$H$59, J$37)</f>
        <v>0</v>
      </c>
      <c r="K59" s="239">
        <f>INDEX('Volume adjustments'!$J$481:$Y$521, K$36 + 1 + $H59*$H$59, K$37)</f>
        <v>0</v>
      </c>
      <c r="L59" s="239">
        <f>INDEX('Volume adjustments'!$J$481:$Y$521, L$36 + 1 + $H59*$H$59, L$37)</f>
        <v>0</v>
      </c>
      <c r="M59" s="239">
        <f>INDEX('Volume adjustments'!$J$481:$Y$521, M$36 + 1 + $H59*$H$59, M$37)</f>
        <v>0</v>
      </c>
      <c r="N59" s="239">
        <f>INDEX('Volume adjustments'!$J$481:$Y$521, N$36 + 1 + $H59*$H$59, N$37)</f>
        <v>0</v>
      </c>
      <c r="O59" s="239">
        <f>INDEX('Volume adjustments'!$J$481:$Y$521, O$36 + 1 + $H59*$H$59, O$37)</f>
        <v>0</v>
      </c>
      <c r="P59" s="239">
        <f>INDEX('Volume adjustments'!$J$481:$Y$521, P$36 + 1 + $H59*$H$59, P$37)</f>
        <v>0</v>
      </c>
      <c r="Q59" s="239">
        <f>INDEX('Volume adjustments'!$J$481:$Y$521, Q$36 + 1 + $H59*$H$59, Q$37)</f>
        <v>0</v>
      </c>
      <c r="R59" s="239">
        <f>INDEX('Volume adjustments'!$J$481:$Y$521, R$36 + 1 + $H59*$H$59, R$37)</f>
        <v>64.055000000000007</v>
      </c>
      <c r="S59" s="239">
        <f>INDEX('Volume adjustments'!$J$481:$Y$521, S$36 + 1 + $H59*$H$59, S$37)</f>
        <v>48337.155374757764</v>
      </c>
      <c r="T59" s="239">
        <f>INDEX('Volume adjustments'!$J$481:$Y$521, T$36 + 1 + $H59*$H$59, T$37)</f>
        <v>61052.924930950525</v>
      </c>
      <c r="U59" s="239">
        <f>INDEX('Volume adjustments'!$J$481:$Y$521, U$36 + 1 + $H59*$H$59, U$37)</f>
        <v>32956.518470660201</v>
      </c>
      <c r="V59" s="239">
        <f>INDEX('Volume adjustments'!$J$481:$Y$521, V$36 + 1 + $H59*$H$59, V$37)</f>
        <v>87547.226759021229</v>
      </c>
      <c r="W59" s="239">
        <f>INDEX('Volume adjustments'!$J$481:$Y$521, W$36 + 1 + $H59*$H$59, W$37)</f>
        <v>2.2480000000000002</v>
      </c>
      <c r="X59" s="239">
        <f>INDEX('Volume adjustments'!$J$481:$Y$521, X$36 + 1 + $H59*$H$59, X$37)</f>
        <v>502.32499999999999</v>
      </c>
      <c r="Y59" s="239">
        <f>INDEX('Volume adjustments'!$J$481:$Y$521, Y$36 + 1 + $H59*$H$59, Y$37)</f>
        <v>629.42722496106308</v>
      </c>
      <c r="Z59" s="239">
        <f>INDEX('Volume adjustments'!$J$481:$Y$521, Z$36 + 1 + $H59*$H$59, Z$37)</f>
        <v>1805.2166819396305</v>
      </c>
      <c r="AA59" s="239">
        <f>INDEX('Volume adjustments'!$J$481:$Y$521, AA$36 + 1 + $H59*$H$59, AA$37)</f>
        <v>18296.472196436043</v>
      </c>
      <c r="AB59" s="239">
        <f>INDEX('Volume adjustments'!$J$481:$Y$521, AB$36 + 1 + $H59*$H$59, AB$37)</f>
        <v>1213.202</v>
      </c>
      <c r="AC59" s="239">
        <f>INDEX('Volume adjustments'!$J$481:$Y$521, AC$36 + 1 + $H59*$H$59, AC$37)</f>
        <v>24418.754796062833</v>
      </c>
      <c r="AD59" s="239">
        <f>INDEX('Volume adjustments'!$J$481:$Y$521, AD$36 + 1 + $H59*$H$59, AD$37)</f>
        <v>38919.564626629799</v>
      </c>
      <c r="AE59" s="239">
        <f>INDEX('Volume adjustments'!$J$481:$Y$521, AE$36 + 1 + $H59*$H$59, AE$37)</f>
        <v>34469.917988329355</v>
      </c>
      <c r="AF59" s="239">
        <f>INDEX('Volume adjustments'!$J$481:$Y$521, AF$36 + 1 + $H59*$H$59, AF$37)</f>
        <v>140247.08347345688</v>
      </c>
      <c r="AG59" s="239">
        <f>INDEX('Volume adjustments'!$J$481:$Y$521, AG$36 + 1 + $H59*$H$59, AG$37)</f>
        <v>0</v>
      </c>
      <c r="AH59" s="239">
        <f>INDEX('Volume adjustments'!$J$481:$Y$521, AH$36 + 1 + $H59*$H$59, AH$37)</f>
        <v>0</v>
      </c>
      <c r="AI59" s="239">
        <f>INDEX('Volume adjustments'!$J$481:$Y$521, AI$36 + 1 + $H59*$H$59, AI$37)</f>
        <v>0</v>
      </c>
      <c r="AJ59" s="239">
        <f>INDEX('Volume adjustments'!$J$481:$Y$521, AJ$36 + 1 + $H59*$H$59, AJ$37)</f>
        <v>5379.1220000000003</v>
      </c>
      <c r="AK59" s="239">
        <f>INDEX('Volume adjustments'!$J$481:$Y$521, AK$36 + 1 + $H59*$H$59, AK$37)</f>
        <v>0</v>
      </c>
      <c r="AL59" s="239">
        <f>INDEX('Volume adjustments'!$J$481:$Y$521, AL$36 + 1 + $H59*$H$59, AL$37)</f>
        <v>157.29499999999999</v>
      </c>
      <c r="AM59" s="239">
        <f>INDEX('Volume adjustments'!$J$481:$Y$521, AM$36 + 1 + $H59*$H$59, AM$37)</f>
        <v>0</v>
      </c>
      <c r="AN59" s="239">
        <f>INDEX('Volume adjustments'!$J$481:$Y$521, AN$36 + 1 + $H59*$H$59, AN$37)</f>
        <v>20692.973000000002</v>
      </c>
      <c r="AO59" s="239">
        <f>INDEX('Volume adjustments'!$J$481:$Y$521, AO$36 + 1 + $H59*$H$59, AO$37)</f>
        <v>0</v>
      </c>
    </row>
    <row r="60" spans="4:41" x14ac:dyDescent="0.25">
      <c r="D60" s="76"/>
      <c r="F60" s="84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  <c r="AH60" s="145"/>
      <c r="AI60" s="145"/>
      <c r="AJ60" s="145"/>
      <c r="AK60" s="145"/>
      <c r="AL60" s="145"/>
      <c r="AM60" s="145"/>
      <c r="AN60" s="145"/>
      <c r="AO60" s="145"/>
    </row>
    <row r="61" spans="4:41" x14ac:dyDescent="0.25">
      <c r="D61" s="76"/>
      <c r="E61" t="s">
        <v>184</v>
      </c>
      <c r="G61" t="s">
        <v>107</v>
      </c>
      <c r="H61" s="229">
        <f>'General inputs'!$H$91</f>
        <v>590490361.41500902</v>
      </c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  <c r="AG61" s="145"/>
      <c r="AH61" s="145"/>
      <c r="AI61" s="145"/>
      <c r="AJ61" s="145"/>
      <c r="AK61" s="145"/>
      <c r="AL61" s="145"/>
      <c r="AM61" s="145"/>
      <c r="AN61" s="145"/>
      <c r="AO61" s="145"/>
    </row>
    <row r="62" spans="4:41" x14ac:dyDescent="0.25">
      <c r="D62" s="76"/>
      <c r="E62"/>
      <c r="H62" s="229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</row>
    <row r="63" spans="4:41" x14ac:dyDescent="0.25">
      <c r="D63" s="76"/>
      <c r="E63" s="52" t="s">
        <v>960</v>
      </c>
      <c r="H63" s="229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  <c r="AG63" s="145"/>
      <c r="AH63" s="145"/>
      <c r="AI63" s="145"/>
      <c r="AJ63" s="145"/>
      <c r="AK63" s="145"/>
      <c r="AL63" s="145"/>
      <c r="AM63" s="145"/>
      <c r="AN63" s="145"/>
      <c r="AO63" s="145"/>
    </row>
    <row r="64" spans="4:41" x14ac:dyDescent="0.25">
      <c r="D64" s="76"/>
      <c r="F64" s="80" t="s">
        <v>957</v>
      </c>
      <c r="G64" s="80" t="s">
        <v>107</v>
      </c>
      <c r="H64" s="228">
        <f>'General inputs'!H56</f>
        <v>1211184.4474688924</v>
      </c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  <c r="AG64" s="145"/>
      <c r="AH64" s="145"/>
      <c r="AI64" s="145"/>
      <c r="AJ64" s="145"/>
      <c r="AK64" s="145"/>
      <c r="AL64" s="145"/>
      <c r="AM64" s="145"/>
      <c r="AN64" s="145"/>
      <c r="AO64" s="145"/>
    </row>
    <row r="65" spans="2:43" s="476" customFormat="1" x14ac:dyDescent="0.25">
      <c r="D65" s="479"/>
      <c r="E65" s="480"/>
      <c r="F65" t="s">
        <v>958</v>
      </c>
      <c r="G65" s="476" t="s">
        <v>107</v>
      </c>
      <c r="H65" s="483">
        <f>'General inputs'!H57</f>
        <v>2435630.7059293278</v>
      </c>
      <c r="J65" s="489"/>
      <c r="K65" s="489"/>
      <c r="L65" s="489"/>
      <c r="M65" s="489"/>
      <c r="N65" s="489"/>
      <c r="O65" s="489"/>
      <c r="P65" s="489"/>
      <c r="Q65" s="489"/>
      <c r="R65" s="489"/>
      <c r="S65" s="489"/>
      <c r="T65" s="489"/>
      <c r="U65" s="489"/>
      <c r="V65" s="489"/>
      <c r="W65" s="489"/>
      <c r="X65" s="489"/>
      <c r="Y65" s="489"/>
      <c r="Z65" s="489"/>
      <c r="AA65" s="489"/>
      <c r="AB65" s="489"/>
      <c r="AC65" s="489"/>
      <c r="AD65" s="489"/>
      <c r="AE65" s="489"/>
      <c r="AF65" s="489"/>
      <c r="AG65" s="489"/>
      <c r="AH65" s="489"/>
      <c r="AI65" s="489"/>
      <c r="AJ65" s="489"/>
      <c r="AK65" s="489"/>
      <c r="AL65" s="489"/>
      <c r="AM65" s="489"/>
      <c r="AN65" s="489"/>
      <c r="AO65" s="489"/>
    </row>
    <row r="66" spans="2:43" x14ac:dyDescent="0.25">
      <c r="C66" s="76"/>
      <c r="F66" s="17" t="s">
        <v>1247</v>
      </c>
      <c r="G66" s="17" t="s">
        <v>107</v>
      </c>
      <c r="H66" s="230">
        <f>'General inputs'!H58</f>
        <v>0</v>
      </c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  <c r="AH66" s="145"/>
      <c r="AI66" s="145"/>
      <c r="AJ66" s="145"/>
      <c r="AK66" s="145"/>
      <c r="AL66" s="145"/>
      <c r="AM66" s="145"/>
      <c r="AN66" s="145"/>
      <c r="AO66" s="145"/>
    </row>
    <row r="67" spans="2:43" x14ac:dyDescent="0.25">
      <c r="C67" s="76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  <c r="AG67" s="145"/>
      <c r="AH67" s="145"/>
      <c r="AI67" s="145"/>
      <c r="AJ67" s="145"/>
      <c r="AK67" s="145"/>
      <c r="AL67" s="145"/>
      <c r="AM67" s="145"/>
      <c r="AN67" s="145"/>
      <c r="AO67" s="145"/>
    </row>
    <row r="68" spans="2:43" x14ac:dyDescent="0.25">
      <c r="C68" s="76"/>
      <c r="E68" t="s">
        <v>961</v>
      </c>
      <c r="G68" t="s">
        <v>107</v>
      </c>
      <c r="H68" s="231">
        <f>H61 - H64  - H65 - H66</f>
        <v>586843546.26161087</v>
      </c>
      <c r="I68" t="s">
        <v>359</v>
      </c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  <c r="AG68" s="145"/>
      <c r="AH68" s="145"/>
      <c r="AI68" s="145"/>
      <c r="AJ68" s="145"/>
      <c r="AK68" s="145"/>
      <c r="AL68" s="145"/>
      <c r="AM68" s="145"/>
      <c r="AN68" s="145"/>
      <c r="AO68" s="145"/>
      <c r="AQ68" t="s">
        <v>962</v>
      </c>
    </row>
    <row r="69" spans="2:43" x14ac:dyDescent="0.25">
      <c r="C69" s="76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  <c r="Y69" s="145"/>
      <c r="Z69" s="145"/>
      <c r="AA69" s="145"/>
      <c r="AB69" s="145"/>
      <c r="AC69" s="145"/>
      <c r="AD69" s="145"/>
      <c r="AE69" s="145"/>
      <c r="AF69" s="145"/>
      <c r="AG69" s="145"/>
      <c r="AH69" s="145"/>
      <c r="AI69" s="145"/>
      <c r="AJ69" s="145"/>
      <c r="AK69" s="145"/>
      <c r="AL69" s="145"/>
      <c r="AM69" s="145"/>
      <c r="AN69" s="145"/>
      <c r="AO69" s="145"/>
    </row>
    <row r="70" spans="2:43" x14ac:dyDescent="0.25">
      <c r="C70" s="5" t="str">
        <f ca="1">INDEX('Version control'!$H$36:$H$62,MATCH($A$1,'Version control'!$F$36:$F$62,0),1)&amp;"-B: Net revenue before matching"</f>
        <v>Section 519-B: Net revenue before matching</v>
      </c>
      <c r="D70" s="5"/>
      <c r="E70" s="5"/>
      <c r="F70" s="5"/>
      <c r="G70" s="5"/>
      <c r="H70" s="5"/>
      <c r="I70" s="5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5"/>
      <c r="AQ70" s="5"/>
    </row>
    <row r="71" spans="2:43" x14ac:dyDescent="0.25">
      <c r="C71" s="73"/>
      <c r="J71" s="145"/>
      <c r="K71" s="145"/>
      <c r="L71" s="145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  <c r="Y71" s="145"/>
      <c r="Z71" s="145"/>
      <c r="AA71" s="145"/>
      <c r="AB71" s="145"/>
      <c r="AC71" s="145"/>
      <c r="AD71" s="145"/>
      <c r="AE71" s="145"/>
      <c r="AF71" s="145"/>
      <c r="AG71" s="145"/>
      <c r="AH71" s="145"/>
      <c r="AI71" s="145"/>
      <c r="AJ71" s="145"/>
      <c r="AK71" s="145"/>
      <c r="AL71" s="145"/>
      <c r="AM71" s="145"/>
      <c r="AN71" s="145"/>
      <c r="AO71" s="145"/>
    </row>
    <row r="72" spans="2:43" x14ac:dyDescent="0.25">
      <c r="B72" s="73"/>
      <c r="D72" s="73" t="s">
        <v>411</v>
      </c>
      <c r="F72" s="84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45"/>
      <c r="AA72" s="145"/>
      <c r="AB72" s="145"/>
      <c r="AC72" s="145"/>
      <c r="AD72" s="145"/>
      <c r="AE72" s="145"/>
      <c r="AF72" s="145"/>
      <c r="AG72" s="145"/>
      <c r="AH72" s="145"/>
      <c r="AI72" s="145"/>
      <c r="AJ72" s="145"/>
      <c r="AK72" s="145"/>
      <c r="AL72" s="145"/>
      <c r="AM72" s="145"/>
      <c r="AN72" s="145"/>
      <c r="AO72" s="145"/>
    </row>
    <row r="73" spans="2:43" x14ac:dyDescent="0.25">
      <c r="D73" s="73" t="s">
        <v>412</v>
      </c>
      <c r="F73" s="84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  <c r="AG73" s="145"/>
      <c r="AH73" s="145"/>
      <c r="AI73" s="145"/>
      <c r="AJ73" s="145"/>
      <c r="AK73" s="145"/>
      <c r="AL73" s="145"/>
      <c r="AM73" s="145"/>
      <c r="AN73" s="145"/>
      <c r="AO73" s="145"/>
    </row>
    <row r="74" spans="2:43" x14ac:dyDescent="0.25">
      <c r="D74" s="73"/>
      <c r="F74" s="84"/>
      <c r="J74" s="145"/>
      <c r="K74" s="145"/>
      <c r="L74" s="145"/>
      <c r="M74" s="145"/>
      <c r="N74" s="145"/>
      <c r="O74" s="145"/>
      <c r="P74" s="145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  <c r="AG74" s="145"/>
      <c r="AH74" s="145"/>
      <c r="AI74" s="145"/>
      <c r="AJ74" s="145"/>
      <c r="AK74" s="145"/>
      <c r="AL74" s="145"/>
      <c r="AM74" s="145"/>
      <c r="AN74" s="145"/>
      <c r="AO74" s="145"/>
    </row>
    <row r="75" spans="2:43" x14ac:dyDescent="0.25">
      <c r="D75"/>
      <c r="E75" s="52" t="s">
        <v>591</v>
      </c>
      <c r="F75" s="52"/>
      <c r="H75" s="39" t="s">
        <v>215</v>
      </c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  <c r="AG75" s="145"/>
      <c r="AH75" s="145"/>
      <c r="AI75" s="145"/>
      <c r="AJ75" s="145"/>
      <c r="AK75" s="145"/>
      <c r="AL75" s="145"/>
      <c r="AM75" s="145"/>
      <c r="AN75" s="145"/>
      <c r="AO75" s="145"/>
    </row>
    <row r="76" spans="2:43" x14ac:dyDescent="0.25">
      <c r="D76" s="76"/>
      <c r="F76" s="80" t="s">
        <v>134</v>
      </c>
      <c r="G76" s="80" t="s">
        <v>107</v>
      </c>
      <c r="H76" s="223">
        <f t="shared" ref="H76:H83" si="2">SUM(J76:AO76)</f>
        <v>104812899.46348104</v>
      </c>
      <c r="I76" s="67"/>
      <c r="J76" s="212">
        <f t="shared" ref="J76:AO76" si="3">J53 * thousand * J40 / hundred</f>
        <v>59377297.656728804</v>
      </c>
      <c r="K76" s="212">
        <f t="shared" si="3"/>
        <v>54213.583655133822</v>
      </c>
      <c r="L76" s="212">
        <f t="shared" si="3"/>
        <v>1748.8895913482238</v>
      </c>
      <c r="M76" s="212">
        <f t="shared" si="3"/>
        <v>1686052.0417194695</v>
      </c>
      <c r="N76" s="212">
        <f t="shared" si="3"/>
        <v>3039118.76776325</v>
      </c>
      <c r="O76" s="212">
        <f t="shared" si="3"/>
        <v>3781286.6925799251</v>
      </c>
      <c r="P76" s="212">
        <f t="shared" si="3"/>
        <v>11391515.290523825</v>
      </c>
      <c r="Q76" s="212">
        <f t="shared" si="3"/>
        <v>59757.054866582745</v>
      </c>
      <c r="R76" s="212">
        <f t="shared" si="3"/>
        <v>895.8895925116575</v>
      </c>
      <c r="S76" s="212">
        <f t="shared" si="3"/>
        <v>3344582.6869513597</v>
      </c>
      <c r="T76" s="212">
        <f t="shared" si="3"/>
        <v>4841507.3851498058</v>
      </c>
      <c r="U76" s="212">
        <f t="shared" si="3"/>
        <v>2784729.3517967635</v>
      </c>
      <c r="V76" s="212">
        <f t="shared" si="3"/>
        <v>6898811.5335386004</v>
      </c>
      <c r="W76" s="212">
        <f t="shared" si="3"/>
        <v>4.5050212739661104</v>
      </c>
      <c r="X76" s="212">
        <f t="shared" si="3"/>
        <v>5768.4325631552074</v>
      </c>
      <c r="Y76" s="212">
        <f t="shared" si="3"/>
        <v>27307.674162894898</v>
      </c>
      <c r="Z76" s="212">
        <f t="shared" si="3"/>
        <v>87967.607737641229</v>
      </c>
      <c r="AA76" s="212">
        <f t="shared" si="3"/>
        <v>991736.02100198145</v>
      </c>
      <c r="AB76" s="212">
        <f t="shared" si="3"/>
        <v>8746.2849896589978</v>
      </c>
      <c r="AC76" s="212">
        <f t="shared" si="3"/>
        <v>494576.65690208273</v>
      </c>
      <c r="AD76" s="212">
        <f t="shared" si="3"/>
        <v>1684274.446021857</v>
      </c>
      <c r="AE76" s="212">
        <f t="shared" si="3"/>
        <v>1542635.6929651296</v>
      </c>
      <c r="AF76" s="212">
        <f t="shared" si="3"/>
        <v>4811368.8104614392</v>
      </c>
      <c r="AG76" s="212">
        <f t="shared" si="3"/>
        <v>2549570.7068163906</v>
      </c>
      <c r="AH76" s="212">
        <f t="shared" si="3"/>
        <v>-107053.6855792893</v>
      </c>
      <c r="AI76" s="212">
        <f t="shared" si="3"/>
        <v>-1109.2853054753923</v>
      </c>
      <c r="AJ76" s="212">
        <f t="shared" si="3"/>
        <v>-381247.98116910516</v>
      </c>
      <c r="AK76" s="212">
        <f t="shared" si="3"/>
        <v>0</v>
      </c>
      <c r="AL76" s="212">
        <f t="shared" si="3"/>
        <v>-3573.1196022801596</v>
      </c>
      <c r="AM76" s="212">
        <f t="shared" si="3"/>
        <v>0</v>
      </c>
      <c r="AN76" s="212">
        <f t="shared" si="3"/>
        <v>-4159590.1279637129</v>
      </c>
      <c r="AO76" s="212">
        <f t="shared" si="3"/>
        <v>0</v>
      </c>
    </row>
    <row r="77" spans="2:43" x14ac:dyDescent="0.25">
      <c r="D77" s="76"/>
      <c r="F77" t="s">
        <v>135</v>
      </c>
      <c r="G77" t="s">
        <v>107</v>
      </c>
      <c r="H77" s="211">
        <f t="shared" si="2"/>
        <v>47662157.513928466</v>
      </c>
      <c r="I77" s="79"/>
      <c r="J77" s="372">
        <f t="shared" ref="J77" si="4">J54 * thousand * J41 / hundred</f>
        <v>23465740.741132583</v>
      </c>
      <c r="K77" s="372">
        <f t="shared" ref="K77:AO77" si="5">K54 * thousand * K41 / hundred</f>
        <v>169481.14496568573</v>
      </c>
      <c r="L77" s="372">
        <f t="shared" si="5"/>
        <v>1032.7662423311745</v>
      </c>
      <c r="M77" s="372">
        <f t="shared" si="5"/>
        <v>995753.29224319267</v>
      </c>
      <c r="N77" s="372">
        <f t="shared" si="5"/>
        <v>1794818.2785437636</v>
      </c>
      <c r="O77" s="372">
        <f t="shared" si="5"/>
        <v>2233113.9631926734</v>
      </c>
      <c r="P77" s="372">
        <f t="shared" si="5"/>
        <v>6727321.4419408944</v>
      </c>
      <c r="Q77" s="372">
        <f t="shared" si="5"/>
        <v>102069.97721108748</v>
      </c>
      <c r="R77" s="372">
        <f t="shared" si="5"/>
        <v>467.0813549396417</v>
      </c>
      <c r="S77" s="372">
        <f t="shared" si="5"/>
        <v>1742625.8339913648</v>
      </c>
      <c r="T77" s="372">
        <f t="shared" si="5"/>
        <v>2520766.7399325254</v>
      </c>
      <c r="U77" s="372">
        <f t="shared" si="5"/>
        <v>1447512.5034412465</v>
      </c>
      <c r="V77" s="372">
        <f t="shared" si="5"/>
        <v>3584254.3289637063</v>
      </c>
      <c r="W77" s="372">
        <f t="shared" si="5"/>
        <v>1.8858974535437176</v>
      </c>
      <c r="X77" s="372">
        <f t="shared" si="5"/>
        <v>2414.7882152431544</v>
      </c>
      <c r="Y77" s="372">
        <f t="shared" si="5"/>
        <v>11419.459337301951</v>
      </c>
      <c r="Z77" s="372">
        <f t="shared" si="5"/>
        <v>36816.772216233323</v>
      </c>
      <c r="AA77" s="372">
        <f t="shared" si="5"/>
        <v>414393.36427251139</v>
      </c>
      <c r="AB77" s="372">
        <f t="shared" si="5"/>
        <v>3221.4611344680261</v>
      </c>
      <c r="AC77" s="372">
        <f t="shared" si="5"/>
        <v>182014.27042010802</v>
      </c>
      <c r="AD77" s="372">
        <f t="shared" si="5"/>
        <v>620155.75127326208</v>
      </c>
      <c r="AE77" s="372">
        <f t="shared" si="5"/>
        <v>567565.91162163776</v>
      </c>
      <c r="AF77" s="372">
        <f t="shared" si="5"/>
        <v>1771101.4582787687</v>
      </c>
      <c r="AG77" s="372">
        <f t="shared" si="5"/>
        <v>878721.68420761195</v>
      </c>
      <c r="AH77" s="372">
        <f t="shared" si="5"/>
        <v>-64788.007404686454</v>
      </c>
      <c r="AI77" s="372">
        <f t="shared" si="5"/>
        <v>-494.53168320172074</v>
      </c>
      <c r="AJ77" s="372">
        <f t="shared" si="5"/>
        <v>-198358.25552371866</v>
      </c>
      <c r="AK77" s="372">
        <f t="shared" si="5"/>
        <v>0</v>
      </c>
      <c r="AL77" s="372">
        <f t="shared" si="5"/>
        <v>-1984.1462240395683</v>
      </c>
      <c r="AM77" s="372">
        <f t="shared" si="5"/>
        <v>0</v>
      </c>
      <c r="AN77" s="372">
        <f t="shared" si="5"/>
        <v>-1345002.4452664806</v>
      </c>
      <c r="AO77" s="372">
        <f t="shared" si="5"/>
        <v>0</v>
      </c>
    </row>
    <row r="78" spans="2:43" x14ac:dyDescent="0.25">
      <c r="D78" s="76"/>
      <c r="F78" t="s">
        <v>136</v>
      </c>
      <c r="G78" t="s">
        <v>107</v>
      </c>
      <c r="H78" s="211">
        <f t="shared" si="2"/>
        <v>1451183.5219508519</v>
      </c>
      <c r="I78" s="79"/>
      <c r="J78" s="372">
        <f t="shared" ref="J78" si="6">J55 * thousand * J42 / hundred</f>
        <v>396724.06465490756</v>
      </c>
      <c r="K78" s="372">
        <f t="shared" ref="K78:AO78" si="7">K55 * thousand * K42 / hundred</f>
        <v>29209.458340058431</v>
      </c>
      <c r="L78" s="372">
        <f t="shared" si="7"/>
        <v>14.818817674392086</v>
      </c>
      <c r="M78" s="372">
        <f t="shared" si="7"/>
        <v>14280.376046584475</v>
      </c>
      <c r="N78" s="372">
        <f t="shared" si="7"/>
        <v>25742.91272215953</v>
      </c>
      <c r="O78" s="372">
        <f t="shared" si="7"/>
        <v>32031.758669051775</v>
      </c>
      <c r="P78" s="372">
        <f t="shared" si="7"/>
        <v>96508.006345490809</v>
      </c>
      <c r="Q78" s="372">
        <f t="shared" si="7"/>
        <v>7357.4695949865945</v>
      </c>
      <c r="R78" s="372">
        <f t="shared" si="7"/>
        <v>7.1807057543803703</v>
      </c>
      <c r="S78" s="372">
        <f t="shared" si="7"/>
        <v>26794.827991398015</v>
      </c>
      <c r="T78" s="372">
        <f t="shared" si="7"/>
        <v>38767.432766835547</v>
      </c>
      <c r="U78" s="372">
        <f t="shared" si="7"/>
        <v>22270.339828361874</v>
      </c>
      <c r="V78" s="372">
        <f t="shared" si="7"/>
        <v>55160.252800417962</v>
      </c>
      <c r="W78" s="372">
        <f t="shared" si="7"/>
        <v>2.9770800171151163E-2</v>
      </c>
      <c r="X78" s="372">
        <f t="shared" si="7"/>
        <v>38.119876177025773</v>
      </c>
      <c r="Y78" s="372">
        <f t="shared" si="7"/>
        <v>179.31276014053549</v>
      </c>
      <c r="Z78" s="372">
        <f t="shared" si="7"/>
        <v>580.53292926914594</v>
      </c>
      <c r="AA78" s="372">
        <f t="shared" si="7"/>
        <v>6481.0383466195963</v>
      </c>
      <c r="AB78" s="372">
        <f t="shared" si="7"/>
        <v>49.100321431293651</v>
      </c>
      <c r="AC78" s="372">
        <f t="shared" si="7"/>
        <v>2777.304851743103</v>
      </c>
      <c r="AD78" s="372">
        <f t="shared" si="7"/>
        <v>9456.3751233378371</v>
      </c>
      <c r="AE78" s="372">
        <f t="shared" si="7"/>
        <v>8663.5575843628667</v>
      </c>
      <c r="AF78" s="372">
        <f t="shared" si="7"/>
        <v>27016.020424615181</v>
      </c>
      <c r="AG78" s="372">
        <f t="shared" si="7"/>
        <v>679011.42739642947</v>
      </c>
      <c r="AH78" s="372">
        <f t="shared" si="7"/>
        <v>-517.88476792524921</v>
      </c>
      <c r="AI78" s="372">
        <f t="shared" si="7"/>
        <v>-6.5006057397250387</v>
      </c>
      <c r="AJ78" s="372">
        <f t="shared" si="7"/>
        <v>-3973.9092003072292</v>
      </c>
      <c r="AK78" s="372">
        <f t="shared" si="7"/>
        <v>0</v>
      </c>
      <c r="AL78" s="372">
        <f t="shared" si="7"/>
        <v>-30.75281836365</v>
      </c>
      <c r="AM78" s="372">
        <f t="shared" si="7"/>
        <v>0</v>
      </c>
      <c r="AN78" s="372">
        <f t="shared" si="7"/>
        <v>-23409.149325420083</v>
      </c>
      <c r="AO78" s="372">
        <f t="shared" si="7"/>
        <v>0</v>
      </c>
    </row>
    <row r="79" spans="2:43" x14ac:dyDescent="0.25">
      <c r="D79" s="76"/>
      <c r="F79" t="s">
        <v>254</v>
      </c>
      <c r="G79" t="s">
        <v>107</v>
      </c>
      <c r="H79" s="211">
        <f t="shared" si="2"/>
        <v>37357565.719563238</v>
      </c>
      <c r="I79" s="79"/>
      <c r="J79" s="212">
        <f t="shared" ref="J79" si="8">J56 * J43 * days_in_year / hundred</f>
        <v>32884379.316868316</v>
      </c>
      <c r="K79" s="212">
        <f t="shared" ref="K79:AO79" si="9">K56 * K43 * days_in_year / hundred</f>
        <v>0</v>
      </c>
      <c r="L79" s="212">
        <f t="shared" si="9"/>
        <v>1312.0178277901714</v>
      </c>
      <c r="M79" s="212">
        <f t="shared" si="9"/>
        <v>1032407.2191125156</v>
      </c>
      <c r="N79" s="212">
        <f t="shared" si="9"/>
        <v>809921.8541372685</v>
      </c>
      <c r="O79" s="212">
        <f t="shared" si="9"/>
        <v>466631.21591563924</v>
      </c>
      <c r="P79" s="212">
        <f t="shared" si="9"/>
        <v>478227.03906393779</v>
      </c>
      <c r="Q79" s="212">
        <f t="shared" si="9"/>
        <v>0</v>
      </c>
      <c r="R79" s="212">
        <f t="shared" si="9"/>
        <v>1821.5836692883627</v>
      </c>
      <c r="S79" s="212">
        <f t="shared" si="9"/>
        <v>397000.28203913913</v>
      </c>
      <c r="T79" s="212">
        <f t="shared" si="9"/>
        <v>329464.47823313519</v>
      </c>
      <c r="U79" s="212">
        <f t="shared" si="9"/>
        <v>114644.88790650251</v>
      </c>
      <c r="V79" s="212">
        <f t="shared" si="9"/>
        <v>140702.6225039213</v>
      </c>
      <c r="W79" s="212">
        <f t="shared" si="9"/>
        <v>30.614851584678373</v>
      </c>
      <c r="X79" s="212">
        <f t="shared" si="9"/>
        <v>306.14851584678377</v>
      </c>
      <c r="Y79" s="212">
        <f t="shared" si="9"/>
        <v>795.64575809389237</v>
      </c>
      <c r="Z79" s="212">
        <f t="shared" si="9"/>
        <v>1275.5053549923502</v>
      </c>
      <c r="AA79" s="212">
        <f t="shared" si="9"/>
        <v>6874.2789808032931</v>
      </c>
      <c r="AB79" s="212">
        <f t="shared" si="9"/>
        <v>61649.12797801783</v>
      </c>
      <c r="AC79" s="212">
        <f t="shared" si="9"/>
        <v>168188.89952444725</v>
      </c>
      <c r="AD79" s="212">
        <f t="shared" si="9"/>
        <v>188916.95207663617</v>
      </c>
      <c r="AE79" s="212">
        <f t="shared" si="9"/>
        <v>84864.940251962835</v>
      </c>
      <c r="AF79" s="212">
        <f t="shared" si="9"/>
        <v>99808.763921882768</v>
      </c>
      <c r="AG79" s="212">
        <f t="shared" si="9"/>
        <v>0</v>
      </c>
      <c r="AH79" s="212">
        <f t="shared" si="9"/>
        <v>0</v>
      </c>
      <c r="AI79" s="212">
        <f t="shared" si="9"/>
        <v>0</v>
      </c>
      <c r="AJ79" s="212">
        <f t="shared" si="9"/>
        <v>0</v>
      </c>
      <c r="AK79" s="212">
        <f t="shared" si="9"/>
        <v>0</v>
      </c>
      <c r="AL79" s="212">
        <f t="shared" si="9"/>
        <v>0</v>
      </c>
      <c r="AM79" s="212">
        <f t="shared" si="9"/>
        <v>0</v>
      </c>
      <c r="AN79" s="212">
        <f t="shared" si="9"/>
        <v>88342.325071503583</v>
      </c>
      <c r="AO79" s="212">
        <f t="shared" si="9"/>
        <v>0</v>
      </c>
    </row>
    <row r="80" spans="2:43" x14ac:dyDescent="0.25">
      <c r="D80" s="76"/>
      <c r="F80" t="s">
        <v>273</v>
      </c>
      <c r="G80" t="s">
        <v>107</v>
      </c>
      <c r="H80" s="211">
        <f t="shared" si="2"/>
        <v>48666368.11716973</v>
      </c>
      <c r="I80" s="79"/>
      <c r="J80" s="208">
        <f t="shared" ref="J80" si="10">J57 * J44 * days_in_year / hundred</f>
        <v>0</v>
      </c>
      <c r="K80" s="208">
        <f t="shared" ref="K80:AO80" si="11">K57 * K44 * days_in_year / hundred</f>
        <v>0</v>
      </c>
      <c r="L80" s="208">
        <f t="shared" si="11"/>
        <v>0</v>
      </c>
      <c r="M80" s="208">
        <f t="shared" si="11"/>
        <v>0</v>
      </c>
      <c r="N80" s="208">
        <f t="shared" si="11"/>
        <v>0</v>
      </c>
      <c r="O80" s="208">
        <f t="shared" si="11"/>
        <v>0</v>
      </c>
      <c r="P80" s="208">
        <f t="shared" si="11"/>
        <v>0</v>
      </c>
      <c r="Q80" s="208">
        <f t="shared" si="11"/>
        <v>0</v>
      </c>
      <c r="R80" s="208">
        <f t="shared" si="11"/>
        <v>10217.478332821918</v>
      </c>
      <c r="S80" s="208">
        <f t="shared" si="11"/>
        <v>2752526.3522567991</v>
      </c>
      <c r="T80" s="208">
        <f t="shared" si="11"/>
        <v>4599368.0132419039</v>
      </c>
      <c r="U80" s="208">
        <f t="shared" si="11"/>
        <v>2668487.2024988858</v>
      </c>
      <c r="V80" s="208">
        <f t="shared" si="11"/>
        <v>6850913.2355250511</v>
      </c>
      <c r="W80" s="208">
        <f t="shared" si="11"/>
        <v>158.39551587144456</v>
      </c>
      <c r="X80" s="208">
        <f t="shared" si="11"/>
        <v>9028.5444046723405</v>
      </c>
      <c r="Y80" s="208">
        <f t="shared" si="11"/>
        <v>64700.372977944229</v>
      </c>
      <c r="Z80" s="208">
        <f t="shared" si="11"/>
        <v>156220.86685644052</v>
      </c>
      <c r="AA80" s="208">
        <f t="shared" si="11"/>
        <v>2205508.1607679236</v>
      </c>
      <c r="AB80" s="208">
        <f t="shared" si="11"/>
        <v>167236.05847922488</v>
      </c>
      <c r="AC80" s="208">
        <f t="shared" si="11"/>
        <v>1606028.9227343493</v>
      </c>
      <c r="AD80" s="208">
        <f t="shared" si="11"/>
        <v>6111579.3977628769</v>
      </c>
      <c r="AE80" s="208">
        <f t="shared" si="11"/>
        <v>5407661.0518796099</v>
      </c>
      <c r="AF80" s="208">
        <f t="shared" si="11"/>
        <v>16056734.063935356</v>
      </c>
      <c r="AG80" s="208">
        <f t="shared" si="11"/>
        <v>0</v>
      </c>
      <c r="AH80" s="208">
        <f t="shared" si="11"/>
        <v>0</v>
      </c>
      <c r="AI80" s="208">
        <f t="shared" si="11"/>
        <v>0</v>
      </c>
      <c r="AJ80" s="208">
        <f t="shared" si="11"/>
        <v>0</v>
      </c>
      <c r="AK80" s="208">
        <f t="shared" si="11"/>
        <v>0</v>
      </c>
      <c r="AL80" s="208">
        <f t="shared" si="11"/>
        <v>0</v>
      </c>
      <c r="AM80" s="208">
        <f t="shared" si="11"/>
        <v>0</v>
      </c>
      <c r="AN80" s="208">
        <f t="shared" si="11"/>
        <v>0</v>
      </c>
      <c r="AO80" s="208">
        <f t="shared" si="11"/>
        <v>0</v>
      </c>
    </row>
    <row r="81" spans="2:43" x14ac:dyDescent="0.25">
      <c r="D81" s="76"/>
      <c r="F81" t="s">
        <v>203</v>
      </c>
      <c r="G81" t="s">
        <v>107</v>
      </c>
      <c r="H81" s="211">
        <f t="shared" si="2"/>
        <v>755926.53590902383</v>
      </c>
      <c r="I81" s="79"/>
      <c r="J81" s="209">
        <f t="shared" ref="J81" si="12">J58 * J45 * days_in_year / hundred</f>
        <v>0</v>
      </c>
      <c r="K81" s="209">
        <f t="shared" ref="K81:AO81" si="13">K58 * K45 * days_in_year / hundred</f>
        <v>0</v>
      </c>
      <c r="L81" s="209">
        <f t="shared" si="13"/>
        <v>0</v>
      </c>
      <c r="M81" s="209">
        <f t="shared" si="13"/>
        <v>0</v>
      </c>
      <c r="N81" s="209">
        <f t="shared" si="13"/>
        <v>0</v>
      </c>
      <c r="O81" s="209">
        <f t="shared" si="13"/>
        <v>0</v>
      </c>
      <c r="P81" s="209">
        <f t="shared" si="13"/>
        <v>0</v>
      </c>
      <c r="Q81" s="209">
        <f t="shared" si="13"/>
        <v>0</v>
      </c>
      <c r="R81" s="209">
        <f t="shared" si="13"/>
        <v>654.88524856996457</v>
      </c>
      <c r="S81" s="209">
        <f t="shared" si="13"/>
        <v>190987.69059907921</v>
      </c>
      <c r="T81" s="209">
        <f t="shared" si="13"/>
        <v>109029.8525053515</v>
      </c>
      <c r="U81" s="209">
        <f t="shared" si="13"/>
        <v>21311.023076555895</v>
      </c>
      <c r="V81" s="209">
        <f t="shared" si="13"/>
        <v>25998.097496288912</v>
      </c>
      <c r="W81" s="209">
        <f t="shared" si="13"/>
        <v>112.82645399483712</v>
      </c>
      <c r="X81" s="209">
        <f t="shared" si="13"/>
        <v>6814.7178212881627</v>
      </c>
      <c r="Y81" s="209">
        <f t="shared" si="13"/>
        <v>4264.8399610048436</v>
      </c>
      <c r="Z81" s="209">
        <f t="shared" si="13"/>
        <v>3249.4018750513087</v>
      </c>
      <c r="AA81" s="209">
        <f t="shared" si="13"/>
        <v>7288.0871556644088</v>
      </c>
      <c r="AB81" s="209">
        <f t="shared" si="13"/>
        <v>19967.613291215908</v>
      </c>
      <c r="AC81" s="209">
        <f t="shared" si="13"/>
        <v>157141.02799479978</v>
      </c>
      <c r="AD81" s="209">
        <f t="shared" si="13"/>
        <v>55982.608221650466</v>
      </c>
      <c r="AE81" s="209">
        <f t="shared" si="13"/>
        <v>46343.9861938502</v>
      </c>
      <c r="AF81" s="209">
        <f t="shared" si="13"/>
        <v>106779.87801465846</v>
      </c>
      <c r="AG81" s="209">
        <f t="shared" si="13"/>
        <v>0</v>
      </c>
      <c r="AH81" s="209">
        <f t="shared" si="13"/>
        <v>0</v>
      </c>
      <c r="AI81" s="209">
        <f t="shared" si="13"/>
        <v>0</v>
      </c>
      <c r="AJ81" s="209">
        <f t="shared" si="13"/>
        <v>0</v>
      </c>
      <c r="AK81" s="209">
        <f t="shared" si="13"/>
        <v>0</v>
      </c>
      <c r="AL81" s="209">
        <f t="shared" si="13"/>
        <v>0</v>
      </c>
      <c r="AM81" s="209">
        <f t="shared" si="13"/>
        <v>0</v>
      </c>
      <c r="AN81" s="209">
        <f t="shared" si="13"/>
        <v>0</v>
      </c>
      <c r="AO81" s="209">
        <f t="shared" si="13"/>
        <v>0</v>
      </c>
    </row>
    <row r="82" spans="2:43" x14ac:dyDescent="0.25">
      <c r="D82" s="76"/>
      <c r="F82" s="17" t="s">
        <v>77</v>
      </c>
      <c r="G82" s="13" t="s">
        <v>107</v>
      </c>
      <c r="H82" s="220">
        <f t="shared" si="2"/>
        <v>500094.84049917059</v>
      </c>
      <c r="I82" s="159"/>
      <c r="J82" s="209">
        <f t="shared" ref="J82" si="14">J59 * thousand * J46 / hundred</f>
        <v>0</v>
      </c>
      <c r="K82" s="209">
        <f t="shared" ref="K82:AO82" si="15">K59 * thousand * K46 / hundred</f>
        <v>0</v>
      </c>
      <c r="L82" s="209">
        <f t="shared" si="15"/>
        <v>0</v>
      </c>
      <c r="M82" s="209">
        <f t="shared" si="15"/>
        <v>0</v>
      </c>
      <c r="N82" s="209">
        <f t="shared" si="15"/>
        <v>0</v>
      </c>
      <c r="O82" s="209">
        <f t="shared" si="15"/>
        <v>0</v>
      </c>
      <c r="P82" s="209">
        <f t="shared" si="15"/>
        <v>0</v>
      </c>
      <c r="Q82" s="209">
        <f t="shared" si="15"/>
        <v>0</v>
      </c>
      <c r="R82" s="209">
        <f t="shared" si="15"/>
        <v>95.578610267072122</v>
      </c>
      <c r="S82" s="209">
        <f t="shared" si="15"/>
        <v>72125.488017842203</v>
      </c>
      <c r="T82" s="209">
        <f t="shared" si="15"/>
        <v>91099.113537430807</v>
      </c>
      <c r="U82" s="209">
        <f t="shared" si="15"/>
        <v>49175.524700129499</v>
      </c>
      <c r="V82" s="209">
        <f t="shared" si="15"/>
        <v>130632.14840938998</v>
      </c>
      <c r="W82" s="209">
        <f t="shared" si="15"/>
        <v>1.6894165851599829</v>
      </c>
      <c r="X82" s="209">
        <f t="shared" si="15"/>
        <v>377.50720024043073</v>
      </c>
      <c r="Y82" s="209">
        <f t="shared" si="15"/>
        <v>473.02704314966354</v>
      </c>
      <c r="Z82" s="209">
        <f t="shared" si="15"/>
        <v>1356.6561398026181</v>
      </c>
      <c r="AA82" s="209">
        <f t="shared" si="15"/>
        <v>13750.161734242682</v>
      </c>
      <c r="AB82" s="209">
        <f t="shared" si="15"/>
        <v>576.75137673133759</v>
      </c>
      <c r="AC82" s="209">
        <f t="shared" si="15"/>
        <v>11608.578329655069</v>
      </c>
      <c r="AD82" s="209">
        <f t="shared" si="15"/>
        <v>18502.205304799205</v>
      </c>
      <c r="AE82" s="209">
        <f t="shared" si="15"/>
        <v>16386.861096161439</v>
      </c>
      <c r="AF82" s="209">
        <f t="shared" si="15"/>
        <v>66672.902349213968</v>
      </c>
      <c r="AG82" s="209">
        <f t="shared" si="15"/>
        <v>0</v>
      </c>
      <c r="AH82" s="209">
        <f t="shared" si="15"/>
        <v>0</v>
      </c>
      <c r="AI82" s="209">
        <f t="shared" si="15"/>
        <v>0</v>
      </c>
      <c r="AJ82" s="209">
        <f t="shared" si="15"/>
        <v>7264.4389391660543</v>
      </c>
      <c r="AK82" s="209">
        <f t="shared" si="15"/>
        <v>0</v>
      </c>
      <c r="AL82" s="209">
        <f t="shared" si="15"/>
        <v>184.70174817099939</v>
      </c>
      <c r="AM82" s="209">
        <f t="shared" si="15"/>
        <v>0</v>
      </c>
      <c r="AN82" s="209">
        <f t="shared" si="15"/>
        <v>19811.506546192428</v>
      </c>
      <c r="AO82" s="209">
        <f t="shared" si="15"/>
        <v>0</v>
      </c>
    </row>
    <row r="83" spans="2:43" x14ac:dyDescent="0.25">
      <c r="D83"/>
      <c r="E83" s="73"/>
      <c r="F83" s="66" t="s">
        <v>111</v>
      </c>
      <c r="G83" s="69" t="s">
        <v>107</v>
      </c>
      <c r="H83" s="235">
        <f t="shared" si="2"/>
        <v>241206195.71250156</v>
      </c>
      <c r="I83" s="63"/>
      <c r="J83" s="241">
        <f t="shared" ref="J83" si="16">SUM(J76:J82)</f>
        <v>116124141.77938461</v>
      </c>
      <c r="K83" s="241">
        <f t="shared" ref="K83:AO83" si="17">SUM(K76:K82)</f>
        <v>252904.18696087797</v>
      </c>
      <c r="L83" s="241">
        <f t="shared" si="17"/>
        <v>4108.4924791439616</v>
      </c>
      <c r="M83" s="241">
        <f t="shared" si="17"/>
        <v>3728492.929121762</v>
      </c>
      <c r="N83" s="241">
        <f t="shared" si="17"/>
        <v>5669601.8131664414</v>
      </c>
      <c r="O83" s="241">
        <f t="shared" si="17"/>
        <v>6513063.6303572888</v>
      </c>
      <c r="P83" s="241">
        <f t="shared" si="17"/>
        <v>18693571.777874149</v>
      </c>
      <c r="Q83" s="241">
        <f t="shared" si="17"/>
        <v>169184.5016726568</v>
      </c>
      <c r="R83" s="241">
        <f t="shared" si="17"/>
        <v>14159.677514152998</v>
      </c>
      <c r="S83" s="241">
        <f t="shared" si="17"/>
        <v>8526643.1618469823</v>
      </c>
      <c r="T83" s="241">
        <f t="shared" si="17"/>
        <v>12530003.015366988</v>
      </c>
      <c r="U83" s="241">
        <f t="shared" si="17"/>
        <v>7108130.8332484458</v>
      </c>
      <c r="V83" s="241">
        <f t="shared" si="17"/>
        <v>17686472.219237376</v>
      </c>
      <c r="W83" s="241">
        <f t="shared" si="17"/>
        <v>309.94692756380095</v>
      </c>
      <c r="X83" s="241">
        <f t="shared" si="17"/>
        <v>24748.258596623105</v>
      </c>
      <c r="Y83" s="241">
        <f t="shared" si="17"/>
        <v>109140.33200053</v>
      </c>
      <c r="Z83" s="241">
        <f t="shared" si="17"/>
        <v>287467.34310943045</v>
      </c>
      <c r="AA83" s="241">
        <f t="shared" si="17"/>
        <v>3646031.1122597461</v>
      </c>
      <c r="AB83" s="241">
        <f t="shared" si="17"/>
        <v>261446.39757074829</v>
      </c>
      <c r="AC83" s="241">
        <f t="shared" si="17"/>
        <v>2622335.660757185</v>
      </c>
      <c r="AD83" s="241">
        <f t="shared" si="17"/>
        <v>8688867.7357844207</v>
      </c>
      <c r="AE83" s="241">
        <f t="shared" si="17"/>
        <v>7674122.0015927153</v>
      </c>
      <c r="AF83" s="241">
        <f t="shared" si="17"/>
        <v>22939481.897385936</v>
      </c>
      <c r="AG83" s="241">
        <f t="shared" si="17"/>
        <v>4107303.8184204325</v>
      </c>
      <c r="AH83" s="241">
        <f t="shared" si="17"/>
        <v>-172359.577751901</v>
      </c>
      <c r="AI83" s="241">
        <f t="shared" si="17"/>
        <v>-1610.3175944168379</v>
      </c>
      <c r="AJ83" s="241">
        <f t="shared" si="17"/>
        <v>-576315.70695396501</v>
      </c>
      <c r="AK83" s="241">
        <f t="shared" si="17"/>
        <v>0</v>
      </c>
      <c r="AL83" s="241">
        <f t="shared" si="17"/>
        <v>-5403.3168965123787</v>
      </c>
      <c r="AM83" s="241">
        <f t="shared" si="17"/>
        <v>0</v>
      </c>
      <c r="AN83" s="241">
        <f t="shared" si="17"/>
        <v>-5419847.8909379179</v>
      </c>
      <c r="AO83" s="241">
        <f t="shared" si="17"/>
        <v>0</v>
      </c>
      <c r="AP83" s="369"/>
      <c r="AQ83" s="369"/>
    </row>
    <row r="84" spans="2:43" x14ac:dyDescent="0.25">
      <c r="D84"/>
      <c r="E84" s="52"/>
      <c r="F84" s="73"/>
      <c r="H84" s="211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</row>
    <row r="85" spans="2:43" x14ac:dyDescent="0.25">
      <c r="D85" s="76"/>
      <c r="E85" t="s">
        <v>190</v>
      </c>
      <c r="G85" t="s">
        <v>107</v>
      </c>
      <c r="H85" s="231">
        <f>H68 - H83</f>
        <v>345637350.54910934</v>
      </c>
      <c r="I85" s="369" t="s">
        <v>359</v>
      </c>
      <c r="J85" s="436"/>
      <c r="K85" s="436"/>
      <c r="L85" s="436"/>
      <c r="M85" s="436"/>
      <c r="N85" s="436"/>
      <c r="O85" s="436"/>
      <c r="P85" s="436"/>
      <c r="Q85" s="436"/>
      <c r="R85" s="436"/>
      <c r="S85" s="436"/>
      <c r="T85" s="436"/>
      <c r="U85" s="436"/>
      <c r="V85" s="436"/>
      <c r="W85" s="436"/>
      <c r="X85" s="436"/>
      <c r="Y85" s="436"/>
      <c r="Z85" s="436"/>
      <c r="AA85" s="436"/>
      <c r="AB85" s="436"/>
      <c r="AC85" s="436"/>
      <c r="AD85" s="436"/>
      <c r="AE85" s="436"/>
      <c r="AF85" s="436"/>
      <c r="AG85" s="436"/>
      <c r="AH85" s="436"/>
      <c r="AI85" s="436"/>
      <c r="AJ85" s="436"/>
      <c r="AK85" s="436"/>
      <c r="AL85" s="436"/>
      <c r="AM85" s="436"/>
      <c r="AN85" s="436"/>
      <c r="AO85" s="436"/>
      <c r="AP85" s="369"/>
      <c r="AQ85" s="369" t="s">
        <v>1241</v>
      </c>
    </row>
    <row r="86" spans="2:43" x14ac:dyDescent="0.25">
      <c r="C86" s="76"/>
      <c r="I86" s="369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369"/>
      <c r="AQ86" s="369"/>
    </row>
    <row r="87" spans="2:43" x14ac:dyDescent="0.25">
      <c r="B87" s="82" t="s">
        <v>1111</v>
      </c>
      <c r="C87" s="82"/>
      <c r="D87" s="82"/>
      <c r="E87" s="82"/>
      <c r="F87" s="82"/>
      <c r="G87" s="82"/>
      <c r="H87" s="82"/>
      <c r="I87" s="82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136"/>
      <c r="Z87" s="136"/>
      <c r="AA87" s="136"/>
      <c r="AB87" s="136"/>
      <c r="AC87" s="136"/>
      <c r="AD87" s="136"/>
      <c r="AE87" s="136"/>
      <c r="AF87" s="136"/>
      <c r="AG87" s="136"/>
      <c r="AH87" s="136"/>
      <c r="AI87" s="136"/>
      <c r="AJ87" s="136"/>
      <c r="AK87" s="136"/>
      <c r="AL87" s="136"/>
      <c r="AM87" s="136"/>
      <c r="AN87" s="136"/>
      <c r="AO87" s="136"/>
      <c r="AP87" s="65"/>
      <c r="AQ87" s="65"/>
    </row>
    <row r="88" spans="2:43" x14ac:dyDescent="0.25">
      <c r="C88" s="73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</row>
    <row r="89" spans="2:43" x14ac:dyDescent="0.25">
      <c r="C89" s="5" t="str">
        <f ca="1">INDEX('Version control'!$H$36:$H$62,MATCH($A$1,'Version control'!$F$36:$F$62,0),1)&amp;"-C: Grouping of residual bands where a band has insufficient customers"</f>
        <v>Section 519-C: Grouping of residual bands where a band has insufficient customers</v>
      </c>
      <c r="D89" s="5"/>
      <c r="E89" s="5"/>
      <c r="F89" s="5"/>
      <c r="G89" s="5"/>
      <c r="H89" s="5"/>
      <c r="I89" s="5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2:43" x14ac:dyDescent="0.25">
      <c r="C90" s="73"/>
      <c r="D90"/>
      <c r="E90"/>
      <c r="J90" s="198"/>
      <c r="K90" s="198"/>
      <c r="L90" s="198"/>
      <c r="M90" s="198"/>
      <c r="N90" s="198"/>
      <c r="O90" s="198"/>
      <c r="P90" s="198"/>
      <c r="Q90" s="198"/>
      <c r="R90" s="198"/>
      <c r="S90" s="198"/>
      <c r="T90" s="198"/>
      <c r="U90" s="198"/>
      <c r="V90" s="198"/>
      <c r="W90" s="198"/>
      <c r="X90" s="198"/>
      <c r="Y90" s="198"/>
      <c r="Z90" s="198"/>
      <c r="AA90" s="198"/>
      <c r="AB90" s="198"/>
      <c r="AC90" s="198"/>
      <c r="AD90" s="198"/>
      <c r="AE90" s="198"/>
      <c r="AF90" s="198"/>
      <c r="AG90" s="198"/>
      <c r="AH90" s="198"/>
      <c r="AI90" s="198"/>
      <c r="AJ90" s="198"/>
      <c r="AK90" s="198"/>
      <c r="AL90" s="198"/>
      <c r="AM90" s="198"/>
      <c r="AN90" s="198"/>
      <c r="AO90" s="198"/>
    </row>
    <row r="91" spans="2:43" x14ac:dyDescent="0.25">
      <c r="C91" s="73"/>
      <c r="D91" s="73" t="s">
        <v>1238</v>
      </c>
      <c r="E91"/>
      <c r="I91" t="s">
        <v>359</v>
      </c>
      <c r="J91" s="198"/>
      <c r="K91" s="198"/>
      <c r="L91" s="198"/>
      <c r="M91" s="198"/>
      <c r="N91" s="198"/>
      <c r="O91" s="198"/>
      <c r="P91" s="198"/>
      <c r="Q91" s="198"/>
      <c r="R91" s="198"/>
      <c r="S91" s="198"/>
      <c r="T91" s="198"/>
      <c r="U91" s="198"/>
      <c r="V91" s="198"/>
      <c r="W91" s="198"/>
      <c r="X91" s="198"/>
      <c r="Y91" s="198"/>
      <c r="Z91" s="198"/>
      <c r="AA91" s="198"/>
      <c r="AB91" s="198"/>
      <c r="AC91" s="198"/>
      <c r="AD91" s="198"/>
      <c r="AE91" s="198"/>
      <c r="AF91" s="198"/>
      <c r="AG91" s="198"/>
      <c r="AH91" s="198"/>
      <c r="AI91" s="198"/>
      <c r="AJ91" s="198"/>
      <c r="AK91" s="198"/>
      <c r="AL91" s="198"/>
      <c r="AM91" s="198"/>
      <c r="AN91" s="198"/>
      <c r="AO91" s="198"/>
      <c r="AQ91" t="s">
        <v>1234</v>
      </c>
    </row>
    <row r="92" spans="2:43" x14ac:dyDescent="0.25">
      <c r="C92" s="73"/>
      <c r="D92" s="73" t="s">
        <v>1112</v>
      </c>
      <c r="E92"/>
      <c r="J92" s="198"/>
      <c r="K92" s="198"/>
      <c r="L92" s="198"/>
      <c r="M92" s="198"/>
      <c r="N92" s="198"/>
      <c r="O92" s="198"/>
      <c r="P92" s="198"/>
      <c r="Q92" s="198"/>
      <c r="R92" s="198"/>
      <c r="S92" s="198"/>
      <c r="T92" s="198"/>
      <c r="U92" s="198"/>
      <c r="V92" s="198"/>
      <c r="W92" s="198"/>
      <c r="X92" s="198"/>
      <c r="Y92" s="198"/>
      <c r="Z92" s="198"/>
      <c r="AA92" s="198"/>
      <c r="AB92" s="198"/>
      <c r="AC92" s="198"/>
      <c r="AD92" s="198"/>
      <c r="AE92" s="198"/>
      <c r="AF92" s="198"/>
      <c r="AG92" s="198"/>
      <c r="AH92" s="198"/>
      <c r="AI92" s="198"/>
      <c r="AJ92" s="198"/>
      <c r="AK92" s="198"/>
      <c r="AL92" s="198"/>
      <c r="AM92" s="198"/>
      <c r="AN92" s="198"/>
      <c r="AO92" s="198"/>
    </row>
    <row r="93" spans="2:43" x14ac:dyDescent="0.25">
      <c r="C93" s="73"/>
      <c r="D93"/>
      <c r="E93"/>
      <c r="J93" s="198"/>
      <c r="K93" s="198"/>
      <c r="L93" s="198"/>
      <c r="M93" s="198"/>
      <c r="N93" s="198"/>
      <c r="O93" s="198"/>
      <c r="P93" s="198"/>
      <c r="Q93" s="198"/>
      <c r="R93" s="198"/>
      <c r="S93" s="198"/>
      <c r="T93" s="198"/>
      <c r="U93" s="198"/>
      <c r="V93" s="198"/>
      <c r="W93" s="198"/>
      <c r="X93" s="198"/>
      <c r="Y93" s="198"/>
      <c r="Z93" s="198"/>
      <c r="AA93" s="198"/>
      <c r="AB93" s="198"/>
      <c r="AC93" s="198"/>
      <c r="AD93" s="198"/>
      <c r="AE93" s="198"/>
      <c r="AF93" s="198"/>
      <c r="AG93" s="198"/>
      <c r="AH93" s="198"/>
      <c r="AI93" s="198"/>
      <c r="AJ93" s="198"/>
      <c r="AK93" s="198"/>
      <c r="AL93" s="198"/>
      <c r="AM93" s="198"/>
      <c r="AN93" s="198"/>
      <c r="AO93" s="198"/>
    </row>
    <row r="94" spans="2:43" x14ac:dyDescent="0.25">
      <c r="C94" s="73"/>
      <c r="D94"/>
      <c r="E94" s="52" t="s">
        <v>1113</v>
      </c>
      <c r="J94" s="198"/>
      <c r="K94" s="198"/>
      <c r="L94" s="198"/>
      <c r="M94" s="198"/>
      <c r="N94" s="198"/>
      <c r="O94" s="198"/>
      <c r="P94" s="198"/>
      <c r="Q94" s="198"/>
      <c r="R94" s="198"/>
      <c r="S94" s="198"/>
      <c r="T94" s="198"/>
      <c r="U94" s="198"/>
      <c r="V94" s="198"/>
      <c r="W94" s="198"/>
      <c r="X94" s="198"/>
      <c r="Y94" s="198"/>
      <c r="Z94" s="198"/>
      <c r="AA94" s="198"/>
      <c r="AB94" s="198"/>
      <c r="AC94" s="198"/>
      <c r="AD94" s="198"/>
      <c r="AE94" s="198"/>
      <c r="AF94" s="198"/>
      <c r="AG94" s="198"/>
      <c r="AH94" s="198"/>
      <c r="AI94" s="198"/>
      <c r="AJ94" s="198"/>
      <c r="AK94" s="198"/>
      <c r="AL94" s="198"/>
      <c r="AM94" s="198"/>
      <c r="AN94" s="198"/>
      <c r="AO94" s="198"/>
    </row>
    <row r="95" spans="2:43" x14ac:dyDescent="0.25">
      <c r="C95" s="73"/>
      <c r="D95"/>
      <c r="E95"/>
      <c r="F95" s="80" t="s">
        <v>1033</v>
      </c>
      <c r="G95" s="80" t="s">
        <v>426</v>
      </c>
      <c r="H95" s="80"/>
      <c r="I95" s="80"/>
      <c r="J95" s="437">
        <f>'Fixed inputs'!J177</f>
        <v>1</v>
      </c>
      <c r="K95" s="438"/>
      <c r="L95" s="438"/>
      <c r="M95" s="437">
        <f>'Fixed inputs'!M177</f>
        <v>1</v>
      </c>
      <c r="N95" s="437">
        <f>'Fixed inputs'!N177</f>
        <v>2</v>
      </c>
      <c r="O95" s="437">
        <f>'Fixed inputs'!O177</f>
        <v>3</v>
      </c>
      <c r="P95" s="437">
        <f>'Fixed inputs'!P177</f>
        <v>4</v>
      </c>
      <c r="Q95" s="438"/>
      <c r="R95" s="438"/>
      <c r="S95" s="437">
        <f>'Fixed inputs'!S177</f>
        <v>1</v>
      </c>
      <c r="T95" s="437">
        <f>'Fixed inputs'!T177</f>
        <v>2</v>
      </c>
      <c r="U95" s="437">
        <f>'Fixed inputs'!U177</f>
        <v>3</v>
      </c>
      <c r="V95" s="437">
        <f>'Fixed inputs'!V177</f>
        <v>4</v>
      </c>
      <c r="W95" s="438"/>
      <c r="X95" s="437">
        <f>'Fixed inputs'!X177</f>
        <v>1</v>
      </c>
      <c r="Y95" s="437">
        <f>'Fixed inputs'!Y177</f>
        <v>2</v>
      </c>
      <c r="Z95" s="437">
        <f>'Fixed inputs'!Z177</f>
        <v>3</v>
      </c>
      <c r="AA95" s="437">
        <f>'Fixed inputs'!AA177</f>
        <v>4</v>
      </c>
      <c r="AB95" s="438"/>
      <c r="AC95" s="437">
        <f>'Fixed inputs'!AC177</f>
        <v>1</v>
      </c>
      <c r="AD95" s="437">
        <f>'Fixed inputs'!AD177</f>
        <v>2</v>
      </c>
      <c r="AE95" s="437">
        <f>'Fixed inputs'!AE177</f>
        <v>3</v>
      </c>
      <c r="AF95" s="437">
        <f>'Fixed inputs'!AF177</f>
        <v>4</v>
      </c>
      <c r="AG95" s="437">
        <f>'Fixed inputs'!AG177</f>
        <v>1</v>
      </c>
      <c r="AH95" s="438"/>
      <c r="AI95" s="438"/>
      <c r="AJ95" s="438"/>
      <c r="AK95" s="438"/>
      <c r="AL95" s="438"/>
      <c r="AM95" s="438"/>
      <c r="AN95" s="438"/>
      <c r="AO95" s="438"/>
    </row>
    <row r="96" spans="2:43" x14ac:dyDescent="0.25">
      <c r="C96" s="73"/>
      <c r="D96"/>
      <c r="E96"/>
      <c r="F96" t="s">
        <v>1034</v>
      </c>
      <c r="G96" t="s">
        <v>426</v>
      </c>
      <c r="J96" s="439">
        <f>'Fixed inputs'!J178</f>
        <v>1</v>
      </c>
      <c r="K96" s="440"/>
      <c r="L96" s="440"/>
      <c r="M96" s="439">
        <f>'Fixed inputs'!M178</f>
        <v>1</v>
      </c>
      <c r="N96" s="439">
        <f>'Fixed inputs'!N178</f>
        <v>1</v>
      </c>
      <c r="O96" s="439">
        <f>'Fixed inputs'!O178</f>
        <v>2</v>
      </c>
      <c r="P96" s="439">
        <f>'Fixed inputs'!P178</f>
        <v>3</v>
      </c>
      <c r="Q96" s="440"/>
      <c r="R96" s="440"/>
      <c r="S96" s="439">
        <f>'Fixed inputs'!S178</f>
        <v>1</v>
      </c>
      <c r="T96" s="439">
        <f>'Fixed inputs'!T178</f>
        <v>1</v>
      </c>
      <c r="U96" s="439">
        <f>'Fixed inputs'!U178</f>
        <v>2</v>
      </c>
      <c r="V96" s="439">
        <f>'Fixed inputs'!V178</f>
        <v>3</v>
      </c>
      <c r="W96" s="440"/>
      <c r="X96" s="439">
        <f>'Fixed inputs'!X178</f>
        <v>1</v>
      </c>
      <c r="Y96" s="439">
        <f>'Fixed inputs'!Y178</f>
        <v>1</v>
      </c>
      <c r="Z96" s="439">
        <f>'Fixed inputs'!Z178</f>
        <v>2</v>
      </c>
      <c r="AA96" s="439">
        <f>'Fixed inputs'!AA178</f>
        <v>3</v>
      </c>
      <c r="AB96" s="440"/>
      <c r="AC96" s="439">
        <f>'Fixed inputs'!AC178</f>
        <v>1</v>
      </c>
      <c r="AD96" s="439">
        <f>'Fixed inputs'!AD178</f>
        <v>1</v>
      </c>
      <c r="AE96" s="439">
        <f>'Fixed inputs'!AE178</f>
        <v>2</v>
      </c>
      <c r="AF96" s="439">
        <f>'Fixed inputs'!AF178</f>
        <v>3</v>
      </c>
      <c r="AG96" s="439">
        <f>'Fixed inputs'!AG178</f>
        <v>1</v>
      </c>
      <c r="AH96" s="440"/>
      <c r="AI96" s="440"/>
      <c r="AJ96" s="440"/>
      <c r="AK96" s="440"/>
      <c r="AL96" s="440"/>
      <c r="AM96" s="440"/>
      <c r="AN96" s="440"/>
      <c r="AO96" s="440"/>
    </row>
    <row r="97" spans="3:41" x14ac:dyDescent="0.25">
      <c r="C97" s="73"/>
      <c r="D97"/>
      <c r="E97"/>
      <c r="F97" t="s">
        <v>1035</v>
      </c>
      <c r="G97" t="s">
        <v>426</v>
      </c>
      <c r="J97" s="439">
        <f>'Fixed inputs'!J179</f>
        <v>1</v>
      </c>
      <c r="K97" s="440"/>
      <c r="L97" s="440"/>
      <c r="M97" s="439">
        <f>'Fixed inputs'!M179</f>
        <v>1</v>
      </c>
      <c r="N97" s="439">
        <f>'Fixed inputs'!N179</f>
        <v>2</v>
      </c>
      <c r="O97" s="439">
        <f>'Fixed inputs'!O179</f>
        <v>2</v>
      </c>
      <c r="P97" s="439">
        <f>'Fixed inputs'!P179</f>
        <v>3</v>
      </c>
      <c r="Q97" s="440"/>
      <c r="R97" s="440"/>
      <c r="S97" s="439">
        <f>'Fixed inputs'!S179</f>
        <v>1</v>
      </c>
      <c r="T97" s="439">
        <f>'Fixed inputs'!T179</f>
        <v>2</v>
      </c>
      <c r="U97" s="439">
        <f>'Fixed inputs'!U179</f>
        <v>2</v>
      </c>
      <c r="V97" s="439">
        <f>'Fixed inputs'!V179</f>
        <v>3</v>
      </c>
      <c r="W97" s="440"/>
      <c r="X97" s="439">
        <f>'Fixed inputs'!X179</f>
        <v>1</v>
      </c>
      <c r="Y97" s="439">
        <f>'Fixed inputs'!Y179</f>
        <v>2</v>
      </c>
      <c r="Z97" s="439">
        <f>'Fixed inputs'!Z179</f>
        <v>2</v>
      </c>
      <c r="AA97" s="439">
        <f>'Fixed inputs'!AA179</f>
        <v>3</v>
      </c>
      <c r="AB97" s="440"/>
      <c r="AC97" s="439">
        <f>'Fixed inputs'!AC179</f>
        <v>1</v>
      </c>
      <c r="AD97" s="439">
        <f>'Fixed inputs'!AD179</f>
        <v>2</v>
      </c>
      <c r="AE97" s="439">
        <f>'Fixed inputs'!AE179</f>
        <v>2</v>
      </c>
      <c r="AF97" s="439">
        <f>'Fixed inputs'!AF179</f>
        <v>3</v>
      </c>
      <c r="AG97" s="439">
        <f>'Fixed inputs'!AG179</f>
        <v>1</v>
      </c>
      <c r="AH97" s="440"/>
      <c r="AI97" s="440"/>
      <c r="AJ97" s="440"/>
      <c r="AK97" s="440"/>
      <c r="AL97" s="440"/>
      <c r="AM97" s="440"/>
      <c r="AN97" s="440"/>
      <c r="AO97" s="440"/>
    </row>
    <row r="98" spans="3:41" x14ac:dyDescent="0.25">
      <c r="C98" s="73"/>
      <c r="D98"/>
      <c r="E98"/>
      <c r="F98" t="s">
        <v>1036</v>
      </c>
      <c r="G98" t="s">
        <v>426</v>
      </c>
      <c r="J98" s="439">
        <f>'Fixed inputs'!J180</f>
        <v>1</v>
      </c>
      <c r="K98" s="440"/>
      <c r="L98" s="440"/>
      <c r="M98" s="439">
        <f>'Fixed inputs'!M180</f>
        <v>1</v>
      </c>
      <c r="N98" s="439">
        <f>'Fixed inputs'!N180</f>
        <v>2</v>
      </c>
      <c r="O98" s="439">
        <f>'Fixed inputs'!O180</f>
        <v>3</v>
      </c>
      <c r="P98" s="439">
        <f>'Fixed inputs'!P180</f>
        <v>3</v>
      </c>
      <c r="Q98" s="440"/>
      <c r="R98" s="440"/>
      <c r="S98" s="439">
        <f>'Fixed inputs'!S180</f>
        <v>1</v>
      </c>
      <c r="T98" s="439">
        <f>'Fixed inputs'!T180</f>
        <v>2</v>
      </c>
      <c r="U98" s="439">
        <f>'Fixed inputs'!U180</f>
        <v>3</v>
      </c>
      <c r="V98" s="439">
        <f>'Fixed inputs'!V180</f>
        <v>3</v>
      </c>
      <c r="W98" s="440"/>
      <c r="X98" s="439">
        <f>'Fixed inputs'!X180</f>
        <v>1</v>
      </c>
      <c r="Y98" s="439">
        <f>'Fixed inputs'!Y180</f>
        <v>2</v>
      </c>
      <c r="Z98" s="439">
        <f>'Fixed inputs'!Z180</f>
        <v>3</v>
      </c>
      <c r="AA98" s="439">
        <f>'Fixed inputs'!AA180</f>
        <v>3</v>
      </c>
      <c r="AB98" s="440"/>
      <c r="AC98" s="439">
        <f>'Fixed inputs'!AC180</f>
        <v>1</v>
      </c>
      <c r="AD98" s="439">
        <f>'Fixed inputs'!AD180</f>
        <v>2</v>
      </c>
      <c r="AE98" s="439">
        <f>'Fixed inputs'!AE180</f>
        <v>3</v>
      </c>
      <c r="AF98" s="439">
        <f>'Fixed inputs'!AF180</f>
        <v>3</v>
      </c>
      <c r="AG98" s="439">
        <f>'Fixed inputs'!AG180</f>
        <v>1</v>
      </c>
      <c r="AH98" s="440"/>
      <c r="AI98" s="440"/>
      <c r="AJ98" s="440"/>
      <c r="AK98" s="440"/>
      <c r="AL98" s="440"/>
      <c r="AM98" s="440"/>
      <c r="AN98" s="440"/>
      <c r="AO98" s="440"/>
    </row>
    <row r="99" spans="3:41" x14ac:dyDescent="0.25">
      <c r="C99" s="73"/>
      <c r="D99"/>
      <c r="E99"/>
      <c r="F99" t="s">
        <v>1037</v>
      </c>
      <c r="G99" t="s">
        <v>426</v>
      </c>
      <c r="J99" s="439">
        <f>'Fixed inputs'!J181</f>
        <v>1</v>
      </c>
      <c r="K99" s="440"/>
      <c r="L99" s="440"/>
      <c r="M99" s="439">
        <f>'Fixed inputs'!M181</f>
        <v>1</v>
      </c>
      <c r="N99" s="439">
        <f>'Fixed inputs'!N181</f>
        <v>1</v>
      </c>
      <c r="O99" s="439">
        <f>'Fixed inputs'!O181</f>
        <v>2</v>
      </c>
      <c r="P99" s="439">
        <f>'Fixed inputs'!P181</f>
        <v>2</v>
      </c>
      <c r="Q99" s="440"/>
      <c r="R99" s="440"/>
      <c r="S99" s="439">
        <f>'Fixed inputs'!S181</f>
        <v>1</v>
      </c>
      <c r="T99" s="439">
        <f>'Fixed inputs'!T181</f>
        <v>1</v>
      </c>
      <c r="U99" s="439">
        <f>'Fixed inputs'!U181</f>
        <v>2</v>
      </c>
      <c r="V99" s="439">
        <f>'Fixed inputs'!V181</f>
        <v>2</v>
      </c>
      <c r="W99" s="440"/>
      <c r="X99" s="439">
        <f>'Fixed inputs'!X181</f>
        <v>1</v>
      </c>
      <c r="Y99" s="439">
        <f>'Fixed inputs'!Y181</f>
        <v>1</v>
      </c>
      <c r="Z99" s="439">
        <f>'Fixed inputs'!Z181</f>
        <v>2</v>
      </c>
      <c r="AA99" s="439">
        <f>'Fixed inputs'!AA181</f>
        <v>2</v>
      </c>
      <c r="AB99" s="440"/>
      <c r="AC99" s="439">
        <f>'Fixed inputs'!AC181</f>
        <v>1</v>
      </c>
      <c r="AD99" s="439">
        <f>'Fixed inputs'!AD181</f>
        <v>1</v>
      </c>
      <c r="AE99" s="439">
        <f>'Fixed inputs'!AE181</f>
        <v>2</v>
      </c>
      <c r="AF99" s="439">
        <f>'Fixed inputs'!AF181</f>
        <v>2</v>
      </c>
      <c r="AG99" s="439">
        <f>'Fixed inputs'!AG181</f>
        <v>1</v>
      </c>
      <c r="AH99" s="440"/>
      <c r="AI99" s="440"/>
      <c r="AJ99" s="440"/>
      <c r="AK99" s="440"/>
      <c r="AL99" s="440"/>
      <c r="AM99" s="440"/>
      <c r="AN99" s="440"/>
      <c r="AO99" s="440"/>
    </row>
    <row r="100" spans="3:41" x14ac:dyDescent="0.25">
      <c r="C100" s="73"/>
      <c r="D100"/>
      <c r="E100"/>
      <c r="F100" t="s">
        <v>1038</v>
      </c>
      <c r="G100" t="s">
        <v>426</v>
      </c>
      <c r="J100" s="439">
        <f>'Fixed inputs'!J182</f>
        <v>1</v>
      </c>
      <c r="K100" s="440"/>
      <c r="L100" s="440"/>
      <c r="M100" s="439">
        <f>'Fixed inputs'!M182</f>
        <v>1</v>
      </c>
      <c r="N100" s="439">
        <f>'Fixed inputs'!N182</f>
        <v>1</v>
      </c>
      <c r="O100" s="439">
        <f>'Fixed inputs'!O182</f>
        <v>1</v>
      </c>
      <c r="P100" s="439">
        <f>'Fixed inputs'!P182</f>
        <v>2</v>
      </c>
      <c r="Q100" s="440"/>
      <c r="R100" s="440"/>
      <c r="S100" s="439">
        <f>'Fixed inputs'!S182</f>
        <v>1</v>
      </c>
      <c r="T100" s="439">
        <f>'Fixed inputs'!T182</f>
        <v>1</v>
      </c>
      <c r="U100" s="439">
        <f>'Fixed inputs'!U182</f>
        <v>1</v>
      </c>
      <c r="V100" s="439">
        <f>'Fixed inputs'!V182</f>
        <v>2</v>
      </c>
      <c r="W100" s="440"/>
      <c r="X100" s="439">
        <f>'Fixed inputs'!X182</f>
        <v>1</v>
      </c>
      <c r="Y100" s="439">
        <f>'Fixed inputs'!Y182</f>
        <v>1</v>
      </c>
      <c r="Z100" s="439">
        <f>'Fixed inputs'!Z182</f>
        <v>1</v>
      </c>
      <c r="AA100" s="439">
        <f>'Fixed inputs'!AA182</f>
        <v>2</v>
      </c>
      <c r="AB100" s="440"/>
      <c r="AC100" s="439">
        <f>'Fixed inputs'!AC182</f>
        <v>1</v>
      </c>
      <c r="AD100" s="439">
        <f>'Fixed inputs'!AD182</f>
        <v>1</v>
      </c>
      <c r="AE100" s="439">
        <f>'Fixed inputs'!AE182</f>
        <v>1</v>
      </c>
      <c r="AF100" s="439">
        <f>'Fixed inputs'!AF182</f>
        <v>2</v>
      </c>
      <c r="AG100" s="439">
        <f>'Fixed inputs'!AG182</f>
        <v>1</v>
      </c>
      <c r="AH100" s="440"/>
      <c r="AI100" s="440"/>
      <c r="AJ100" s="440"/>
      <c r="AK100" s="440"/>
      <c r="AL100" s="440"/>
      <c r="AM100" s="440"/>
      <c r="AN100" s="440"/>
      <c r="AO100" s="440"/>
    </row>
    <row r="101" spans="3:41" x14ac:dyDescent="0.25">
      <c r="C101" s="73"/>
      <c r="D101"/>
      <c r="E101"/>
      <c r="F101" t="s">
        <v>1039</v>
      </c>
      <c r="G101" t="s">
        <v>426</v>
      </c>
      <c r="J101" s="439">
        <f>'Fixed inputs'!J183</f>
        <v>1</v>
      </c>
      <c r="K101" s="440"/>
      <c r="L101" s="440"/>
      <c r="M101" s="439">
        <f>'Fixed inputs'!M183</f>
        <v>1</v>
      </c>
      <c r="N101" s="439">
        <f>'Fixed inputs'!N183</f>
        <v>2</v>
      </c>
      <c r="O101" s="439">
        <f>'Fixed inputs'!O183</f>
        <v>2</v>
      </c>
      <c r="P101" s="439">
        <f>'Fixed inputs'!P183</f>
        <v>2</v>
      </c>
      <c r="Q101" s="440"/>
      <c r="R101" s="440"/>
      <c r="S101" s="439">
        <f>'Fixed inputs'!S183</f>
        <v>1</v>
      </c>
      <c r="T101" s="439">
        <f>'Fixed inputs'!T183</f>
        <v>2</v>
      </c>
      <c r="U101" s="439">
        <f>'Fixed inputs'!U183</f>
        <v>2</v>
      </c>
      <c r="V101" s="439">
        <f>'Fixed inputs'!V183</f>
        <v>2</v>
      </c>
      <c r="W101" s="440"/>
      <c r="X101" s="439">
        <f>'Fixed inputs'!X183</f>
        <v>1</v>
      </c>
      <c r="Y101" s="439">
        <f>'Fixed inputs'!Y183</f>
        <v>2</v>
      </c>
      <c r="Z101" s="439">
        <f>'Fixed inputs'!Z183</f>
        <v>2</v>
      </c>
      <c r="AA101" s="439">
        <f>'Fixed inputs'!AA183</f>
        <v>2</v>
      </c>
      <c r="AB101" s="440"/>
      <c r="AC101" s="439">
        <f>'Fixed inputs'!AC183</f>
        <v>1</v>
      </c>
      <c r="AD101" s="439">
        <f>'Fixed inputs'!AD183</f>
        <v>2</v>
      </c>
      <c r="AE101" s="439">
        <f>'Fixed inputs'!AE183</f>
        <v>2</v>
      </c>
      <c r="AF101" s="439">
        <f>'Fixed inputs'!AF183</f>
        <v>2</v>
      </c>
      <c r="AG101" s="439">
        <f>'Fixed inputs'!AG183</f>
        <v>1</v>
      </c>
      <c r="AH101" s="440"/>
      <c r="AI101" s="440"/>
      <c r="AJ101" s="440"/>
      <c r="AK101" s="440"/>
      <c r="AL101" s="440"/>
      <c r="AM101" s="440"/>
      <c r="AN101" s="440"/>
      <c r="AO101" s="440"/>
    </row>
    <row r="102" spans="3:41" x14ac:dyDescent="0.25">
      <c r="C102" s="73"/>
      <c r="D102"/>
      <c r="E102"/>
      <c r="F102" s="17" t="s">
        <v>1040</v>
      </c>
      <c r="G102" s="17" t="s">
        <v>426</v>
      </c>
      <c r="H102" s="17"/>
      <c r="I102" s="17"/>
      <c r="J102" s="441">
        <f>'Fixed inputs'!J184</f>
        <v>1</v>
      </c>
      <c r="K102" s="442"/>
      <c r="L102" s="442"/>
      <c r="M102" s="441">
        <f>'Fixed inputs'!M184</f>
        <v>1</v>
      </c>
      <c r="N102" s="441">
        <f>'Fixed inputs'!N184</f>
        <v>1</v>
      </c>
      <c r="O102" s="441">
        <f>'Fixed inputs'!O184</f>
        <v>1</v>
      </c>
      <c r="P102" s="441">
        <f>'Fixed inputs'!P184</f>
        <v>1</v>
      </c>
      <c r="Q102" s="442"/>
      <c r="R102" s="442"/>
      <c r="S102" s="441">
        <f>'Fixed inputs'!S184</f>
        <v>1</v>
      </c>
      <c r="T102" s="441">
        <f>'Fixed inputs'!T184</f>
        <v>1</v>
      </c>
      <c r="U102" s="441">
        <f>'Fixed inputs'!U184</f>
        <v>1</v>
      </c>
      <c r="V102" s="441">
        <f>'Fixed inputs'!V184</f>
        <v>1</v>
      </c>
      <c r="W102" s="442"/>
      <c r="X102" s="441">
        <f>'Fixed inputs'!X184</f>
        <v>1</v>
      </c>
      <c r="Y102" s="441">
        <f>'Fixed inputs'!Y184</f>
        <v>1</v>
      </c>
      <c r="Z102" s="441">
        <f>'Fixed inputs'!Z184</f>
        <v>1</v>
      </c>
      <c r="AA102" s="441">
        <f>'Fixed inputs'!AA184</f>
        <v>1</v>
      </c>
      <c r="AB102" s="442"/>
      <c r="AC102" s="441">
        <f>'Fixed inputs'!AC184</f>
        <v>1</v>
      </c>
      <c r="AD102" s="441">
        <f>'Fixed inputs'!AD184</f>
        <v>1</v>
      </c>
      <c r="AE102" s="441">
        <f>'Fixed inputs'!AE184</f>
        <v>1</v>
      </c>
      <c r="AF102" s="441">
        <f>'Fixed inputs'!AF184</f>
        <v>1</v>
      </c>
      <c r="AG102" s="441">
        <f>'Fixed inputs'!AG184</f>
        <v>1</v>
      </c>
      <c r="AH102" s="442"/>
      <c r="AI102" s="442"/>
      <c r="AJ102" s="442"/>
      <c r="AK102" s="442"/>
      <c r="AL102" s="442"/>
      <c r="AM102" s="442"/>
      <c r="AN102" s="442"/>
      <c r="AO102" s="442"/>
    </row>
    <row r="103" spans="3:41" x14ac:dyDescent="0.25">
      <c r="C103" s="73"/>
      <c r="D103"/>
      <c r="E103"/>
      <c r="J103" s="198"/>
      <c r="K103" s="198"/>
      <c r="L103" s="198"/>
      <c r="M103" s="198"/>
      <c r="N103" s="198"/>
      <c r="O103" s="198"/>
      <c r="P103" s="198"/>
      <c r="Q103" s="198"/>
      <c r="R103" s="198"/>
      <c r="S103" s="198"/>
      <c r="T103" s="198"/>
      <c r="U103" s="198"/>
      <c r="V103" s="198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  <c r="AN103" s="198"/>
      <c r="AO103" s="198"/>
    </row>
    <row r="104" spans="3:41" x14ac:dyDescent="0.25">
      <c r="C104" s="73"/>
      <c r="D104"/>
      <c r="E104" s="52" t="s">
        <v>1114</v>
      </c>
      <c r="J104" s="198"/>
      <c r="K104" s="198"/>
      <c r="L104" s="198"/>
      <c r="M104" s="198"/>
      <c r="N104" s="198"/>
      <c r="O104" s="198"/>
      <c r="P104" s="198"/>
      <c r="Q104" s="198"/>
      <c r="R104" s="198"/>
      <c r="S104" s="198"/>
      <c r="T104" s="198"/>
      <c r="U104" s="198"/>
      <c r="V104" s="198"/>
      <c r="W104" s="198"/>
      <c r="X104" s="198"/>
      <c r="Y104" s="198"/>
      <c r="Z104" s="198"/>
      <c r="AA104" s="198"/>
      <c r="AB104" s="198"/>
      <c r="AC104" s="198"/>
      <c r="AD104" s="198"/>
      <c r="AE104" s="198"/>
      <c r="AF104" s="198"/>
      <c r="AG104" s="198"/>
      <c r="AH104" s="198"/>
      <c r="AI104" s="198"/>
      <c r="AJ104" s="198"/>
      <c r="AK104" s="198"/>
      <c r="AL104" s="198"/>
      <c r="AM104" s="198"/>
      <c r="AN104" s="198"/>
      <c r="AO104" s="198"/>
    </row>
    <row r="105" spans="3:41" x14ac:dyDescent="0.25">
      <c r="C105" s="73"/>
      <c r="D105"/>
      <c r="E105"/>
      <c r="F105" s="80" t="s">
        <v>1033</v>
      </c>
      <c r="G105" s="80" t="s">
        <v>426</v>
      </c>
      <c r="H105" s="80"/>
      <c r="I105" s="80"/>
      <c r="J105" s="443">
        <f>MAX((J$35-1)*MAX($J$36:$AO$36)+J95,0)</f>
        <v>1</v>
      </c>
      <c r="K105" s="438"/>
      <c r="L105" s="438"/>
      <c r="M105" s="443">
        <f t="shared" ref="M105:P112" si="18">MAX((M$35-1)*MAX($J$36:$AO$36)+M95,0)</f>
        <v>5</v>
      </c>
      <c r="N105" s="443">
        <f t="shared" si="18"/>
        <v>6</v>
      </c>
      <c r="O105" s="443">
        <f t="shared" si="18"/>
        <v>7</v>
      </c>
      <c r="P105" s="443">
        <f t="shared" si="18"/>
        <v>8</v>
      </c>
      <c r="Q105" s="438"/>
      <c r="R105" s="438"/>
      <c r="S105" s="443">
        <f t="shared" ref="S105:V112" si="19">MAX((S$35-1)*MAX($J$36:$AO$36)+S95,0)</f>
        <v>9</v>
      </c>
      <c r="T105" s="443">
        <f t="shared" si="19"/>
        <v>10</v>
      </c>
      <c r="U105" s="443">
        <f t="shared" si="19"/>
        <v>11</v>
      </c>
      <c r="V105" s="443">
        <f t="shared" si="19"/>
        <v>12</v>
      </c>
      <c r="W105" s="438"/>
      <c r="X105" s="443">
        <f t="shared" ref="X105:AA112" si="20">MAX((X$35-1)*MAX($J$36:$AO$36)+X95,0)</f>
        <v>9</v>
      </c>
      <c r="Y105" s="443">
        <f t="shared" si="20"/>
        <v>10</v>
      </c>
      <c r="Z105" s="443">
        <f t="shared" si="20"/>
        <v>11</v>
      </c>
      <c r="AA105" s="443">
        <f t="shared" si="20"/>
        <v>12</v>
      </c>
      <c r="AB105" s="438"/>
      <c r="AC105" s="443">
        <f t="shared" ref="AC105:AG112" si="21">MAX((AC$35-1)*MAX($J$36:$AO$36)+AC95,0)</f>
        <v>13</v>
      </c>
      <c r="AD105" s="443">
        <f t="shared" si="21"/>
        <v>14</v>
      </c>
      <c r="AE105" s="443">
        <f t="shared" si="21"/>
        <v>15</v>
      </c>
      <c r="AF105" s="443">
        <f t="shared" si="21"/>
        <v>16</v>
      </c>
      <c r="AG105" s="443">
        <f t="shared" si="21"/>
        <v>17</v>
      </c>
      <c r="AH105" s="438"/>
      <c r="AI105" s="438"/>
      <c r="AJ105" s="438"/>
      <c r="AK105" s="438"/>
      <c r="AL105" s="438"/>
      <c r="AM105" s="438"/>
      <c r="AN105" s="438"/>
      <c r="AO105" s="438"/>
    </row>
    <row r="106" spans="3:41" x14ac:dyDescent="0.25">
      <c r="C106" s="73"/>
      <c r="D106"/>
      <c r="E106"/>
      <c r="F106" t="s">
        <v>1034</v>
      </c>
      <c r="G106" t="s">
        <v>426</v>
      </c>
      <c r="J106" s="444">
        <f t="shared" ref="J106:J112" si="22">MAX((J$35-1)*MAX($J$36:$AO$36)+J96,0)</f>
        <v>1</v>
      </c>
      <c r="K106" s="440"/>
      <c r="L106" s="440"/>
      <c r="M106" s="444">
        <f t="shared" si="18"/>
        <v>5</v>
      </c>
      <c r="N106" s="444">
        <f t="shared" si="18"/>
        <v>5</v>
      </c>
      <c r="O106" s="444">
        <f t="shared" si="18"/>
        <v>6</v>
      </c>
      <c r="P106" s="444">
        <f t="shared" si="18"/>
        <v>7</v>
      </c>
      <c r="Q106" s="440"/>
      <c r="R106" s="440"/>
      <c r="S106" s="444">
        <f t="shared" si="19"/>
        <v>9</v>
      </c>
      <c r="T106" s="444">
        <f t="shared" si="19"/>
        <v>9</v>
      </c>
      <c r="U106" s="444">
        <f t="shared" si="19"/>
        <v>10</v>
      </c>
      <c r="V106" s="444">
        <f t="shared" si="19"/>
        <v>11</v>
      </c>
      <c r="W106" s="440"/>
      <c r="X106" s="444">
        <f t="shared" si="20"/>
        <v>9</v>
      </c>
      <c r="Y106" s="444">
        <f t="shared" si="20"/>
        <v>9</v>
      </c>
      <c r="Z106" s="444">
        <f t="shared" si="20"/>
        <v>10</v>
      </c>
      <c r="AA106" s="444">
        <f t="shared" si="20"/>
        <v>11</v>
      </c>
      <c r="AB106" s="440"/>
      <c r="AC106" s="444">
        <f t="shared" si="21"/>
        <v>13</v>
      </c>
      <c r="AD106" s="444">
        <f t="shared" si="21"/>
        <v>13</v>
      </c>
      <c r="AE106" s="444">
        <f t="shared" si="21"/>
        <v>14</v>
      </c>
      <c r="AF106" s="444">
        <f t="shared" si="21"/>
        <v>15</v>
      </c>
      <c r="AG106" s="444">
        <f t="shared" si="21"/>
        <v>17</v>
      </c>
      <c r="AH106" s="440"/>
      <c r="AI106" s="440"/>
      <c r="AJ106" s="440"/>
      <c r="AK106" s="440"/>
      <c r="AL106" s="440"/>
      <c r="AM106" s="440"/>
      <c r="AN106" s="440"/>
      <c r="AO106" s="440"/>
    </row>
    <row r="107" spans="3:41" x14ac:dyDescent="0.25">
      <c r="C107" s="73"/>
      <c r="D107"/>
      <c r="E107"/>
      <c r="F107" t="s">
        <v>1035</v>
      </c>
      <c r="G107" t="s">
        <v>426</v>
      </c>
      <c r="J107" s="444">
        <f t="shared" si="22"/>
        <v>1</v>
      </c>
      <c r="K107" s="440"/>
      <c r="L107" s="440"/>
      <c r="M107" s="444">
        <f t="shared" si="18"/>
        <v>5</v>
      </c>
      <c r="N107" s="444">
        <f t="shared" si="18"/>
        <v>6</v>
      </c>
      <c r="O107" s="444">
        <f t="shared" si="18"/>
        <v>6</v>
      </c>
      <c r="P107" s="444">
        <f t="shared" si="18"/>
        <v>7</v>
      </c>
      <c r="Q107" s="440"/>
      <c r="R107" s="440"/>
      <c r="S107" s="444">
        <f t="shared" si="19"/>
        <v>9</v>
      </c>
      <c r="T107" s="444">
        <f t="shared" si="19"/>
        <v>10</v>
      </c>
      <c r="U107" s="444">
        <f t="shared" si="19"/>
        <v>10</v>
      </c>
      <c r="V107" s="444">
        <f t="shared" si="19"/>
        <v>11</v>
      </c>
      <c r="W107" s="440"/>
      <c r="X107" s="444">
        <f t="shared" si="20"/>
        <v>9</v>
      </c>
      <c r="Y107" s="444">
        <f t="shared" si="20"/>
        <v>10</v>
      </c>
      <c r="Z107" s="444">
        <f t="shared" si="20"/>
        <v>10</v>
      </c>
      <c r="AA107" s="444">
        <f t="shared" si="20"/>
        <v>11</v>
      </c>
      <c r="AB107" s="440"/>
      <c r="AC107" s="444">
        <f t="shared" si="21"/>
        <v>13</v>
      </c>
      <c r="AD107" s="444">
        <f t="shared" si="21"/>
        <v>14</v>
      </c>
      <c r="AE107" s="444">
        <f t="shared" si="21"/>
        <v>14</v>
      </c>
      <c r="AF107" s="444">
        <f t="shared" si="21"/>
        <v>15</v>
      </c>
      <c r="AG107" s="444">
        <f t="shared" si="21"/>
        <v>17</v>
      </c>
      <c r="AH107" s="440"/>
      <c r="AI107" s="440"/>
      <c r="AJ107" s="440"/>
      <c r="AK107" s="440"/>
      <c r="AL107" s="440"/>
      <c r="AM107" s="440"/>
      <c r="AN107" s="440"/>
      <c r="AO107" s="440"/>
    </row>
    <row r="108" spans="3:41" x14ac:dyDescent="0.25">
      <c r="C108" s="73"/>
      <c r="D108"/>
      <c r="E108"/>
      <c r="F108" t="s">
        <v>1036</v>
      </c>
      <c r="G108" t="s">
        <v>426</v>
      </c>
      <c r="J108" s="444">
        <f t="shared" si="22"/>
        <v>1</v>
      </c>
      <c r="K108" s="440"/>
      <c r="L108" s="440"/>
      <c r="M108" s="444">
        <f t="shared" si="18"/>
        <v>5</v>
      </c>
      <c r="N108" s="444">
        <f t="shared" si="18"/>
        <v>6</v>
      </c>
      <c r="O108" s="444">
        <f t="shared" si="18"/>
        <v>7</v>
      </c>
      <c r="P108" s="444">
        <f t="shared" si="18"/>
        <v>7</v>
      </c>
      <c r="Q108" s="440"/>
      <c r="R108" s="440"/>
      <c r="S108" s="444">
        <f t="shared" si="19"/>
        <v>9</v>
      </c>
      <c r="T108" s="444">
        <f t="shared" si="19"/>
        <v>10</v>
      </c>
      <c r="U108" s="444">
        <f t="shared" si="19"/>
        <v>11</v>
      </c>
      <c r="V108" s="444">
        <f t="shared" si="19"/>
        <v>11</v>
      </c>
      <c r="W108" s="440"/>
      <c r="X108" s="444">
        <f t="shared" si="20"/>
        <v>9</v>
      </c>
      <c r="Y108" s="444">
        <f t="shared" si="20"/>
        <v>10</v>
      </c>
      <c r="Z108" s="444">
        <f t="shared" si="20"/>
        <v>11</v>
      </c>
      <c r="AA108" s="444">
        <f t="shared" si="20"/>
        <v>11</v>
      </c>
      <c r="AB108" s="440"/>
      <c r="AC108" s="444">
        <f t="shared" si="21"/>
        <v>13</v>
      </c>
      <c r="AD108" s="444">
        <f t="shared" si="21"/>
        <v>14</v>
      </c>
      <c r="AE108" s="444">
        <f t="shared" si="21"/>
        <v>15</v>
      </c>
      <c r="AF108" s="444">
        <f t="shared" si="21"/>
        <v>15</v>
      </c>
      <c r="AG108" s="444">
        <f t="shared" si="21"/>
        <v>17</v>
      </c>
      <c r="AH108" s="440"/>
      <c r="AI108" s="440"/>
      <c r="AJ108" s="440"/>
      <c r="AK108" s="440"/>
      <c r="AL108" s="440"/>
      <c r="AM108" s="440"/>
      <c r="AN108" s="440"/>
      <c r="AO108" s="440"/>
    </row>
    <row r="109" spans="3:41" x14ac:dyDescent="0.25">
      <c r="C109" s="73"/>
      <c r="D109"/>
      <c r="E109"/>
      <c r="F109" t="s">
        <v>1037</v>
      </c>
      <c r="G109" t="s">
        <v>426</v>
      </c>
      <c r="J109" s="444">
        <f t="shared" si="22"/>
        <v>1</v>
      </c>
      <c r="K109" s="440"/>
      <c r="L109" s="440"/>
      <c r="M109" s="444">
        <f t="shared" si="18"/>
        <v>5</v>
      </c>
      <c r="N109" s="444">
        <f t="shared" si="18"/>
        <v>5</v>
      </c>
      <c r="O109" s="444">
        <f t="shared" si="18"/>
        <v>6</v>
      </c>
      <c r="P109" s="444">
        <f t="shared" si="18"/>
        <v>6</v>
      </c>
      <c r="Q109" s="440"/>
      <c r="R109" s="440"/>
      <c r="S109" s="444">
        <f t="shared" si="19"/>
        <v>9</v>
      </c>
      <c r="T109" s="444">
        <f t="shared" si="19"/>
        <v>9</v>
      </c>
      <c r="U109" s="444">
        <f t="shared" si="19"/>
        <v>10</v>
      </c>
      <c r="V109" s="444">
        <f t="shared" si="19"/>
        <v>10</v>
      </c>
      <c r="W109" s="440"/>
      <c r="X109" s="444">
        <f t="shared" si="20"/>
        <v>9</v>
      </c>
      <c r="Y109" s="444">
        <f t="shared" si="20"/>
        <v>9</v>
      </c>
      <c r="Z109" s="444">
        <f t="shared" si="20"/>
        <v>10</v>
      </c>
      <c r="AA109" s="444">
        <f t="shared" si="20"/>
        <v>10</v>
      </c>
      <c r="AB109" s="440"/>
      <c r="AC109" s="444">
        <f t="shared" si="21"/>
        <v>13</v>
      </c>
      <c r="AD109" s="444">
        <f t="shared" si="21"/>
        <v>13</v>
      </c>
      <c r="AE109" s="444">
        <f t="shared" si="21"/>
        <v>14</v>
      </c>
      <c r="AF109" s="444">
        <f t="shared" si="21"/>
        <v>14</v>
      </c>
      <c r="AG109" s="444">
        <f t="shared" si="21"/>
        <v>17</v>
      </c>
      <c r="AH109" s="440"/>
      <c r="AI109" s="440"/>
      <c r="AJ109" s="440"/>
      <c r="AK109" s="440"/>
      <c r="AL109" s="440"/>
      <c r="AM109" s="440"/>
      <c r="AN109" s="440"/>
      <c r="AO109" s="440"/>
    </row>
    <row r="110" spans="3:41" x14ac:dyDescent="0.25">
      <c r="C110" s="73"/>
      <c r="D110"/>
      <c r="E110"/>
      <c r="F110" t="s">
        <v>1038</v>
      </c>
      <c r="G110" t="s">
        <v>426</v>
      </c>
      <c r="J110" s="444">
        <f t="shared" si="22"/>
        <v>1</v>
      </c>
      <c r="K110" s="440"/>
      <c r="L110" s="440"/>
      <c r="M110" s="444">
        <f t="shared" si="18"/>
        <v>5</v>
      </c>
      <c r="N110" s="444">
        <f t="shared" si="18"/>
        <v>5</v>
      </c>
      <c r="O110" s="444">
        <f t="shared" si="18"/>
        <v>5</v>
      </c>
      <c r="P110" s="444">
        <f t="shared" si="18"/>
        <v>6</v>
      </c>
      <c r="Q110" s="440"/>
      <c r="R110" s="440"/>
      <c r="S110" s="444">
        <f t="shared" si="19"/>
        <v>9</v>
      </c>
      <c r="T110" s="444">
        <f t="shared" si="19"/>
        <v>9</v>
      </c>
      <c r="U110" s="444">
        <f t="shared" si="19"/>
        <v>9</v>
      </c>
      <c r="V110" s="444">
        <f t="shared" si="19"/>
        <v>10</v>
      </c>
      <c r="W110" s="440"/>
      <c r="X110" s="444">
        <f t="shared" si="20"/>
        <v>9</v>
      </c>
      <c r="Y110" s="444">
        <f t="shared" si="20"/>
        <v>9</v>
      </c>
      <c r="Z110" s="444">
        <f t="shared" si="20"/>
        <v>9</v>
      </c>
      <c r="AA110" s="444">
        <f t="shared" si="20"/>
        <v>10</v>
      </c>
      <c r="AB110" s="440"/>
      <c r="AC110" s="444">
        <f t="shared" si="21"/>
        <v>13</v>
      </c>
      <c r="AD110" s="444">
        <f t="shared" si="21"/>
        <v>13</v>
      </c>
      <c r="AE110" s="444">
        <f t="shared" si="21"/>
        <v>13</v>
      </c>
      <c r="AF110" s="444">
        <f t="shared" si="21"/>
        <v>14</v>
      </c>
      <c r="AG110" s="444">
        <f t="shared" si="21"/>
        <v>17</v>
      </c>
      <c r="AH110" s="440"/>
      <c r="AI110" s="440"/>
      <c r="AJ110" s="440"/>
      <c r="AK110" s="440"/>
      <c r="AL110" s="440"/>
      <c r="AM110" s="440"/>
      <c r="AN110" s="440"/>
      <c r="AO110" s="440"/>
    </row>
    <row r="111" spans="3:41" x14ac:dyDescent="0.25">
      <c r="C111" s="73"/>
      <c r="D111"/>
      <c r="E111"/>
      <c r="F111" t="s">
        <v>1039</v>
      </c>
      <c r="G111" t="s">
        <v>426</v>
      </c>
      <c r="J111" s="444">
        <f t="shared" si="22"/>
        <v>1</v>
      </c>
      <c r="K111" s="440"/>
      <c r="L111" s="440"/>
      <c r="M111" s="444">
        <f t="shared" si="18"/>
        <v>5</v>
      </c>
      <c r="N111" s="444">
        <f t="shared" si="18"/>
        <v>6</v>
      </c>
      <c r="O111" s="444">
        <f t="shared" si="18"/>
        <v>6</v>
      </c>
      <c r="P111" s="444">
        <f t="shared" si="18"/>
        <v>6</v>
      </c>
      <c r="Q111" s="440"/>
      <c r="R111" s="440"/>
      <c r="S111" s="444">
        <f t="shared" si="19"/>
        <v>9</v>
      </c>
      <c r="T111" s="444">
        <f t="shared" si="19"/>
        <v>10</v>
      </c>
      <c r="U111" s="444">
        <f t="shared" si="19"/>
        <v>10</v>
      </c>
      <c r="V111" s="444">
        <f t="shared" si="19"/>
        <v>10</v>
      </c>
      <c r="W111" s="440"/>
      <c r="X111" s="444">
        <f t="shared" si="20"/>
        <v>9</v>
      </c>
      <c r="Y111" s="444">
        <f t="shared" si="20"/>
        <v>10</v>
      </c>
      <c r="Z111" s="444">
        <f t="shared" si="20"/>
        <v>10</v>
      </c>
      <c r="AA111" s="444">
        <f t="shared" si="20"/>
        <v>10</v>
      </c>
      <c r="AB111" s="440"/>
      <c r="AC111" s="444">
        <f t="shared" si="21"/>
        <v>13</v>
      </c>
      <c r="AD111" s="444">
        <f t="shared" si="21"/>
        <v>14</v>
      </c>
      <c r="AE111" s="444">
        <f t="shared" si="21"/>
        <v>14</v>
      </c>
      <c r="AF111" s="444">
        <f t="shared" si="21"/>
        <v>14</v>
      </c>
      <c r="AG111" s="444">
        <f t="shared" si="21"/>
        <v>17</v>
      </c>
      <c r="AH111" s="440"/>
      <c r="AI111" s="440"/>
      <c r="AJ111" s="440"/>
      <c r="AK111" s="440"/>
      <c r="AL111" s="440"/>
      <c r="AM111" s="440"/>
      <c r="AN111" s="440"/>
      <c r="AO111" s="440"/>
    </row>
    <row r="112" spans="3:41" x14ac:dyDescent="0.25">
      <c r="C112" s="73"/>
      <c r="D112"/>
      <c r="E112"/>
      <c r="F112" s="17" t="s">
        <v>1040</v>
      </c>
      <c r="G112" s="17" t="s">
        <v>426</v>
      </c>
      <c r="H112" s="17"/>
      <c r="I112" s="17"/>
      <c r="J112" s="445">
        <f t="shared" si="22"/>
        <v>1</v>
      </c>
      <c r="K112" s="442"/>
      <c r="L112" s="442"/>
      <c r="M112" s="445">
        <f t="shared" si="18"/>
        <v>5</v>
      </c>
      <c r="N112" s="445">
        <f t="shared" si="18"/>
        <v>5</v>
      </c>
      <c r="O112" s="445">
        <f t="shared" si="18"/>
        <v>5</v>
      </c>
      <c r="P112" s="445">
        <f t="shared" si="18"/>
        <v>5</v>
      </c>
      <c r="Q112" s="442"/>
      <c r="R112" s="442"/>
      <c r="S112" s="445">
        <f t="shared" si="19"/>
        <v>9</v>
      </c>
      <c r="T112" s="445">
        <f t="shared" si="19"/>
        <v>9</v>
      </c>
      <c r="U112" s="445">
        <f t="shared" si="19"/>
        <v>9</v>
      </c>
      <c r="V112" s="445">
        <f t="shared" si="19"/>
        <v>9</v>
      </c>
      <c r="W112" s="442"/>
      <c r="X112" s="445">
        <f t="shared" si="20"/>
        <v>9</v>
      </c>
      <c r="Y112" s="445">
        <f t="shared" si="20"/>
        <v>9</v>
      </c>
      <c r="Z112" s="445">
        <f t="shared" si="20"/>
        <v>9</v>
      </c>
      <c r="AA112" s="445">
        <f t="shared" si="20"/>
        <v>9</v>
      </c>
      <c r="AB112" s="442"/>
      <c r="AC112" s="445">
        <f t="shared" si="21"/>
        <v>13</v>
      </c>
      <c r="AD112" s="445">
        <f t="shared" si="21"/>
        <v>13</v>
      </c>
      <c r="AE112" s="445">
        <f t="shared" si="21"/>
        <v>13</v>
      </c>
      <c r="AF112" s="445">
        <f t="shared" si="21"/>
        <v>13</v>
      </c>
      <c r="AG112" s="445">
        <f t="shared" si="21"/>
        <v>17</v>
      </c>
      <c r="AH112" s="442"/>
      <c r="AI112" s="442"/>
      <c r="AJ112" s="442"/>
      <c r="AK112" s="442"/>
      <c r="AL112" s="442"/>
      <c r="AM112" s="442"/>
      <c r="AN112" s="442"/>
      <c r="AO112" s="442"/>
    </row>
    <row r="113" spans="3:41" x14ac:dyDescent="0.25">
      <c r="C113" s="73"/>
      <c r="D113"/>
      <c r="E113"/>
      <c r="J113" s="198"/>
      <c r="K113" s="198"/>
      <c r="L113" s="198"/>
      <c r="M113" s="198"/>
      <c r="N113" s="198"/>
      <c r="O113" s="198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  <c r="AI113" s="198"/>
      <c r="AJ113" s="198"/>
      <c r="AK113" s="198"/>
      <c r="AL113" s="198"/>
      <c r="AM113" s="198"/>
      <c r="AN113" s="198"/>
      <c r="AO113" s="198"/>
    </row>
    <row r="114" spans="3:41" x14ac:dyDescent="0.25">
      <c r="C114" s="73"/>
      <c r="D114"/>
      <c r="E114" s="52" t="s">
        <v>1115</v>
      </c>
      <c r="J114" s="198"/>
      <c r="K114" s="198"/>
      <c r="L114" s="198"/>
      <c r="M114" s="198"/>
      <c r="N114" s="198"/>
      <c r="O114" s="198"/>
      <c r="P114" s="198"/>
      <c r="Q114" s="198"/>
      <c r="R114" s="198"/>
      <c r="S114" s="198"/>
      <c r="T114" s="198"/>
      <c r="U114" s="198"/>
      <c r="V114" s="198"/>
      <c r="W114" s="198"/>
      <c r="X114" s="198"/>
      <c r="Y114" s="198"/>
      <c r="Z114" s="198"/>
      <c r="AA114" s="198"/>
      <c r="AB114" s="198"/>
      <c r="AC114" s="198"/>
      <c r="AD114" s="198"/>
      <c r="AE114" s="198"/>
      <c r="AF114" s="198"/>
      <c r="AG114" s="198"/>
      <c r="AH114" s="198"/>
      <c r="AI114" s="198"/>
      <c r="AJ114" s="198"/>
      <c r="AK114" s="198"/>
      <c r="AL114" s="198"/>
      <c r="AM114" s="198"/>
      <c r="AN114" s="198"/>
      <c r="AO114" s="198"/>
    </row>
    <row r="115" spans="3:41" x14ac:dyDescent="0.25">
      <c r="C115" s="73"/>
      <c r="D115"/>
      <c r="E115"/>
      <c r="F115" s="80" t="s">
        <v>1033</v>
      </c>
      <c r="G115" s="80" t="s">
        <v>74</v>
      </c>
      <c r="H115" s="80"/>
      <c r="I115" s="80"/>
      <c r="J115" s="443">
        <f t="shared" ref="J115:J122" si="23">SUMIF($J105:$AO105, J105, $J$56:$AO$56)</f>
        <v>1924111.5351780879</v>
      </c>
      <c r="K115" s="438"/>
      <c r="L115" s="438"/>
      <c r="M115" s="443">
        <f t="shared" ref="M115:P122" si="24">SUMIF($J105:$AO105, M105, $J$56:$AO$56)</f>
        <v>47213.103232814901</v>
      </c>
      <c r="N115" s="443">
        <f t="shared" si="24"/>
        <v>37038.605893096035</v>
      </c>
      <c r="O115" s="443">
        <f t="shared" si="24"/>
        <v>21339.552223993102</v>
      </c>
      <c r="P115" s="443">
        <f t="shared" si="24"/>
        <v>21869.841808601694</v>
      </c>
      <c r="Q115" s="438"/>
      <c r="R115" s="438"/>
      <c r="S115" s="443">
        <f t="shared" ref="S115:V122" si="25">SUMIF($J105:$AO105, S105, $J$56:$AO$56)</f>
        <v>4586.790000581711</v>
      </c>
      <c r="T115" s="443">
        <f t="shared" si="25"/>
        <v>3824.1970890219204</v>
      </c>
      <c r="U115" s="443">
        <f t="shared" si="25"/>
        <v>1363.3385369714035</v>
      </c>
      <c r="V115" s="443">
        <f t="shared" si="25"/>
        <v>1846.621008220977</v>
      </c>
      <c r="W115" s="438"/>
      <c r="X115" s="443">
        <f t="shared" ref="X115:AA122" si="26">SUMIF($J105:$AO105, X105, $J$56:$AO$56)</f>
        <v>4586.790000581711</v>
      </c>
      <c r="Y115" s="443">
        <f t="shared" si="26"/>
        <v>3824.1970890219204</v>
      </c>
      <c r="Z115" s="443">
        <f t="shared" si="26"/>
        <v>1363.3385369714035</v>
      </c>
      <c r="AA115" s="443">
        <f t="shared" si="26"/>
        <v>1846.621008220977</v>
      </c>
      <c r="AB115" s="438"/>
      <c r="AC115" s="443">
        <f t="shared" ref="AC115:AG122" si="27">SUMIF($J105:$AO105, AC105, $J$56:$AO$56)</f>
        <v>362.84574284209867</v>
      </c>
      <c r="AD115" s="443">
        <f t="shared" si="27"/>
        <v>407.56382856139908</v>
      </c>
      <c r="AE115" s="443">
        <f t="shared" si="27"/>
        <v>183.08510474853213</v>
      </c>
      <c r="AF115" s="443">
        <f t="shared" si="27"/>
        <v>215.32446665496562</v>
      </c>
      <c r="AG115" s="443">
        <f t="shared" si="27"/>
        <v>4874.0599354170627</v>
      </c>
      <c r="AH115" s="438"/>
      <c r="AI115" s="438"/>
      <c r="AJ115" s="438"/>
      <c r="AK115" s="438"/>
      <c r="AL115" s="438"/>
      <c r="AM115" s="438"/>
      <c r="AN115" s="438"/>
      <c r="AO115" s="438"/>
    </row>
    <row r="116" spans="3:41" x14ac:dyDescent="0.25">
      <c r="C116" s="73"/>
      <c r="D116"/>
      <c r="E116"/>
      <c r="F116" t="s">
        <v>1034</v>
      </c>
      <c r="G116" t="s">
        <v>74</v>
      </c>
      <c r="J116" s="444">
        <f t="shared" si="23"/>
        <v>1924111.5351780879</v>
      </c>
      <c r="K116" s="440"/>
      <c r="L116" s="440"/>
      <c r="M116" s="444">
        <f t="shared" si="24"/>
        <v>84251.709125910944</v>
      </c>
      <c r="N116" s="444">
        <f t="shared" si="24"/>
        <v>84251.709125910944</v>
      </c>
      <c r="O116" s="444">
        <f t="shared" si="24"/>
        <v>21339.552223993102</v>
      </c>
      <c r="P116" s="444">
        <f t="shared" si="24"/>
        <v>21869.841808601694</v>
      </c>
      <c r="Q116" s="440"/>
      <c r="R116" s="440"/>
      <c r="S116" s="444">
        <f t="shared" si="25"/>
        <v>8410.98708960363</v>
      </c>
      <c r="T116" s="444">
        <f t="shared" si="25"/>
        <v>8410.98708960363</v>
      </c>
      <c r="U116" s="444">
        <f t="shared" si="25"/>
        <v>1363.3385369714035</v>
      </c>
      <c r="V116" s="444">
        <f t="shared" si="25"/>
        <v>1846.621008220977</v>
      </c>
      <c r="W116" s="440"/>
      <c r="X116" s="444">
        <f t="shared" si="26"/>
        <v>8410.98708960363</v>
      </c>
      <c r="Y116" s="444">
        <f t="shared" si="26"/>
        <v>8410.98708960363</v>
      </c>
      <c r="Z116" s="444">
        <f t="shared" si="26"/>
        <v>1363.3385369714035</v>
      </c>
      <c r="AA116" s="444">
        <f t="shared" si="26"/>
        <v>1846.621008220977</v>
      </c>
      <c r="AB116" s="440"/>
      <c r="AC116" s="444">
        <f t="shared" si="27"/>
        <v>770.40957140349769</v>
      </c>
      <c r="AD116" s="444">
        <f t="shared" si="27"/>
        <v>770.40957140349769</v>
      </c>
      <c r="AE116" s="444">
        <f t="shared" si="27"/>
        <v>183.08510474853213</v>
      </c>
      <c r="AF116" s="444">
        <f t="shared" si="27"/>
        <v>215.32446665496562</v>
      </c>
      <c r="AG116" s="444">
        <f t="shared" si="27"/>
        <v>4874.0599354170627</v>
      </c>
      <c r="AH116" s="440"/>
      <c r="AI116" s="440"/>
      <c r="AJ116" s="440"/>
      <c r="AK116" s="440"/>
      <c r="AL116" s="440"/>
      <c r="AM116" s="440"/>
      <c r="AN116" s="440"/>
      <c r="AO116" s="440"/>
    </row>
    <row r="117" spans="3:41" x14ac:dyDescent="0.25">
      <c r="C117" s="73"/>
      <c r="D117"/>
      <c r="E117"/>
      <c r="F117" t="s">
        <v>1035</v>
      </c>
      <c r="G117" t="s">
        <v>74</v>
      </c>
      <c r="J117" s="444">
        <f t="shared" si="23"/>
        <v>1924111.5351780879</v>
      </c>
      <c r="K117" s="440"/>
      <c r="L117" s="440"/>
      <c r="M117" s="444">
        <f t="shared" si="24"/>
        <v>47213.103232814901</v>
      </c>
      <c r="N117" s="444">
        <f t="shared" si="24"/>
        <v>58378.158117089137</v>
      </c>
      <c r="O117" s="444">
        <f t="shared" si="24"/>
        <v>58378.158117089137</v>
      </c>
      <c r="P117" s="444">
        <f t="shared" si="24"/>
        <v>21869.841808601694</v>
      </c>
      <c r="Q117" s="440"/>
      <c r="R117" s="440"/>
      <c r="S117" s="444">
        <f t="shared" si="25"/>
        <v>4586.790000581711</v>
      </c>
      <c r="T117" s="444">
        <f t="shared" si="25"/>
        <v>5187.5356259933233</v>
      </c>
      <c r="U117" s="444">
        <f t="shared" si="25"/>
        <v>5187.5356259933233</v>
      </c>
      <c r="V117" s="444">
        <f t="shared" si="25"/>
        <v>1846.621008220977</v>
      </c>
      <c r="W117" s="440"/>
      <c r="X117" s="444">
        <f t="shared" si="26"/>
        <v>4586.790000581711</v>
      </c>
      <c r="Y117" s="444">
        <f t="shared" si="26"/>
        <v>5187.5356259933233</v>
      </c>
      <c r="Z117" s="444">
        <f t="shared" si="26"/>
        <v>5187.5356259933233</v>
      </c>
      <c r="AA117" s="444">
        <f t="shared" si="26"/>
        <v>1846.621008220977</v>
      </c>
      <c r="AB117" s="440"/>
      <c r="AC117" s="444">
        <f t="shared" si="27"/>
        <v>362.84574284209867</v>
      </c>
      <c r="AD117" s="444">
        <f t="shared" si="27"/>
        <v>590.64893330993118</v>
      </c>
      <c r="AE117" s="444">
        <f t="shared" si="27"/>
        <v>590.64893330993118</v>
      </c>
      <c r="AF117" s="444">
        <f t="shared" si="27"/>
        <v>215.32446665496562</v>
      </c>
      <c r="AG117" s="444">
        <f t="shared" si="27"/>
        <v>4874.0599354170627</v>
      </c>
      <c r="AH117" s="440"/>
      <c r="AI117" s="440"/>
      <c r="AJ117" s="440"/>
      <c r="AK117" s="440"/>
      <c r="AL117" s="440"/>
      <c r="AM117" s="440"/>
      <c r="AN117" s="440"/>
      <c r="AO117" s="440"/>
    </row>
    <row r="118" spans="3:41" x14ac:dyDescent="0.25">
      <c r="C118" s="73"/>
      <c r="D118"/>
      <c r="E118"/>
      <c r="F118" t="s">
        <v>1036</v>
      </c>
      <c r="G118" t="s">
        <v>74</v>
      </c>
      <c r="J118" s="444">
        <f t="shared" si="23"/>
        <v>1924111.5351780879</v>
      </c>
      <c r="K118" s="440"/>
      <c r="L118" s="440"/>
      <c r="M118" s="444">
        <f t="shared" si="24"/>
        <v>47213.103232814901</v>
      </c>
      <c r="N118" s="444">
        <f t="shared" si="24"/>
        <v>37038.605893096035</v>
      </c>
      <c r="O118" s="444">
        <f t="shared" si="24"/>
        <v>43209.394032594791</v>
      </c>
      <c r="P118" s="444">
        <f t="shared" si="24"/>
        <v>43209.394032594791</v>
      </c>
      <c r="Q118" s="440"/>
      <c r="R118" s="440"/>
      <c r="S118" s="444">
        <f t="shared" si="25"/>
        <v>4586.790000581711</v>
      </c>
      <c r="T118" s="444">
        <f t="shared" si="25"/>
        <v>3824.1970890219204</v>
      </c>
      <c r="U118" s="444">
        <f t="shared" si="25"/>
        <v>3209.9595451923806</v>
      </c>
      <c r="V118" s="444">
        <f t="shared" si="25"/>
        <v>3209.9595451923806</v>
      </c>
      <c r="W118" s="440"/>
      <c r="X118" s="444">
        <f t="shared" si="26"/>
        <v>4586.790000581711</v>
      </c>
      <c r="Y118" s="444">
        <f t="shared" si="26"/>
        <v>3824.1970890219204</v>
      </c>
      <c r="Z118" s="444">
        <f t="shared" si="26"/>
        <v>3209.9595451923806</v>
      </c>
      <c r="AA118" s="444">
        <f t="shared" si="26"/>
        <v>3209.9595451923806</v>
      </c>
      <c r="AB118" s="440"/>
      <c r="AC118" s="444">
        <f t="shared" si="27"/>
        <v>362.84574284209867</v>
      </c>
      <c r="AD118" s="444">
        <f t="shared" si="27"/>
        <v>407.56382856139908</v>
      </c>
      <c r="AE118" s="444">
        <f t="shared" si="27"/>
        <v>398.40957140349775</v>
      </c>
      <c r="AF118" s="444">
        <f t="shared" si="27"/>
        <v>398.40957140349775</v>
      </c>
      <c r="AG118" s="444">
        <f t="shared" si="27"/>
        <v>4874.0599354170627</v>
      </c>
      <c r="AH118" s="440"/>
      <c r="AI118" s="440"/>
      <c r="AJ118" s="440"/>
      <c r="AK118" s="440"/>
      <c r="AL118" s="440"/>
      <c r="AM118" s="440"/>
      <c r="AN118" s="440"/>
      <c r="AO118" s="440"/>
    </row>
    <row r="119" spans="3:41" x14ac:dyDescent="0.25">
      <c r="C119" s="73"/>
      <c r="D119"/>
      <c r="E119"/>
      <c r="F119" t="s">
        <v>1037</v>
      </c>
      <c r="G119" t="s">
        <v>74</v>
      </c>
      <c r="J119" s="444">
        <f t="shared" si="23"/>
        <v>1924111.5351780879</v>
      </c>
      <c r="K119" s="440"/>
      <c r="L119" s="440"/>
      <c r="M119" s="444">
        <f t="shared" si="24"/>
        <v>84251.709125910944</v>
      </c>
      <c r="N119" s="444">
        <f t="shared" si="24"/>
        <v>84251.709125910944</v>
      </c>
      <c r="O119" s="444">
        <f t="shared" si="24"/>
        <v>43209.394032594791</v>
      </c>
      <c r="P119" s="444">
        <f t="shared" si="24"/>
        <v>43209.394032594791</v>
      </c>
      <c r="Q119" s="440"/>
      <c r="R119" s="440"/>
      <c r="S119" s="444">
        <f t="shared" si="25"/>
        <v>8410.98708960363</v>
      </c>
      <c r="T119" s="444">
        <f t="shared" si="25"/>
        <v>8410.98708960363</v>
      </c>
      <c r="U119" s="444">
        <f t="shared" si="25"/>
        <v>3209.9595451923806</v>
      </c>
      <c r="V119" s="444">
        <f t="shared" si="25"/>
        <v>3209.9595451923806</v>
      </c>
      <c r="W119" s="440"/>
      <c r="X119" s="444">
        <f t="shared" si="26"/>
        <v>8410.98708960363</v>
      </c>
      <c r="Y119" s="444">
        <f t="shared" si="26"/>
        <v>8410.98708960363</v>
      </c>
      <c r="Z119" s="444">
        <f t="shared" si="26"/>
        <v>3209.9595451923806</v>
      </c>
      <c r="AA119" s="444">
        <f t="shared" si="26"/>
        <v>3209.9595451923806</v>
      </c>
      <c r="AB119" s="440"/>
      <c r="AC119" s="444">
        <f t="shared" si="27"/>
        <v>770.40957140349769</v>
      </c>
      <c r="AD119" s="444">
        <f t="shared" si="27"/>
        <v>770.40957140349769</v>
      </c>
      <c r="AE119" s="444">
        <f t="shared" si="27"/>
        <v>398.40957140349775</v>
      </c>
      <c r="AF119" s="444">
        <f t="shared" si="27"/>
        <v>398.40957140349775</v>
      </c>
      <c r="AG119" s="444">
        <f t="shared" si="27"/>
        <v>4874.0599354170627</v>
      </c>
      <c r="AH119" s="440"/>
      <c r="AI119" s="440"/>
      <c r="AJ119" s="440"/>
      <c r="AK119" s="440"/>
      <c r="AL119" s="440"/>
      <c r="AM119" s="440"/>
      <c r="AN119" s="440"/>
      <c r="AO119" s="440"/>
    </row>
    <row r="120" spans="3:41" x14ac:dyDescent="0.25">
      <c r="C120" s="73"/>
      <c r="D120"/>
      <c r="E120"/>
      <c r="F120" t="s">
        <v>1038</v>
      </c>
      <c r="G120" t="s">
        <v>74</v>
      </c>
      <c r="J120" s="444">
        <f t="shared" si="23"/>
        <v>1924111.5351780879</v>
      </c>
      <c r="K120" s="440"/>
      <c r="L120" s="440"/>
      <c r="M120" s="444">
        <f t="shared" si="24"/>
        <v>105591.26134990405</v>
      </c>
      <c r="N120" s="444">
        <f t="shared" si="24"/>
        <v>105591.26134990405</v>
      </c>
      <c r="O120" s="444">
        <f t="shared" si="24"/>
        <v>105591.26134990405</v>
      </c>
      <c r="P120" s="444">
        <f t="shared" si="24"/>
        <v>21869.841808601694</v>
      </c>
      <c r="Q120" s="440"/>
      <c r="R120" s="440"/>
      <c r="S120" s="444">
        <f t="shared" si="25"/>
        <v>9774.3256265750333</v>
      </c>
      <c r="T120" s="444">
        <f t="shared" si="25"/>
        <v>9774.3256265750333</v>
      </c>
      <c r="U120" s="444">
        <f t="shared" si="25"/>
        <v>9774.3256265750333</v>
      </c>
      <c r="V120" s="444">
        <f t="shared" si="25"/>
        <v>1846.621008220977</v>
      </c>
      <c r="W120" s="440"/>
      <c r="X120" s="444">
        <f t="shared" si="26"/>
        <v>9774.3256265750333</v>
      </c>
      <c r="Y120" s="444">
        <f t="shared" si="26"/>
        <v>9774.3256265750333</v>
      </c>
      <c r="Z120" s="444">
        <f t="shared" si="26"/>
        <v>9774.3256265750333</v>
      </c>
      <c r="AA120" s="444">
        <f t="shared" si="26"/>
        <v>1846.621008220977</v>
      </c>
      <c r="AB120" s="440"/>
      <c r="AC120" s="444">
        <f t="shared" si="27"/>
        <v>953.4946761520298</v>
      </c>
      <c r="AD120" s="444">
        <f t="shared" si="27"/>
        <v>953.4946761520298</v>
      </c>
      <c r="AE120" s="444">
        <f t="shared" si="27"/>
        <v>953.4946761520298</v>
      </c>
      <c r="AF120" s="444">
        <f t="shared" si="27"/>
        <v>215.32446665496562</v>
      </c>
      <c r="AG120" s="444">
        <f t="shared" si="27"/>
        <v>4874.0599354170627</v>
      </c>
      <c r="AH120" s="440"/>
      <c r="AI120" s="440"/>
      <c r="AJ120" s="440"/>
      <c r="AK120" s="440"/>
      <c r="AL120" s="440"/>
      <c r="AM120" s="440"/>
      <c r="AN120" s="440"/>
      <c r="AO120" s="440"/>
    </row>
    <row r="121" spans="3:41" x14ac:dyDescent="0.25">
      <c r="C121" s="73"/>
      <c r="D121"/>
      <c r="E121"/>
      <c r="F121" t="s">
        <v>1039</v>
      </c>
      <c r="G121" t="s">
        <v>74</v>
      </c>
      <c r="J121" s="444">
        <f t="shared" si="23"/>
        <v>1924111.5351780879</v>
      </c>
      <c r="K121" s="440"/>
      <c r="L121" s="440"/>
      <c r="M121" s="444">
        <f t="shared" si="24"/>
        <v>47213.103232814901</v>
      </c>
      <c r="N121" s="444">
        <f t="shared" si="24"/>
        <v>80247.999925690834</v>
      </c>
      <c r="O121" s="444">
        <f t="shared" si="24"/>
        <v>80247.999925690834</v>
      </c>
      <c r="P121" s="444">
        <f t="shared" si="24"/>
        <v>80247.999925690834</v>
      </c>
      <c r="Q121" s="440"/>
      <c r="R121" s="440"/>
      <c r="S121" s="444">
        <f t="shared" si="25"/>
        <v>4586.790000581711</v>
      </c>
      <c r="T121" s="444">
        <f t="shared" si="25"/>
        <v>7034.1566342142996</v>
      </c>
      <c r="U121" s="444">
        <f t="shared" si="25"/>
        <v>7034.1566342142996</v>
      </c>
      <c r="V121" s="444">
        <f t="shared" si="25"/>
        <v>7034.1566342142996</v>
      </c>
      <c r="W121" s="440"/>
      <c r="X121" s="444">
        <f t="shared" si="26"/>
        <v>4586.790000581711</v>
      </c>
      <c r="Y121" s="444">
        <f t="shared" si="26"/>
        <v>7034.1566342142996</v>
      </c>
      <c r="Z121" s="444">
        <f t="shared" si="26"/>
        <v>7034.1566342142996</v>
      </c>
      <c r="AA121" s="444">
        <f t="shared" si="26"/>
        <v>7034.1566342142996</v>
      </c>
      <c r="AB121" s="440"/>
      <c r="AC121" s="444">
        <f t="shared" si="27"/>
        <v>362.84574284209867</v>
      </c>
      <c r="AD121" s="444">
        <f t="shared" si="27"/>
        <v>805.97339996489677</v>
      </c>
      <c r="AE121" s="444">
        <f t="shared" si="27"/>
        <v>805.97339996489677</v>
      </c>
      <c r="AF121" s="444">
        <f t="shared" si="27"/>
        <v>805.97339996489677</v>
      </c>
      <c r="AG121" s="444">
        <f t="shared" si="27"/>
        <v>4874.0599354170627</v>
      </c>
      <c r="AH121" s="440"/>
      <c r="AI121" s="440"/>
      <c r="AJ121" s="440"/>
      <c r="AK121" s="440"/>
      <c r="AL121" s="440"/>
      <c r="AM121" s="440"/>
      <c r="AN121" s="440"/>
      <c r="AO121" s="440"/>
    </row>
    <row r="122" spans="3:41" x14ac:dyDescent="0.25">
      <c r="C122" s="73"/>
      <c r="D122"/>
      <c r="E122"/>
      <c r="F122" s="17" t="s">
        <v>1040</v>
      </c>
      <c r="G122" s="17" t="s">
        <v>74</v>
      </c>
      <c r="H122" s="17"/>
      <c r="I122" s="17"/>
      <c r="J122" s="445">
        <f t="shared" si="23"/>
        <v>1924111.5351780879</v>
      </c>
      <c r="K122" s="442"/>
      <c r="L122" s="442"/>
      <c r="M122" s="445">
        <f t="shared" si="24"/>
        <v>127461.10315850574</v>
      </c>
      <c r="N122" s="445">
        <f t="shared" si="24"/>
        <v>127461.10315850574</v>
      </c>
      <c r="O122" s="445">
        <f t="shared" si="24"/>
        <v>127461.10315850574</v>
      </c>
      <c r="P122" s="445">
        <f t="shared" si="24"/>
        <v>127461.10315850574</v>
      </c>
      <c r="Q122" s="442"/>
      <c r="R122" s="442"/>
      <c r="S122" s="445">
        <f t="shared" si="25"/>
        <v>11620.94663479601</v>
      </c>
      <c r="T122" s="445">
        <f t="shared" si="25"/>
        <v>11620.94663479601</v>
      </c>
      <c r="U122" s="445">
        <f t="shared" si="25"/>
        <v>11620.94663479601</v>
      </c>
      <c r="V122" s="445">
        <f t="shared" si="25"/>
        <v>11620.94663479601</v>
      </c>
      <c r="W122" s="442"/>
      <c r="X122" s="445">
        <f t="shared" si="26"/>
        <v>11620.94663479601</v>
      </c>
      <c r="Y122" s="445">
        <f t="shared" si="26"/>
        <v>11620.94663479601</v>
      </c>
      <c r="Z122" s="445">
        <f t="shared" si="26"/>
        <v>11620.94663479601</v>
      </c>
      <c r="AA122" s="445">
        <f t="shared" si="26"/>
        <v>11620.94663479601</v>
      </c>
      <c r="AB122" s="442"/>
      <c r="AC122" s="445">
        <f t="shared" si="27"/>
        <v>1168.8191428069954</v>
      </c>
      <c r="AD122" s="445">
        <f t="shared" si="27"/>
        <v>1168.8191428069954</v>
      </c>
      <c r="AE122" s="445">
        <f t="shared" si="27"/>
        <v>1168.8191428069954</v>
      </c>
      <c r="AF122" s="445">
        <f t="shared" si="27"/>
        <v>1168.8191428069954</v>
      </c>
      <c r="AG122" s="445">
        <f t="shared" si="27"/>
        <v>4874.0599354170627</v>
      </c>
      <c r="AH122" s="442"/>
      <c r="AI122" s="442"/>
      <c r="AJ122" s="442"/>
      <c r="AK122" s="442"/>
      <c r="AL122" s="442"/>
      <c r="AM122" s="442"/>
      <c r="AN122" s="442"/>
      <c r="AO122" s="442"/>
    </row>
    <row r="123" spans="3:41" x14ac:dyDescent="0.25">
      <c r="C123" s="73"/>
      <c r="D123"/>
      <c r="E123"/>
      <c r="J123" s="198"/>
      <c r="K123" s="198"/>
      <c r="L123" s="198"/>
      <c r="M123" s="198"/>
      <c r="N123" s="198"/>
      <c r="O123" s="198"/>
      <c r="P123" s="198"/>
      <c r="Q123" s="198"/>
      <c r="R123" s="198"/>
      <c r="S123" s="198"/>
      <c r="T123" s="198"/>
      <c r="U123" s="198"/>
      <c r="V123" s="198"/>
      <c r="W123" s="198"/>
      <c r="X123" s="198"/>
      <c r="Y123" s="198"/>
      <c r="Z123" s="198"/>
      <c r="AA123" s="198"/>
      <c r="AB123" s="198"/>
      <c r="AC123" s="198"/>
      <c r="AD123" s="198"/>
      <c r="AE123" s="198"/>
      <c r="AF123" s="198"/>
      <c r="AG123" s="198"/>
      <c r="AH123" s="198"/>
      <c r="AI123" s="198"/>
      <c r="AJ123" s="198"/>
      <c r="AK123" s="198"/>
      <c r="AL123" s="198"/>
      <c r="AM123" s="198"/>
      <c r="AN123" s="198"/>
      <c r="AO123" s="198"/>
    </row>
    <row r="124" spans="3:41" x14ac:dyDescent="0.25">
      <c r="C124" s="73"/>
      <c r="D124"/>
      <c r="E124" t="s">
        <v>1029</v>
      </c>
      <c r="G124" t="s">
        <v>426</v>
      </c>
      <c r="H124" s="327">
        <f>'Fixed inputs'!H172</f>
        <v>2</v>
      </c>
      <c r="J124" s="198"/>
      <c r="K124" s="198"/>
      <c r="L124" s="198"/>
      <c r="M124" s="198"/>
      <c r="N124" s="198"/>
      <c r="O124" s="198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  <c r="AA124" s="198"/>
      <c r="AB124" s="198"/>
      <c r="AC124" s="198"/>
      <c r="AD124" s="198"/>
      <c r="AE124" s="198"/>
      <c r="AF124" s="198"/>
      <c r="AG124" s="198"/>
      <c r="AH124" s="198"/>
      <c r="AI124" s="198"/>
      <c r="AJ124" s="198"/>
      <c r="AK124" s="198"/>
      <c r="AL124" s="198"/>
      <c r="AM124" s="198"/>
      <c r="AN124" s="198"/>
      <c r="AO124" s="198"/>
    </row>
    <row r="125" spans="3:41" x14ac:dyDescent="0.25">
      <c r="C125" s="73"/>
      <c r="D125"/>
      <c r="E125"/>
      <c r="J125" s="198"/>
      <c r="K125" s="198"/>
      <c r="L125" s="198"/>
      <c r="M125" s="198"/>
      <c r="N125" s="198"/>
      <c r="O125" s="198"/>
      <c r="P125" s="198"/>
      <c r="Q125" s="198"/>
      <c r="R125" s="198"/>
      <c r="S125" s="198"/>
      <c r="T125" s="198"/>
      <c r="U125" s="198"/>
      <c r="V125" s="198"/>
      <c r="W125" s="198"/>
      <c r="X125" s="198"/>
      <c r="Y125" s="198"/>
      <c r="Z125" s="198"/>
      <c r="AA125" s="198"/>
      <c r="AB125" s="198"/>
      <c r="AC125" s="198"/>
      <c r="AD125" s="198"/>
      <c r="AE125" s="198"/>
      <c r="AF125" s="198"/>
      <c r="AG125" s="198"/>
      <c r="AH125" s="198"/>
      <c r="AI125" s="198"/>
      <c r="AJ125" s="198"/>
      <c r="AK125" s="198"/>
      <c r="AL125" s="198"/>
      <c r="AM125" s="198"/>
      <c r="AN125" s="198"/>
      <c r="AO125" s="198"/>
    </row>
    <row r="126" spans="3:41" x14ac:dyDescent="0.25">
      <c r="C126" s="73"/>
      <c r="D126"/>
      <c r="E126" s="52" t="s">
        <v>1116</v>
      </c>
      <c r="J126" s="198"/>
      <c r="K126" s="198"/>
      <c r="L126" s="198"/>
      <c r="M126" s="198"/>
      <c r="N126" s="198"/>
      <c r="O126" s="198"/>
      <c r="P126" s="198"/>
      <c r="Q126" s="198"/>
      <c r="R126" s="198"/>
      <c r="S126" s="198"/>
      <c r="T126" s="198"/>
      <c r="U126" s="198"/>
      <c r="V126" s="198"/>
      <c r="W126" s="198"/>
      <c r="X126" s="198"/>
      <c r="Y126" s="198"/>
      <c r="Z126" s="198"/>
      <c r="AA126" s="198"/>
      <c r="AB126" s="198"/>
      <c r="AC126" s="198"/>
      <c r="AD126" s="198"/>
      <c r="AE126" s="198"/>
      <c r="AF126" s="198"/>
      <c r="AG126" s="198"/>
      <c r="AH126" s="198"/>
      <c r="AI126" s="198"/>
      <c r="AJ126" s="198"/>
      <c r="AK126" s="198"/>
      <c r="AL126" s="198"/>
      <c r="AM126" s="198"/>
      <c r="AN126" s="198"/>
      <c r="AO126" s="198"/>
    </row>
    <row r="127" spans="3:41" x14ac:dyDescent="0.25">
      <c r="C127" s="73"/>
      <c r="D127"/>
      <c r="E127"/>
      <c r="F127" s="80" t="s">
        <v>1033</v>
      </c>
      <c r="G127" s="80" t="s">
        <v>1023</v>
      </c>
      <c r="H127" s="80"/>
      <c r="I127" s="80"/>
      <c r="J127" s="443" t="b">
        <f>J115&gt;=$H$124</f>
        <v>1</v>
      </c>
      <c r="K127" s="438"/>
      <c r="L127" s="438"/>
      <c r="M127" s="443" t="b">
        <f t="shared" ref="M127:P134" si="28">M115&gt;=$H$124</f>
        <v>1</v>
      </c>
      <c r="N127" s="443" t="b">
        <f t="shared" si="28"/>
        <v>1</v>
      </c>
      <c r="O127" s="443" t="b">
        <f t="shared" si="28"/>
        <v>1</v>
      </c>
      <c r="P127" s="443" t="b">
        <f t="shared" si="28"/>
        <v>1</v>
      </c>
      <c r="Q127" s="438"/>
      <c r="R127" s="438"/>
      <c r="S127" s="443" t="b">
        <f t="shared" ref="S127:V134" si="29">S115&gt;=$H$124</f>
        <v>1</v>
      </c>
      <c r="T127" s="443" t="b">
        <f t="shared" si="29"/>
        <v>1</v>
      </c>
      <c r="U127" s="443" t="b">
        <f t="shared" si="29"/>
        <v>1</v>
      </c>
      <c r="V127" s="443" t="b">
        <f t="shared" si="29"/>
        <v>1</v>
      </c>
      <c r="W127" s="438"/>
      <c r="X127" s="443" t="b">
        <f t="shared" ref="X127:AA134" si="30">X115&gt;=$H$124</f>
        <v>1</v>
      </c>
      <c r="Y127" s="443" t="b">
        <f t="shared" si="30"/>
        <v>1</v>
      </c>
      <c r="Z127" s="443" t="b">
        <f t="shared" si="30"/>
        <v>1</v>
      </c>
      <c r="AA127" s="443" t="b">
        <f t="shared" si="30"/>
        <v>1</v>
      </c>
      <c r="AB127" s="438"/>
      <c r="AC127" s="443" t="b">
        <f t="shared" ref="AC127:AG134" si="31">AC115&gt;=$H$124</f>
        <v>1</v>
      </c>
      <c r="AD127" s="443" t="b">
        <f t="shared" si="31"/>
        <v>1</v>
      </c>
      <c r="AE127" s="443" t="b">
        <f t="shared" si="31"/>
        <v>1</v>
      </c>
      <c r="AF127" s="443" t="b">
        <f t="shared" si="31"/>
        <v>1</v>
      </c>
      <c r="AG127" s="443" t="b">
        <f t="shared" si="31"/>
        <v>1</v>
      </c>
      <c r="AH127" s="438"/>
      <c r="AI127" s="438"/>
      <c r="AJ127" s="438"/>
      <c r="AK127" s="438"/>
      <c r="AL127" s="438"/>
      <c r="AM127" s="438"/>
      <c r="AN127" s="438"/>
      <c r="AO127" s="438"/>
    </row>
    <row r="128" spans="3:41" x14ac:dyDescent="0.25">
      <c r="C128" s="73"/>
      <c r="D128"/>
      <c r="E128"/>
      <c r="F128" t="s">
        <v>1034</v>
      </c>
      <c r="G128" t="s">
        <v>1023</v>
      </c>
      <c r="J128" s="444" t="b">
        <f t="shared" ref="J128:J134" si="32">J116&gt;=$H$124</f>
        <v>1</v>
      </c>
      <c r="K128" s="440"/>
      <c r="L128" s="440"/>
      <c r="M128" s="444" t="b">
        <f t="shared" si="28"/>
        <v>1</v>
      </c>
      <c r="N128" s="444" t="b">
        <f t="shared" si="28"/>
        <v>1</v>
      </c>
      <c r="O128" s="444" t="b">
        <f t="shared" si="28"/>
        <v>1</v>
      </c>
      <c r="P128" s="444" t="b">
        <f t="shared" si="28"/>
        <v>1</v>
      </c>
      <c r="Q128" s="440"/>
      <c r="R128" s="440"/>
      <c r="S128" s="444" t="b">
        <f t="shared" si="29"/>
        <v>1</v>
      </c>
      <c r="T128" s="444" t="b">
        <f t="shared" si="29"/>
        <v>1</v>
      </c>
      <c r="U128" s="444" t="b">
        <f t="shared" si="29"/>
        <v>1</v>
      </c>
      <c r="V128" s="444" t="b">
        <f t="shared" si="29"/>
        <v>1</v>
      </c>
      <c r="W128" s="440"/>
      <c r="X128" s="444" t="b">
        <f t="shared" si="30"/>
        <v>1</v>
      </c>
      <c r="Y128" s="444" t="b">
        <f t="shared" si="30"/>
        <v>1</v>
      </c>
      <c r="Z128" s="444" t="b">
        <f t="shared" si="30"/>
        <v>1</v>
      </c>
      <c r="AA128" s="444" t="b">
        <f t="shared" si="30"/>
        <v>1</v>
      </c>
      <c r="AB128" s="440"/>
      <c r="AC128" s="444" t="b">
        <f t="shared" si="31"/>
        <v>1</v>
      </c>
      <c r="AD128" s="444" t="b">
        <f t="shared" si="31"/>
        <v>1</v>
      </c>
      <c r="AE128" s="444" t="b">
        <f t="shared" si="31"/>
        <v>1</v>
      </c>
      <c r="AF128" s="444" t="b">
        <f t="shared" si="31"/>
        <v>1</v>
      </c>
      <c r="AG128" s="444" t="b">
        <f t="shared" si="31"/>
        <v>1</v>
      </c>
      <c r="AH128" s="440"/>
      <c r="AI128" s="440"/>
      <c r="AJ128" s="440"/>
      <c r="AK128" s="440"/>
      <c r="AL128" s="440"/>
      <c r="AM128" s="440"/>
      <c r="AN128" s="440"/>
      <c r="AO128" s="440"/>
    </row>
    <row r="129" spans="3:41" x14ac:dyDescent="0.25">
      <c r="C129" s="73"/>
      <c r="D129"/>
      <c r="E129"/>
      <c r="F129" t="s">
        <v>1035</v>
      </c>
      <c r="G129" t="s">
        <v>1023</v>
      </c>
      <c r="J129" s="444" t="b">
        <f t="shared" si="32"/>
        <v>1</v>
      </c>
      <c r="K129" s="440"/>
      <c r="L129" s="440"/>
      <c r="M129" s="444" t="b">
        <f t="shared" si="28"/>
        <v>1</v>
      </c>
      <c r="N129" s="444" t="b">
        <f t="shared" si="28"/>
        <v>1</v>
      </c>
      <c r="O129" s="444" t="b">
        <f t="shared" si="28"/>
        <v>1</v>
      </c>
      <c r="P129" s="444" t="b">
        <f t="shared" si="28"/>
        <v>1</v>
      </c>
      <c r="Q129" s="440"/>
      <c r="R129" s="440"/>
      <c r="S129" s="444" t="b">
        <f t="shared" si="29"/>
        <v>1</v>
      </c>
      <c r="T129" s="444" t="b">
        <f t="shared" si="29"/>
        <v>1</v>
      </c>
      <c r="U129" s="444" t="b">
        <f t="shared" si="29"/>
        <v>1</v>
      </c>
      <c r="V129" s="444" t="b">
        <f t="shared" si="29"/>
        <v>1</v>
      </c>
      <c r="W129" s="440"/>
      <c r="X129" s="444" t="b">
        <f t="shared" si="30"/>
        <v>1</v>
      </c>
      <c r="Y129" s="444" t="b">
        <f t="shared" si="30"/>
        <v>1</v>
      </c>
      <c r="Z129" s="444" t="b">
        <f t="shared" si="30"/>
        <v>1</v>
      </c>
      <c r="AA129" s="444" t="b">
        <f t="shared" si="30"/>
        <v>1</v>
      </c>
      <c r="AB129" s="440"/>
      <c r="AC129" s="444" t="b">
        <f t="shared" si="31"/>
        <v>1</v>
      </c>
      <c r="AD129" s="444" t="b">
        <f t="shared" si="31"/>
        <v>1</v>
      </c>
      <c r="AE129" s="444" t="b">
        <f t="shared" si="31"/>
        <v>1</v>
      </c>
      <c r="AF129" s="444" t="b">
        <f t="shared" si="31"/>
        <v>1</v>
      </c>
      <c r="AG129" s="444" t="b">
        <f t="shared" si="31"/>
        <v>1</v>
      </c>
      <c r="AH129" s="440"/>
      <c r="AI129" s="440"/>
      <c r="AJ129" s="440"/>
      <c r="AK129" s="440"/>
      <c r="AL129" s="440"/>
      <c r="AM129" s="440"/>
      <c r="AN129" s="440"/>
      <c r="AO129" s="440"/>
    </row>
    <row r="130" spans="3:41" x14ac:dyDescent="0.25">
      <c r="C130" s="73"/>
      <c r="D130"/>
      <c r="E130"/>
      <c r="F130" t="s">
        <v>1036</v>
      </c>
      <c r="G130" t="s">
        <v>1023</v>
      </c>
      <c r="J130" s="444" t="b">
        <f t="shared" si="32"/>
        <v>1</v>
      </c>
      <c r="K130" s="440"/>
      <c r="L130" s="440"/>
      <c r="M130" s="444" t="b">
        <f t="shared" si="28"/>
        <v>1</v>
      </c>
      <c r="N130" s="444" t="b">
        <f t="shared" si="28"/>
        <v>1</v>
      </c>
      <c r="O130" s="444" t="b">
        <f t="shared" si="28"/>
        <v>1</v>
      </c>
      <c r="P130" s="444" t="b">
        <f t="shared" si="28"/>
        <v>1</v>
      </c>
      <c r="Q130" s="440"/>
      <c r="R130" s="440"/>
      <c r="S130" s="444" t="b">
        <f t="shared" si="29"/>
        <v>1</v>
      </c>
      <c r="T130" s="444" t="b">
        <f t="shared" si="29"/>
        <v>1</v>
      </c>
      <c r="U130" s="444" t="b">
        <f t="shared" si="29"/>
        <v>1</v>
      </c>
      <c r="V130" s="444" t="b">
        <f t="shared" si="29"/>
        <v>1</v>
      </c>
      <c r="W130" s="440"/>
      <c r="X130" s="444" t="b">
        <f t="shared" si="30"/>
        <v>1</v>
      </c>
      <c r="Y130" s="444" t="b">
        <f t="shared" si="30"/>
        <v>1</v>
      </c>
      <c r="Z130" s="444" t="b">
        <f t="shared" si="30"/>
        <v>1</v>
      </c>
      <c r="AA130" s="444" t="b">
        <f t="shared" si="30"/>
        <v>1</v>
      </c>
      <c r="AB130" s="440"/>
      <c r="AC130" s="444" t="b">
        <f t="shared" si="31"/>
        <v>1</v>
      </c>
      <c r="AD130" s="444" t="b">
        <f t="shared" si="31"/>
        <v>1</v>
      </c>
      <c r="AE130" s="444" t="b">
        <f t="shared" si="31"/>
        <v>1</v>
      </c>
      <c r="AF130" s="444" t="b">
        <f t="shared" si="31"/>
        <v>1</v>
      </c>
      <c r="AG130" s="444" t="b">
        <f t="shared" si="31"/>
        <v>1</v>
      </c>
      <c r="AH130" s="440"/>
      <c r="AI130" s="440"/>
      <c r="AJ130" s="440"/>
      <c r="AK130" s="440"/>
      <c r="AL130" s="440"/>
      <c r="AM130" s="440"/>
      <c r="AN130" s="440"/>
      <c r="AO130" s="440"/>
    </row>
    <row r="131" spans="3:41" x14ac:dyDescent="0.25">
      <c r="C131" s="73"/>
      <c r="D131"/>
      <c r="E131"/>
      <c r="F131" t="s">
        <v>1037</v>
      </c>
      <c r="G131" t="s">
        <v>1023</v>
      </c>
      <c r="J131" s="444" t="b">
        <f t="shared" si="32"/>
        <v>1</v>
      </c>
      <c r="K131" s="440"/>
      <c r="L131" s="440"/>
      <c r="M131" s="444" t="b">
        <f t="shared" si="28"/>
        <v>1</v>
      </c>
      <c r="N131" s="444" t="b">
        <f t="shared" si="28"/>
        <v>1</v>
      </c>
      <c r="O131" s="444" t="b">
        <f t="shared" si="28"/>
        <v>1</v>
      </c>
      <c r="P131" s="444" t="b">
        <f t="shared" si="28"/>
        <v>1</v>
      </c>
      <c r="Q131" s="440"/>
      <c r="R131" s="440"/>
      <c r="S131" s="444" t="b">
        <f t="shared" si="29"/>
        <v>1</v>
      </c>
      <c r="T131" s="444" t="b">
        <f t="shared" si="29"/>
        <v>1</v>
      </c>
      <c r="U131" s="444" t="b">
        <f t="shared" si="29"/>
        <v>1</v>
      </c>
      <c r="V131" s="444" t="b">
        <f t="shared" si="29"/>
        <v>1</v>
      </c>
      <c r="W131" s="440"/>
      <c r="X131" s="444" t="b">
        <f t="shared" si="30"/>
        <v>1</v>
      </c>
      <c r="Y131" s="444" t="b">
        <f t="shared" si="30"/>
        <v>1</v>
      </c>
      <c r="Z131" s="444" t="b">
        <f t="shared" si="30"/>
        <v>1</v>
      </c>
      <c r="AA131" s="444" t="b">
        <f t="shared" si="30"/>
        <v>1</v>
      </c>
      <c r="AB131" s="440"/>
      <c r="AC131" s="444" t="b">
        <f t="shared" si="31"/>
        <v>1</v>
      </c>
      <c r="AD131" s="444" t="b">
        <f t="shared" si="31"/>
        <v>1</v>
      </c>
      <c r="AE131" s="444" t="b">
        <f t="shared" si="31"/>
        <v>1</v>
      </c>
      <c r="AF131" s="444" t="b">
        <f t="shared" si="31"/>
        <v>1</v>
      </c>
      <c r="AG131" s="444" t="b">
        <f t="shared" si="31"/>
        <v>1</v>
      </c>
      <c r="AH131" s="440"/>
      <c r="AI131" s="440"/>
      <c r="AJ131" s="440"/>
      <c r="AK131" s="440"/>
      <c r="AL131" s="440"/>
      <c r="AM131" s="440"/>
      <c r="AN131" s="440"/>
      <c r="AO131" s="440"/>
    </row>
    <row r="132" spans="3:41" x14ac:dyDescent="0.25">
      <c r="C132" s="73"/>
      <c r="D132"/>
      <c r="E132"/>
      <c r="F132" t="s">
        <v>1038</v>
      </c>
      <c r="G132" t="s">
        <v>1023</v>
      </c>
      <c r="J132" s="444" t="b">
        <f t="shared" si="32"/>
        <v>1</v>
      </c>
      <c r="K132" s="440"/>
      <c r="L132" s="440"/>
      <c r="M132" s="444" t="b">
        <f t="shared" si="28"/>
        <v>1</v>
      </c>
      <c r="N132" s="444" t="b">
        <f t="shared" si="28"/>
        <v>1</v>
      </c>
      <c r="O132" s="444" t="b">
        <f t="shared" si="28"/>
        <v>1</v>
      </c>
      <c r="P132" s="444" t="b">
        <f t="shared" si="28"/>
        <v>1</v>
      </c>
      <c r="Q132" s="440"/>
      <c r="R132" s="440"/>
      <c r="S132" s="444" t="b">
        <f t="shared" si="29"/>
        <v>1</v>
      </c>
      <c r="T132" s="444" t="b">
        <f t="shared" si="29"/>
        <v>1</v>
      </c>
      <c r="U132" s="444" t="b">
        <f t="shared" si="29"/>
        <v>1</v>
      </c>
      <c r="V132" s="444" t="b">
        <f t="shared" si="29"/>
        <v>1</v>
      </c>
      <c r="W132" s="440"/>
      <c r="X132" s="444" t="b">
        <f t="shared" si="30"/>
        <v>1</v>
      </c>
      <c r="Y132" s="444" t="b">
        <f t="shared" si="30"/>
        <v>1</v>
      </c>
      <c r="Z132" s="444" t="b">
        <f t="shared" si="30"/>
        <v>1</v>
      </c>
      <c r="AA132" s="444" t="b">
        <f t="shared" si="30"/>
        <v>1</v>
      </c>
      <c r="AB132" s="440"/>
      <c r="AC132" s="444" t="b">
        <f t="shared" si="31"/>
        <v>1</v>
      </c>
      <c r="AD132" s="444" t="b">
        <f t="shared" si="31"/>
        <v>1</v>
      </c>
      <c r="AE132" s="444" t="b">
        <f t="shared" si="31"/>
        <v>1</v>
      </c>
      <c r="AF132" s="444" t="b">
        <f t="shared" si="31"/>
        <v>1</v>
      </c>
      <c r="AG132" s="444" t="b">
        <f t="shared" si="31"/>
        <v>1</v>
      </c>
      <c r="AH132" s="440"/>
      <c r="AI132" s="440"/>
      <c r="AJ132" s="440"/>
      <c r="AK132" s="440"/>
      <c r="AL132" s="440"/>
      <c r="AM132" s="440"/>
      <c r="AN132" s="440"/>
      <c r="AO132" s="440"/>
    </row>
    <row r="133" spans="3:41" x14ac:dyDescent="0.25">
      <c r="C133" s="73"/>
      <c r="D133"/>
      <c r="E133"/>
      <c r="F133" t="s">
        <v>1039</v>
      </c>
      <c r="G133" t="s">
        <v>1023</v>
      </c>
      <c r="J133" s="444" t="b">
        <f t="shared" si="32"/>
        <v>1</v>
      </c>
      <c r="K133" s="440"/>
      <c r="L133" s="440"/>
      <c r="M133" s="444" t="b">
        <f t="shared" si="28"/>
        <v>1</v>
      </c>
      <c r="N133" s="444" t="b">
        <f t="shared" si="28"/>
        <v>1</v>
      </c>
      <c r="O133" s="444" t="b">
        <f t="shared" si="28"/>
        <v>1</v>
      </c>
      <c r="P133" s="444" t="b">
        <f t="shared" si="28"/>
        <v>1</v>
      </c>
      <c r="Q133" s="440"/>
      <c r="R133" s="440"/>
      <c r="S133" s="444" t="b">
        <f t="shared" si="29"/>
        <v>1</v>
      </c>
      <c r="T133" s="444" t="b">
        <f t="shared" si="29"/>
        <v>1</v>
      </c>
      <c r="U133" s="444" t="b">
        <f t="shared" si="29"/>
        <v>1</v>
      </c>
      <c r="V133" s="444" t="b">
        <f t="shared" si="29"/>
        <v>1</v>
      </c>
      <c r="W133" s="440"/>
      <c r="X133" s="444" t="b">
        <f t="shared" si="30"/>
        <v>1</v>
      </c>
      <c r="Y133" s="444" t="b">
        <f t="shared" si="30"/>
        <v>1</v>
      </c>
      <c r="Z133" s="444" t="b">
        <f t="shared" si="30"/>
        <v>1</v>
      </c>
      <c r="AA133" s="444" t="b">
        <f t="shared" si="30"/>
        <v>1</v>
      </c>
      <c r="AB133" s="440"/>
      <c r="AC133" s="444" t="b">
        <f t="shared" si="31"/>
        <v>1</v>
      </c>
      <c r="AD133" s="444" t="b">
        <f t="shared" si="31"/>
        <v>1</v>
      </c>
      <c r="AE133" s="444" t="b">
        <f t="shared" si="31"/>
        <v>1</v>
      </c>
      <c r="AF133" s="444" t="b">
        <f t="shared" si="31"/>
        <v>1</v>
      </c>
      <c r="AG133" s="444" t="b">
        <f t="shared" si="31"/>
        <v>1</v>
      </c>
      <c r="AH133" s="440"/>
      <c r="AI133" s="440"/>
      <c r="AJ133" s="440"/>
      <c r="AK133" s="440"/>
      <c r="AL133" s="440"/>
      <c r="AM133" s="440"/>
      <c r="AN133" s="440"/>
      <c r="AO133" s="440"/>
    </row>
    <row r="134" spans="3:41" x14ac:dyDescent="0.25">
      <c r="C134" s="73"/>
      <c r="D134"/>
      <c r="E134"/>
      <c r="F134" s="17" t="s">
        <v>1040</v>
      </c>
      <c r="G134" s="17" t="s">
        <v>1023</v>
      </c>
      <c r="H134" s="17"/>
      <c r="I134" s="17"/>
      <c r="J134" s="445" t="b">
        <f t="shared" si="32"/>
        <v>1</v>
      </c>
      <c r="K134" s="442"/>
      <c r="L134" s="442"/>
      <c r="M134" s="445" t="b">
        <f t="shared" si="28"/>
        <v>1</v>
      </c>
      <c r="N134" s="445" t="b">
        <f t="shared" si="28"/>
        <v>1</v>
      </c>
      <c r="O134" s="445" t="b">
        <f t="shared" si="28"/>
        <v>1</v>
      </c>
      <c r="P134" s="445" t="b">
        <f t="shared" si="28"/>
        <v>1</v>
      </c>
      <c r="Q134" s="442"/>
      <c r="R134" s="442"/>
      <c r="S134" s="445" t="b">
        <f t="shared" si="29"/>
        <v>1</v>
      </c>
      <c r="T134" s="445" t="b">
        <f t="shared" si="29"/>
        <v>1</v>
      </c>
      <c r="U134" s="445" t="b">
        <f t="shared" si="29"/>
        <v>1</v>
      </c>
      <c r="V134" s="445" t="b">
        <f t="shared" si="29"/>
        <v>1</v>
      </c>
      <c r="W134" s="442"/>
      <c r="X134" s="445" t="b">
        <f t="shared" si="30"/>
        <v>1</v>
      </c>
      <c r="Y134" s="445" t="b">
        <f t="shared" si="30"/>
        <v>1</v>
      </c>
      <c r="Z134" s="445" t="b">
        <f t="shared" si="30"/>
        <v>1</v>
      </c>
      <c r="AA134" s="445" t="b">
        <f t="shared" si="30"/>
        <v>1</v>
      </c>
      <c r="AB134" s="442"/>
      <c r="AC134" s="445" t="b">
        <f t="shared" si="31"/>
        <v>1</v>
      </c>
      <c r="AD134" s="445" t="b">
        <f t="shared" si="31"/>
        <v>1</v>
      </c>
      <c r="AE134" s="445" t="b">
        <f t="shared" si="31"/>
        <v>1</v>
      </c>
      <c r="AF134" s="445" t="b">
        <f t="shared" si="31"/>
        <v>1</v>
      </c>
      <c r="AG134" s="445" t="b">
        <f t="shared" si="31"/>
        <v>1</v>
      </c>
      <c r="AH134" s="442"/>
      <c r="AI134" s="442"/>
      <c r="AJ134" s="442"/>
      <c r="AK134" s="442"/>
      <c r="AL134" s="442"/>
      <c r="AM134" s="442"/>
      <c r="AN134" s="442"/>
      <c r="AO134" s="442"/>
    </row>
    <row r="135" spans="3:41" x14ac:dyDescent="0.25">
      <c r="C135" s="73"/>
      <c r="D135"/>
      <c r="E135"/>
      <c r="J135" s="198"/>
      <c r="K135" s="198"/>
      <c r="L135" s="198"/>
      <c r="M135" s="444"/>
      <c r="N135" s="444"/>
      <c r="O135" s="444"/>
      <c r="P135" s="444"/>
      <c r="Q135" s="198"/>
      <c r="R135" s="198"/>
      <c r="S135" s="444"/>
      <c r="T135" s="444"/>
      <c r="U135" s="444"/>
      <c r="V135" s="444"/>
      <c r="W135" s="198"/>
      <c r="X135" s="444"/>
      <c r="Y135" s="444"/>
      <c r="Z135" s="444"/>
      <c r="AA135" s="444"/>
      <c r="AB135" s="198"/>
      <c r="AC135" s="444"/>
      <c r="AD135" s="444"/>
      <c r="AE135" s="444"/>
      <c r="AF135" s="444"/>
      <c r="AG135" s="198"/>
      <c r="AH135" s="198"/>
      <c r="AI135" s="198"/>
      <c r="AJ135" s="198"/>
      <c r="AK135" s="198"/>
      <c r="AL135" s="198"/>
      <c r="AM135" s="198"/>
      <c r="AN135" s="198"/>
      <c r="AO135" s="198"/>
    </row>
    <row r="136" spans="3:41" x14ac:dyDescent="0.25">
      <c r="C136" s="73"/>
      <c r="D136"/>
      <c r="E136" s="52" t="s">
        <v>1117</v>
      </c>
      <c r="J136" s="198"/>
      <c r="K136" s="198"/>
      <c r="L136" s="198"/>
      <c r="M136" s="198"/>
      <c r="N136" s="198"/>
      <c r="O136" s="198"/>
      <c r="P136" s="198"/>
      <c r="Q136" s="198"/>
      <c r="R136" s="198"/>
      <c r="S136" s="198"/>
      <c r="T136" s="198"/>
      <c r="U136" s="198"/>
      <c r="V136" s="198"/>
      <c r="W136" s="198"/>
      <c r="X136" s="198"/>
      <c r="Y136" s="198"/>
      <c r="Z136" s="198"/>
      <c r="AA136" s="198"/>
      <c r="AB136" s="198"/>
      <c r="AC136" s="198"/>
      <c r="AD136" s="198"/>
      <c r="AE136" s="198"/>
      <c r="AF136" s="198"/>
      <c r="AG136" s="198"/>
      <c r="AH136" s="198"/>
      <c r="AI136" s="198"/>
      <c r="AJ136" s="198"/>
      <c r="AK136" s="198"/>
      <c r="AL136" s="198"/>
      <c r="AM136" s="198"/>
      <c r="AN136" s="198"/>
      <c r="AO136" s="198"/>
    </row>
    <row r="137" spans="3:41" x14ac:dyDescent="0.25">
      <c r="C137" s="73"/>
      <c r="D137"/>
      <c r="E137"/>
      <c r="F137" s="80" t="s">
        <v>1033</v>
      </c>
      <c r="G137" s="80" t="s">
        <v>426</v>
      </c>
      <c r="H137" s="80"/>
      <c r="I137" s="80"/>
      <c r="J137" s="443">
        <f t="shared" ref="J137:J144" si="33">COUNTIFS($J127:$AO127,TRUE,$J$35:$AO$35,J$35)</f>
        <v>1</v>
      </c>
      <c r="K137" s="438"/>
      <c r="L137" s="438"/>
      <c r="M137" s="443">
        <f t="shared" ref="M137:P144" si="34">COUNTIFS($J127:$AO127,TRUE,$J$35:$AO$35,M$35)</f>
        <v>4</v>
      </c>
      <c r="N137" s="443">
        <f t="shared" si="34"/>
        <v>4</v>
      </c>
      <c r="O137" s="443">
        <f t="shared" si="34"/>
        <v>4</v>
      </c>
      <c r="P137" s="443">
        <f t="shared" si="34"/>
        <v>4</v>
      </c>
      <c r="Q137" s="438"/>
      <c r="R137" s="438"/>
      <c r="S137" s="443">
        <f t="shared" ref="S137:V144" si="35">COUNTIFS($J127:$AO127,TRUE,$J$35:$AO$35,S$35)</f>
        <v>8</v>
      </c>
      <c r="T137" s="443">
        <f t="shared" si="35"/>
        <v>8</v>
      </c>
      <c r="U137" s="443">
        <f t="shared" si="35"/>
        <v>8</v>
      </c>
      <c r="V137" s="443">
        <f t="shared" si="35"/>
        <v>8</v>
      </c>
      <c r="W137" s="438"/>
      <c r="X137" s="443">
        <f t="shared" ref="X137:AA144" si="36">COUNTIFS($J127:$AO127,TRUE,$J$35:$AO$35,X$35)</f>
        <v>8</v>
      </c>
      <c r="Y137" s="443">
        <f t="shared" si="36"/>
        <v>8</v>
      </c>
      <c r="Z137" s="443">
        <f t="shared" si="36"/>
        <v>8</v>
      </c>
      <c r="AA137" s="443">
        <f t="shared" si="36"/>
        <v>8</v>
      </c>
      <c r="AB137" s="438"/>
      <c r="AC137" s="443">
        <f t="shared" ref="AC137:AG144" si="37">COUNTIFS($J127:$AO127,TRUE,$J$35:$AO$35,AC$35)</f>
        <v>4</v>
      </c>
      <c r="AD137" s="443">
        <f t="shared" si="37"/>
        <v>4</v>
      </c>
      <c r="AE137" s="443">
        <f t="shared" si="37"/>
        <v>4</v>
      </c>
      <c r="AF137" s="443">
        <f t="shared" si="37"/>
        <v>4</v>
      </c>
      <c r="AG137" s="443">
        <f t="shared" si="37"/>
        <v>1</v>
      </c>
      <c r="AH137" s="438"/>
      <c r="AI137" s="438"/>
      <c r="AJ137" s="438"/>
      <c r="AK137" s="438"/>
      <c r="AL137" s="438"/>
      <c r="AM137" s="438"/>
      <c r="AN137" s="438"/>
      <c r="AO137" s="438"/>
    </row>
    <row r="138" spans="3:41" x14ac:dyDescent="0.25">
      <c r="C138" s="73"/>
      <c r="D138"/>
      <c r="E138"/>
      <c r="F138" t="s">
        <v>1034</v>
      </c>
      <c r="G138" t="s">
        <v>426</v>
      </c>
      <c r="J138" s="444">
        <f t="shared" si="33"/>
        <v>1</v>
      </c>
      <c r="K138" s="440"/>
      <c r="L138" s="440"/>
      <c r="M138" s="444">
        <f t="shared" si="34"/>
        <v>4</v>
      </c>
      <c r="N138" s="444">
        <f t="shared" si="34"/>
        <v>4</v>
      </c>
      <c r="O138" s="444">
        <f t="shared" si="34"/>
        <v>4</v>
      </c>
      <c r="P138" s="444">
        <f t="shared" si="34"/>
        <v>4</v>
      </c>
      <c r="Q138" s="440"/>
      <c r="R138" s="440"/>
      <c r="S138" s="444">
        <f t="shared" si="35"/>
        <v>8</v>
      </c>
      <c r="T138" s="444">
        <f t="shared" si="35"/>
        <v>8</v>
      </c>
      <c r="U138" s="444">
        <f t="shared" si="35"/>
        <v>8</v>
      </c>
      <c r="V138" s="444">
        <f t="shared" si="35"/>
        <v>8</v>
      </c>
      <c r="W138" s="440"/>
      <c r="X138" s="444">
        <f t="shared" si="36"/>
        <v>8</v>
      </c>
      <c r="Y138" s="444">
        <f t="shared" si="36"/>
        <v>8</v>
      </c>
      <c r="Z138" s="444">
        <f t="shared" si="36"/>
        <v>8</v>
      </c>
      <c r="AA138" s="444">
        <f t="shared" si="36"/>
        <v>8</v>
      </c>
      <c r="AB138" s="440"/>
      <c r="AC138" s="444">
        <f t="shared" si="37"/>
        <v>4</v>
      </c>
      <c r="AD138" s="444">
        <f t="shared" si="37"/>
        <v>4</v>
      </c>
      <c r="AE138" s="444">
        <f t="shared" si="37"/>
        <v>4</v>
      </c>
      <c r="AF138" s="444">
        <f t="shared" si="37"/>
        <v>4</v>
      </c>
      <c r="AG138" s="444">
        <f t="shared" si="37"/>
        <v>1</v>
      </c>
      <c r="AH138" s="440"/>
      <c r="AI138" s="440"/>
      <c r="AJ138" s="440"/>
      <c r="AK138" s="440"/>
      <c r="AL138" s="440"/>
      <c r="AM138" s="440"/>
      <c r="AN138" s="440"/>
      <c r="AO138" s="440"/>
    </row>
    <row r="139" spans="3:41" x14ac:dyDescent="0.25">
      <c r="C139" s="73"/>
      <c r="D139"/>
      <c r="E139"/>
      <c r="F139" t="s">
        <v>1035</v>
      </c>
      <c r="G139" t="s">
        <v>426</v>
      </c>
      <c r="J139" s="444">
        <f t="shared" si="33"/>
        <v>1</v>
      </c>
      <c r="K139" s="440"/>
      <c r="L139" s="440"/>
      <c r="M139" s="444">
        <f t="shared" si="34"/>
        <v>4</v>
      </c>
      <c r="N139" s="444">
        <f t="shared" si="34"/>
        <v>4</v>
      </c>
      <c r="O139" s="444">
        <f t="shared" si="34"/>
        <v>4</v>
      </c>
      <c r="P139" s="444">
        <f t="shared" si="34"/>
        <v>4</v>
      </c>
      <c r="Q139" s="440"/>
      <c r="R139" s="440"/>
      <c r="S139" s="444">
        <f t="shared" si="35"/>
        <v>8</v>
      </c>
      <c r="T139" s="444">
        <f t="shared" si="35"/>
        <v>8</v>
      </c>
      <c r="U139" s="444">
        <f t="shared" si="35"/>
        <v>8</v>
      </c>
      <c r="V139" s="444">
        <f t="shared" si="35"/>
        <v>8</v>
      </c>
      <c r="W139" s="440"/>
      <c r="X139" s="444">
        <f t="shared" si="36"/>
        <v>8</v>
      </c>
      <c r="Y139" s="444">
        <f t="shared" si="36"/>
        <v>8</v>
      </c>
      <c r="Z139" s="444">
        <f t="shared" si="36"/>
        <v>8</v>
      </c>
      <c r="AA139" s="444">
        <f t="shared" si="36"/>
        <v>8</v>
      </c>
      <c r="AB139" s="440"/>
      <c r="AC139" s="444">
        <f t="shared" si="37"/>
        <v>4</v>
      </c>
      <c r="AD139" s="444">
        <f t="shared" si="37"/>
        <v>4</v>
      </c>
      <c r="AE139" s="444">
        <f t="shared" si="37"/>
        <v>4</v>
      </c>
      <c r="AF139" s="444">
        <f t="shared" si="37"/>
        <v>4</v>
      </c>
      <c r="AG139" s="444">
        <f t="shared" si="37"/>
        <v>1</v>
      </c>
      <c r="AH139" s="440"/>
      <c r="AI139" s="440"/>
      <c r="AJ139" s="440"/>
      <c r="AK139" s="440"/>
      <c r="AL139" s="440"/>
      <c r="AM139" s="440"/>
      <c r="AN139" s="440"/>
      <c r="AO139" s="440"/>
    </row>
    <row r="140" spans="3:41" x14ac:dyDescent="0.25">
      <c r="C140" s="73"/>
      <c r="D140"/>
      <c r="E140"/>
      <c r="F140" t="s">
        <v>1036</v>
      </c>
      <c r="G140" t="s">
        <v>426</v>
      </c>
      <c r="J140" s="444">
        <f t="shared" si="33"/>
        <v>1</v>
      </c>
      <c r="K140" s="440"/>
      <c r="L140" s="440"/>
      <c r="M140" s="444">
        <f t="shared" si="34"/>
        <v>4</v>
      </c>
      <c r="N140" s="444">
        <f t="shared" si="34"/>
        <v>4</v>
      </c>
      <c r="O140" s="444">
        <f t="shared" si="34"/>
        <v>4</v>
      </c>
      <c r="P140" s="444">
        <f t="shared" si="34"/>
        <v>4</v>
      </c>
      <c r="Q140" s="440"/>
      <c r="R140" s="440"/>
      <c r="S140" s="444">
        <f t="shared" si="35"/>
        <v>8</v>
      </c>
      <c r="T140" s="444">
        <f t="shared" si="35"/>
        <v>8</v>
      </c>
      <c r="U140" s="444">
        <f t="shared" si="35"/>
        <v>8</v>
      </c>
      <c r="V140" s="444">
        <f t="shared" si="35"/>
        <v>8</v>
      </c>
      <c r="W140" s="440"/>
      <c r="X140" s="444">
        <f t="shared" si="36"/>
        <v>8</v>
      </c>
      <c r="Y140" s="444">
        <f t="shared" si="36"/>
        <v>8</v>
      </c>
      <c r="Z140" s="444">
        <f t="shared" si="36"/>
        <v>8</v>
      </c>
      <c r="AA140" s="444">
        <f t="shared" si="36"/>
        <v>8</v>
      </c>
      <c r="AB140" s="440"/>
      <c r="AC140" s="444">
        <f t="shared" si="37"/>
        <v>4</v>
      </c>
      <c r="AD140" s="444">
        <f t="shared" si="37"/>
        <v>4</v>
      </c>
      <c r="AE140" s="444">
        <f t="shared" si="37"/>
        <v>4</v>
      </c>
      <c r="AF140" s="444">
        <f t="shared" si="37"/>
        <v>4</v>
      </c>
      <c r="AG140" s="444">
        <f t="shared" si="37"/>
        <v>1</v>
      </c>
      <c r="AH140" s="440"/>
      <c r="AI140" s="440"/>
      <c r="AJ140" s="440"/>
      <c r="AK140" s="440"/>
      <c r="AL140" s="440"/>
      <c r="AM140" s="440"/>
      <c r="AN140" s="440"/>
      <c r="AO140" s="440"/>
    </row>
    <row r="141" spans="3:41" x14ac:dyDescent="0.25">
      <c r="C141" s="73"/>
      <c r="D141"/>
      <c r="E141"/>
      <c r="F141" t="s">
        <v>1037</v>
      </c>
      <c r="G141" t="s">
        <v>426</v>
      </c>
      <c r="J141" s="444">
        <f t="shared" si="33"/>
        <v>1</v>
      </c>
      <c r="K141" s="440"/>
      <c r="L141" s="440"/>
      <c r="M141" s="444">
        <f t="shared" si="34"/>
        <v>4</v>
      </c>
      <c r="N141" s="444">
        <f t="shared" si="34"/>
        <v>4</v>
      </c>
      <c r="O141" s="444">
        <f t="shared" si="34"/>
        <v>4</v>
      </c>
      <c r="P141" s="444">
        <f t="shared" si="34"/>
        <v>4</v>
      </c>
      <c r="Q141" s="440"/>
      <c r="R141" s="440"/>
      <c r="S141" s="444">
        <f t="shared" si="35"/>
        <v>8</v>
      </c>
      <c r="T141" s="444">
        <f t="shared" si="35"/>
        <v>8</v>
      </c>
      <c r="U141" s="444">
        <f t="shared" si="35"/>
        <v>8</v>
      </c>
      <c r="V141" s="444">
        <f t="shared" si="35"/>
        <v>8</v>
      </c>
      <c r="W141" s="440"/>
      <c r="X141" s="444">
        <f t="shared" si="36"/>
        <v>8</v>
      </c>
      <c r="Y141" s="444">
        <f t="shared" si="36"/>
        <v>8</v>
      </c>
      <c r="Z141" s="444">
        <f t="shared" si="36"/>
        <v>8</v>
      </c>
      <c r="AA141" s="444">
        <f t="shared" si="36"/>
        <v>8</v>
      </c>
      <c r="AB141" s="440"/>
      <c r="AC141" s="444">
        <f t="shared" si="37"/>
        <v>4</v>
      </c>
      <c r="AD141" s="444">
        <f t="shared" si="37"/>
        <v>4</v>
      </c>
      <c r="AE141" s="444">
        <f t="shared" si="37"/>
        <v>4</v>
      </c>
      <c r="AF141" s="444">
        <f t="shared" si="37"/>
        <v>4</v>
      </c>
      <c r="AG141" s="444">
        <f t="shared" si="37"/>
        <v>1</v>
      </c>
      <c r="AH141" s="440"/>
      <c r="AI141" s="440"/>
      <c r="AJ141" s="440"/>
      <c r="AK141" s="440"/>
      <c r="AL141" s="440"/>
      <c r="AM141" s="440"/>
      <c r="AN141" s="440"/>
      <c r="AO141" s="440"/>
    </row>
    <row r="142" spans="3:41" x14ac:dyDescent="0.25">
      <c r="C142" s="73"/>
      <c r="D142"/>
      <c r="E142"/>
      <c r="F142" t="s">
        <v>1038</v>
      </c>
      <c r="G142" t="s">
        <v>426</v>
      </c>
      <c r="J142" s="444">
        <f t="shared" si="33"/>
        <v>1</v>
      </c>
      <c r="K142" s="440"/>
      <c r="L142" s="440"/>
      <c r="M142" s="444">
        <f t="shared" si="34"/>
        <v>4</v>
      </c>
      <c r="N142" s="444">
        <f t="shared" si="34"/>
        <v>4</v>
      </c>
      <c r="O142" s="444">
        <f t="shared" si="34"/>
        <v>4</v>
      </c>
      <c r="P142" s="444">
        <f t="shared" si="34"/>
        <v>4</v>
      </c>
      <c r="Q142" s="440"/>
      <c r="R142" s="440"/>
      <c r="S142" s="444">
        <f t="shared" si="35"/>
        <v>8</v>
      </c>
      <c r="T142" s="444">
        <f t="shared" si="35"/>
        <v>8</v>
      </c>
      <c r="U142" s="444">
        <f t="shared" si="35"/>
        <v>8</v>
      </c>
      <c r="V142" s="444">
        <f t="shared" si="35"/>
        <v>8</v>
      </c>
      <c r="W142" s="440"/>
      <c r="X142" s="444">
        <f t="shared" si="36"/>
        <v>8</v>
      </c>
      <c r="Y142" s="444">
        <f t="shared" si="36"/>
        <v>8</v>
      </c>
      <c r="Z142" s="444">
        <f t="shared" si="36"/>
        <v>8</v>
      </c>
      <c r="AA142" s="444">
        <f t="shared" si="36"/>
        <v>8</v>
      </c>
      <c r="AB142" s="440"/>
      <c r="AC142" s="444">
        <f t="shared" si="37"/>
        <v>4</v>
      </c>
      <c r="AD142" s="444">
        <f t="shared" si="37"/>
        <v>4</v>
      </c>
      <c r="AE142" s="444">
        <f t="shared" si="37"/>
        <v>4</v>
      </c>
      <c r="AF142" s="444">
        <f t="shared" si="37"/>
        <v>4</v>
      </c>
      <c r="AG142" s="444">
        <f t="shared" si="37"/>
        <v>1</v>
      </c>
      <c r="AH142" s="440"/>
      <c r="AI142" s="440"/>
      <c r="AJ142" s="440"/>
      <c r="AK142" s="440"/>
      <c r="AL142" s="440"/>
      <c r="AM142" s="440"/>
      <c r="AN142" s="440"/>
      <c r="AO142" s="440"/>
    </row>
    <row r="143" spans="3:41" x14ac:dyDescent="0.25">
      <c r="C143" s="73"/>
      <c r="D143"/>
      <c r="E143"/>
      <c r="F143" t="s">
        <v>1039</v>
      </c>
      <c r="G143" t="s">
        <v>426</v>
      </c>
      <c r="J143" s="444">
        <f t="shared" si="33"/>
        <v>1</v>
      </c>
      <c r="K143" s="440"/>
      <c r="L143" s="440"/>
      <c r="M143" s="444">
        <f t="shared" si="34"/>
        <v>4</v>
      </c>
      <c r="N143" s="444">
        <f t="shared" si="34"/>
        <v>4</v>
      </c>
      <c r="O143" s="444">
        <f t="shared" si="34"/>
        <v>4</v>
      </c>
      <c r="P143" s="444">
        <f t="shared" si="34"/>
        <v>4</v>
      </c>
      <c r="Q143" s="440"/>
      <c r="R143" s="440"/>
      <c r="S143" s="444">
        <f t="shared" si="35"/>
        <v>8</v>
      </c>
      <c r="T143" s="444">
        <f t="shared" si="35"/>
        <v>8</v>
      </c>
      <c r="U143" s="444">
        <f t="shared" si="35"/>
        <v>8</v>
      </c>
      <c r="V143" s="444">
        <f t="shared" si="35"/>
        <v>8</v>
      </c>
      <c r="W143" s="440"/>
      <c r="X143" s="444">
        <f t="shared" si="36"/>
        <v>8</v>
      </c>
      <c r="Y143" s="444">
        <f t="shared" si="36"/>
        <v>8</v>
      </c>
      <c r="Z143" s="444">
        <f t="shared" si="36"/>
        <v>8</v>
      </c>
      <c r="AA143" s="444">
        <f t="shared" si="36"/>
        <v>8</v>
      </c>
      <c r="AB143" s="440"/>
      <c r="AC143" s="444">
        <f t="shared" si="37"/>
        <v>4</v>
      </c>
      <c r="AD143" s="444">
        <f t="shared" si="37"/>
        <v>4</v>
      </c>
      <c r="AE143" s="444">
        <f t="shared" si="37"/>
        <v>4</v>
      </c>
      <c r="AF143" s="444">
        <f t="shared" si="37"/>
        <v>4</v>
      </c>
      <c r="AG143" s="444">
        <f t="shared" si="37"/>
        <v>1</v>
      </c>
      <c r="AH143" s="440"/>
      <c r="AI143" s="440"/>
      <c r="AJ143" s="440"/>
      <c r="AK143" s="440"/>
      <c r="AL143" s="440"/>
      <c r="AM143" s="440"/>
      <c r="AN143" s="440"/>
      <c r="AO143" s="440"/>
    </row>
    <row r="144" spans="3:41" x14ac:dyDescent="0.25">
      <c r="C144" s="73"/>
      <c r="D144"/>
      <c r="E144"/>
      <c r="F144" s="17" t="s">
        <v>1040</v>
      </c>
      <c r="G144" s="17" t="s">
        <v>426</v>
      </c>
      <c r="H144" s="17"/>
      <c r="I144" s="17"/>
      <c r="J144" s="445">
        <f t="shared" si="33"/>
        <v>1</v>
      </c>
      <c r="K144" s="442"/>
      <c r="L144" s="442"/>
      <c r="M144" s="445">
        <f t="shared" si="34"/>
        <v>4</v>
      </c>
      <c r="N144" s="445">
        <f t="shared" si="34"/>
        <v>4</v>
      </c>
      <c r="O144" s="445">
        <f t="shared" si="34"/>
        <v>4</v>
      </c>
      <c r="P144" s="445">
        <f t="shared" si="34"/>
        <v>4</v>
      </c>
      <c r="Q144" s="442"/>
      <c r="R144" s="442"/>
      <c r="S144" s="445">
        <f t="shared" si="35"/>
        <v>8</v>
      </c>
      <c r="T144" s="445">
        <f t="shared" si="35"/>
        <v>8</v>
      </c>
      <c r="U144" s="445">
        <f t="shared" si="35"/>
        <v>8</v>
      </c>
      <c r="V144" s="445">
        <f t="shared" si="35"/>
        <v>8</v>
      </c>
      <c r="W144" s="442"/>
      <c r="X144" s="445">
        <f t="shared" si="36"/>
        <v>8</v>
      </c>
      <c r="Y144" s="445">
        <f t="shared" si="36"/>
        <v>8</v>
      </c>
      <c r="Z144" s="445">
        <f t="shared" si="36"/>
        <v>8</v>
      </c>
      <c r="AA144" s="445">
        <f t="shared" si="36"/>
        <v>8</v>
      </c>
      <c r="AB144" s="442"/>
      <c r="AC144" s="445">
        <f t="shared" si="37"/>
        <v>4</v>
      </c>
      <c r="AD144" s="445">
        <f t="shared" si="37"/>
        <v>4</v>
      </c>
      <c r="AE144" s="445">
        <f t="shared" si="37"/>
        <v>4</v>
      </c>
      <c r="AF144" s="445">
        <f t="shared" si="37"/>
        <v>4</v>
      </c>
      <c r="AG144" s="445">
        <f t="shared" si="37"/>
        <v>1</v>
      </c>
      <c r="AH144" s="442"/>
      <c r="AI144" s="442"/>
      <c r="AJ144" s="442"/>
      <c r="AK144" s="442"/>
      <c r="AL144" s="442"/>
      <c r="AM144" s="442"/>
      <c r="AN144" s="442"/>
      <c r="AO144" s="442"/>
    </row>
    <row r="145" spans="3:41" x14ac:dyDescent="0.25">
      <c r="C145" s="73"/>
      <c r="D145"/>
      <c r="E145"/>
      <c r="J145" s="198"/>
      <c r="K145" s="198"/>
      <c r="L145" s="198"/>
      <c r="M145" s="444"/>
      <c r="N145" s="198"/>
      <c r="O145" s="198"/>
      <c r="P145" s="198"/>
      <c r="Q145" s="198"/>
      <c r="R145" s="198"/>
      <c r="S145" s="444"/>
      <c r="T145" s="198"/>
      <c r="U145" s="198"/>
      <c r="V145" s="198"/>
      <c r="W145" s="198"/>
      <c r="X145" s="444"/>
      <c r="Y145" s="198"/>
      <c r="Z145" s="198"/>
      <c r="AA145" s="198"/>
      <c r="AB145" s="198"/>
      <c r="AC145" s="444"/>
      <c r="AD145" s="198"/>
      <c r="AE145" s="198"/>
      <c r="AF145" s="198"/>
      <c r="AG145" s="198"/>
      <c r="AH145" s="198"/>
      <c r="AI145" s="198"/>
      <c r="AJ145" s="198"/>
      <c r="AK145" s="198"/>
      <c r="AL145" s="198"/>
      <c r="AM145" s="198"/>
      <c r="AN145" s="198"/>
      <c r="AO145" s="198"/>
    </row>
    <row r="146" spans="3:41" x14ac:dyDescent="0.25">
      <c r="C146" s="73"/>
      <c r="D146"/>
      <c r="E146" t="s">
        <v>1118</v>
      </c>
      <c r="J146" s="444">
        <f>MAX(J137:J144)</f>
        <v>1</v>
      </c>
      <c r="K146" s="440"/>
      <c r="L146" s="440"/>
      <c r="M146" s="444">
        <f t="shared" ref="M146:P146" si="38">MAX(M137:M144)</f>
        <v>4</v>
      </c>
      <c r="N146" s="444">
        <f t="shared" si="38"/>
        <v>4</v>
      </c>
      <c r="O146" s="444">
        <f t="shared" si="38"/>
        <v>4</v>
      </c>
      <c r="P146" s="444">
        <f t="shared" si="38"/>
        <v>4</v>
      </c>
      <c r="Q146" s="440"/>
      <c r="R146" s="440"/>
      <c r="S146" s="444">
        <f t="shared" ref="S146:V146" si="39">MAX(S137:S144)</f>
        <v>8</v>
      </c>
      <c r="T146" s="444">
        <f t="shared" si="39"/>
        <v>8</v>
      </c>
      <c r="U146" s="444">
        <f t="shared" si="39"/>
        <v>8</v>
      </c>
      <c r="V146" s="444">
        <f t="shared" si="39"/>
        <v>8</v>
      </c>
      <c r="W146" s="440"/>
      <c r="X146" s="444">
        <f t="shared" ref="X146:AA146" si="40">MAX(X137:X144)</f>
        <v>8</v>
      </c>
      <c r="Y146" s="444">
        <f t="shared" si="40"/>
        <v>8</v>
      </c>
      <c r="Z146" s="444">
        <f t="shared" si="40"/>
        <v>8</v>
      </c>
      <c r="AA146" s="444">
        <f t="shared" si="40"/>
        <v>8</v>
      </c>
      <c r="AB146" s="440"/>
      <c r="AC146" s="444">
        <f t="shared" ref="AC146:AG146" si="41">MAX(AC137:AC144)</f>
        <v>4</v>
      </c>
      <c r="AD146" s="444">
        <f t="shared" si="41"/>
        <v>4</v>
      </c>
      <c r="AE146" s="444">
        <f t="shared" si="41"/>
        <v>4</v>
      </c>
      <c r="AF146" s="444">
        <f t="shared" si="41"/>
        <v>4</v>
      </c>
      <c r="AG146" s="444">
        <f t="shared" si="41"/>
        <v>1</v>
      </c>
      <c r="AH146" s="440"/>
      <c r="AI146" s="440"/>
      <c r="AJ146" s="440"/>
      <c r="AK146" s="440"/>
      <c r="AL146" s="440"/>
      <c r="AM146" s="440"/>
      <c r="AN146" s="440"/>
      <c r="AO146" s="440"/>
    </row>
    <row r="147" spans="3:41" x14ac:dyDescent="0.25">
      <c r="C147" s="73"/>
      <c r="D147"/>
      <c r="E147"/>
      <c r="J147" s="198"/>
      <c r="K147" s="198"/>
      <c r="L147" s="198"/>
      <c r="M147" s="444"/>
      <c r="N147" s="198"/>
      <c r="O147" s="198"/>
      <c r="P147" s="198"/>
      <c r="Q147" s="198"/>
      <c r="R147" s="198"/>
      <c r="S147" s="444"/>
      <c r="T147" s="198"/>
      <c r="U147" s="198"/>
      <c r="V147" s="198"/>
      <c r="W147" s="198"/>
      <c r="X147" s="444"/>
      <c r="Y147" s="198"/>
      <c r="Z147" s="198"/>
      <c r="AA147" s="198"/>
      <c r="AB147" s="198"/>
      <c r="AC147" s="444"/>
      <c r="AD147" s="198"/>
      <c r="AE147" s="198"/>
      <c r="AF147" s="198"/>
      <c r="AG147" s="198"/>
      <c r="AH147" s="198"/>
      <c r="AI147" s="198"/>
      <c r="AJ147" s="198"/>
      <c r="AK147" s="198"/>
      <c r="AL147" s="198"/>
      <c r="AM147" s="198"/>
      <c r="AN147" s="198"/>
      <c r="AO147" s="198"/>
    </row>
    <row r="148" spans="3:41" x14ac:dyDescent="0.25">
      <c r="C148" s="73"/>
      <c r="D148"/>
      <c r="E148" t="s">
        <v>1119</v>
      </c>
      <c r="G148" t="s">
        <v>426</v>
      </c>
      <c r="J148" s="444">
        <f t="array" ref="J148">MATCH(TRUE, J137:J144=J146, 0)</f>
        <v>1</v>
      </c>
      <c r="K148" s="444">
        <f t="array" ref="K148">MATCH(TRUE, K137:K144=K146, 0)</f>
        <v>1</v>
      </c>
      <c r="L148" s="444">
        <f t="array" ref="L148">MATCH(TRUE, L137:L144=L146, 0)</f>
        <v>1</v>
      </c>
      <c r="M148" s="444">
        <f t="array" ref="M148">MATCH(TRUE, M137:M144=M146, 0)</f>
        <v>1</v>
      </c>
      <c r="N148" s="444">
        <f t="array" ref="N148">MATCH(TRUE, N137:N144=N146, 0)</f>
        <v>1</v>
      </c>
      <c r="O148" s="444">
        <f t="array" ref="O148">MATCH(TRUE, O137:O144=O146, 0)</f>
        <v>1</v>
      </c>
      <c r="P148" s="444">
        <f t="array" ref="P148">MATCH(TRUE, P137:P144=P146, 0)</f>
        <v>1</v>
      </c>
      <c r="Q148" s="444">
        <f t="array" ref="Q148">MATCH(TRUE, Q137:Q144=Q146, 0)</f>
        <v>1</v>
      </c>
      <c r="R148" s="444">
        <f t="array" ref="R148">MATCH(TRUE, R137:R144=R146, 0)</f>
        <v>1</v>
      </c>
      <c r="S148" s="444">
        <f t="array" ref="S148">MATCH(TRUE, S137:S144=S146, 0)</f>
        <v>1</v>
      </c>
      <c r="T148" s="444">
        <f t="array" ref="T148">MATCH(TRUE, T137:T144=T146, 0)</f>
        <v>1</v>
      </c>
      <c r="U148" s="444">
        <f t="array" ref="U148">MATCH(TRUE, U137:U144=U146, 0)</f>
        <v>1</v>
      </c>
      <c r="V148" s="444">
        <f t="array" ref="V148">MATCH(TRUE, V137:V144=V146, 0)</f>
        <v>1</v>
      </c>
      <c r="W148" s="444">
        <f t="array" ref="W148">MATCH(TRUE, W137:W144=W146, 0)</f>
        <v>1</v>
      </c>
      <c r="X148" s="444">
        <f t="array" ref="X148">MATCH(TRUE, X137:X144=X146, 0)</f>
        <v>1</v>
      </c>
      <c r="Y148" s="444">
        <f t="array" ref="Y148">MATCH(TRUE, Y137:Y144=Y146, 0)</f>
        <v>1</v>
      </c>
      <c r="Z148" s="444">
        <f t="array" ref="Z148">MATCH(TRUE, Z137:Z144=Z146, 0)</f>
        <v>1</v>
      </c>
      <c r="AA148" s="444">
        <f t="array" ref="AA148">MATCH(TRUE, AA137:AA144=AA146, 0)</f>
        <v>1</v>
      </c>
      <c r="AB148" s="444">
        <f t="array" ref="AB148">MATCH(TRUE, AB137:AB144=AB146, 0)</f>
        <v>1</v>
      </c>
      <c r="AC148" s="444">
        <f t="array" ref="AC148">MATCH(TRUE, AC137:AC144=AC146, 0)</f>
        <v>1</v>
      </c>
      <c r="AD148" s="444">
        <f t="array" ref="AD148">MATCH(TRUE, AD137:AD144=AD146, 0)</f>
        <v>1</v>
      </c>
      <c r="AE148" s="444">
        <f t="array" ref="AE148">MATCH(TRUE, AE137:AE144=AE146, 0)</f>
        <v>1</v>
      </c>
      <c r="AF148" s="444">
        <f t="array" ref="AF148">MATCH(TRUE, AF137:AF144=AF146, 0)</f>
        <v>1</v>
      </c>
      <c r="AG148" s="444">
        <f t="array" ref="AG148">MATCH(TRUE, AG137:AG144=AG146, 0)</f>
        <v>1</v>
      </c>
      <c r="AH148" s="444">
        <f t="array" ref="AH148">MATCH(TRUE, AH137:AH144=AH146, 0)</f>
        <v>1</v>
      </c>
      <c r="AI148" s="444">
        <f t="array" ref="AI148">MATCH(TRUE, AI137:AI144=AI146, 0)</f>
        <v>1</v>
      </c>
      <c r="AJ148" s="444">
        <f t="array" ref="AJ148">MATCH(TRUE, AJ137:AJ144=AJ146, 0)</f>
        <v>1</v>
      </c>
      <c r="AK148" s="444">
        <f t="array" ref="AK148">MATCH(TRUE, AK137:AK144=AK146, 0)</f>
        <v>1</v>
      </c>
      <c r="AL148" s="444">
        <f t="array" ref="AL148">MATCH(TRUE, AL137:AL144=AL146, 0)</f>
        <v>1</v>
      </c>
      <c r="AM148" s="444">
        <f t="array" ref="AM148">MATCH(TRUE, AM137:AM144=AM146, 0)</f>
        <v>1</v>
      </c>
      <c r="AN148" s="444">
        <f t="array" ref="AN148">MATCH(TRUE, AN137:AN144=AN146, 0)</f>
        <v>1</v>
      </c>
      <c r="AO148" s="444">
        <f t="array" ref="AO148">MATCH(TRUE, AO137:AO144=AO146, 0)</f>
        <v>1</v>
      </c>
    </row>
    <row r="149" spans="3:41" x14ac:dyDescent="0.25">
      <c r="C149" s="73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</row>
    <row r="150" spans="3:41" x14ac:dyDescent="0.25">
      <c r="C150" s="73"/>
      <c r="E150" t="s">
        <v>1120</v>
      </c>
      <c r="G150" t="s">
        <v>426</v>
      </c>
      <c r="J150" s="446">
        <f>INDEX(J105:J112,J$148)</f>
        <v>1</v>
      </c>
      <c r="K150" s="446">
        <f t="shared" ref="K150:AO150" si="42">INDEX(K105:K112,K$148)</f>
        <v>0</v>
      </c>
      <c r="L150" s="446">
        <f t="shared" si="42"/>
        <v>0</v>
      </c>
      <c r="M150" s="446">
        <f t="shared" si="42"/>
        <v>5</v>
      </c>
      <c r="N150" s="446">
        <f t="shared" si="42"/>
        <v>6</v>
      </c>
      <c r="O150" s="446">
        <f t="shared" si="42"/>
        <v>7</v>
      </c>
      <c r="P150" s="446">
        <f t="shared" si="42"/>
        <v>8</v>
      </c>
      <c r="Q150" s="446">
        <f t="shared" si="42"/>
        <v>0</v>
      </c>
      <c r="R150" s="446">
        <f t="shared" si="42"/>
        <v>0</v>
      </c>
      <c r="S150" s="446">
        <f t="shared" si="42"/>
        <v>9</v>
      </c>
      <c r="T150" s="446">
        <f t="shared" si="42"/>
        <v>10</v>
      </c>
      <c r="U150" s="446">
        <f t="shared" si="42"/>
        <v>11</v>
      </c>
      <c r="V150" s="446">
        <f t="shared" si="42"/>
        <v>12</v>
      </c>
      <c r="W150" s="446">
        <f t="shared" si="42"/>
        <v>0</v>
      </c>
      <c r="X150" s="446">
        <f t="shared" si="42"/>
        <v>9</v>
      </c>
      <c r="Y150" s="446">
        <f t="shared" si="42"/>
        <v>10</v>
      </c>
      <c r="Z150" s="446">
        <f t="shared" si="42"/>
        <v>11</v>
      </c>
      <c r="AA150" s="446">
        <f t="shared" si="42"/>
        <v>12</v>
      </c>
      <c r="AB150" s="446">
        <f t="shared" si="42"/>
        <v>0</v>
      </c>
      <c r="AC150" s="446">
        <f t="shared" si="42"/>
        <v>13</v>
      </c>
      <c r="AD150" s="446">
        <f t="shared" si="42"/>
        <v>14</v>
      </c>
      <c r="AE150" s="446">
        <f t="shared" si="42"/>
        <v>15</v>
      </c>
      <c r="AF150" s="446">
        <f t="shared" si="42"/>
        <v>16</v>
      </c>
      <c r="AG150" s="446">
        <f t="shared" si="42"/>
        <v>17</v>
      </c>
      <c r="AH150" s="446">
        <f t="shared" si="42"/>
        <v>0</v>
      </c>
      <c r="AI150" s="446">
        <f t="shared" si="42"/>
        <v>0</v>
      </c>
      <c r="AJ150" s="446">
        <f t="shared" si="42"/>
        <v>0</v>
      </c>
      <c r="AK150" s="446">
        <f t="shared" si="42"/>
        <v>0</v>
      </c>
      <c r="AL150" s="446">
        <f t="shared" si="42"/>
        <v>0</v>
      </c>
      <c r="AM150" s="446">
        <f t="shared" si="42"/>
        <v>0</v>
      </c>
      <c r="AN150" s="446">
        <f t="shared" si="42"/>
        <v>0</v>
      </c>
      <c r="AO150" s="446">
        <f t="shared" si="42"/>
        <v>0</v>
      </c>
    </row>
    <row r="151" spans="3:41" x14ac:dyDescent="0.25">
      <c r="C151" s="73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</row>
    <row r="152" spans="3:41" x14ac:dyDescent="0.25">
      <c r="C152" s="5" t="str">
        <f ca="1">INDEX('Version control'!$H$36:$H$62,MATCH($A$1,'Version control'!$F$36:$F$62,0),1)&amp;"-D: Calculating MPANs for matching"</f>
        <v>Section 519-D: Calculating MPANs for matching</v>
      </c>
      <c r="D152" s="5"/>
      <c r="E152" s="5"/>
      <c r="F152" s="5"/>
      <c r="G152" s="5"/>
      <c r="H152" s="5"/>
      <c r="I152" s="5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3"/>
      <c r="AE152" s="143"/>
      <c r="AF152" s="143"/>
      <c r="AG152" s="143"/>
      <c r="AH152" s="143"/>
      <c r="AI152" s="143"/>
      <c r="AJ152" s="143"/>
      <c r="AK152" s="143"/>
      <c r="AL152" s="143"/>
      <c r="AM152" s="143"/>
      <c r="AN152" s="143"/>
      <c r="AO152" s="143"/>
    </row>
    <row r="153" spans="3:41" x14ac:dyDescent="0.25">
      <c r="C153" s="73"/>
      <c r="D153"/>
      <c r="E153"/>
      <c r="J153" s="198"/>
      <c r="K153" s="198"/>
      <c r="L153" s="198"/>
      <c r="M153" s="198"/>
      <c r="N153" s="198"/>
      <c r="O153" s="198"/>
      <c r="P153" s="198"/>
      <c r="Q153" s="198"/>
      <c r="R153" s="198"/>
      <c r="S153" s="198"/>
      <c r="T153" s="198"/>
      <c r="U153" s="198"/>
      <c r="V153" s="198"/>
      <c r="W153" s="198"/>
      <c r="X153" s="198"/>
      <c r="Y153" s="198"/>
      <c r="Z153" s="198"/>
      <c r="AA153" s="198"/>
      <c r="AB153" s="198"/>
      <c r="AC153" s="198"/>
      <c r="AD153" s="198"/>
      <c r="AE153" s="198"/>
      <c r="AF153" s="198"/>
      <c r="AG153" s="198"/>
      <c r="AH153" s="198"/>
      <c r="AI153" s="198"/>
      <c r="AJ153" s="198"/>
      <c r="AK153" s="198"/>
      <c r="AL153" s="198"/>
      <c r="AM153" s="198"/>
      <c r="AN153" s="198"/>
      <c r="AO153" s="198"/>
    </row>
    <row r="154" spans="3:41" x14ac:dyDescent="0.25">
      <c r="C154" s="73"/>
      <c r="D154"/>
      <c r="E154" t="s">
        <v>1121</v>
      </c>
      <c r="G154" t="s">
        <v>74</v>
      </c>
      <c r="J154" s="198">
        <f t="shared" ref="J154:AO154" si="43">IF(J32, J56, 0)</f>
        <v>1924111.5351780879</v>
      </c>
      <c r="K154" s="198">
        <f t="shared" si="43"/>
        <v>0</v>
      </c>
      <c r="L154" s="198">
        <f t="shared" si="43"/>
        <v>0</v>
      </c>
      <c r="M154" s="198">
        <f t="shared" si="43"/>
        <v>47213.103232814901</v>
      </c>
      <c r="N154" s="198">
        <f t="shared" si="43"/>
        <v>37038.605893096035</v>
      </c>
      <c r="O154" s="198">
        <f t="shared" si="43"/>
        <v>21339.552223993102</v>
      </c>
      <c r="P154" s="198">
        <f t="shared" si="43"/>
        <v>21869.841808601694</v>
      </c>
      <c r="Q154" s="198">
        <f t="shared" si="43"/>
        <v>0</v>
      </c>
      <c r="R154" s="198">
        <f t="shared" si="43"/>
        <v>0</v>
      </c>
      <c r="S154" s="198">
        <f t="shared" si="43"/>
        <v>4576.790000581711</v>
      </c>
      <c r="T154" s="198">
        <f t="shared" si="43"/>
        <v>3798.2082072567027</v>
      </c>
      <c r="U154" s="198">
        <f t="shared" si="43"/>
        <v>1321.6755763829976</v>
      </c>
      <c r="V154" s="198">
        <f t="shared" si="43"/>
        <v>1622.0803482151771</v>
      </c>
      <c r="W154" s="198">
        <f t="shared" si="43"/>
        <v>0</v>
      </c>
      <c r="X154" s="198">
        <f t="shared" si="43"/>
        <v>10</v>
      </c>
      <c r="Y154" s="198">
        <f t="shared" si="43"/>
        <v>25.988881765217645</v>
      </c>
      <c r="Z154" s="198">
        <f t="shared" si="43"/>
        <v>41.66296058840588</v>
      </c>
      <c r="AA154" s="198">
        <f t="shared" si="43"/>
        <v>224.54066000579996</v>
      </c>
      <c r="AB154" s="198">
        <f t="shared" si="43"/>
        <v>0</v>
      </c>
      <c r="AC154" s="198">
        <f t="shared" si="43"/>
        <v>362.84574284209867</v>
      </c>
      <c r="AD154" s="198">
        <f t="shared" si="43"/>
        <v>407.56382856139908</v>
      </c>
      <c r="AE154" s="198">
        <f t="shared" si="43"/>
        <v>183.08510474853213</v>
      </c>
      <c r="AF154" s="198">
        <f t="shared" si="43"/>
        <v>215.32446665496562</v>
      </c>
      <c r="AG154" s="198">
        <f t="shared" si="43"/>
        <v>4874.0599354170627</v>
      </c>
      <c r="AH154" s="198">
        <f t="shared" si="43"/>
        <v>0</v>
      </c>
      <c r="AI154" s="198">
        <f t="shared" si="43"/>
        <v>0</v>
      </c>
      <c r="AJ154" s="198">
        <f t="shared" si="43"/>
        <v>0</v>
      </c>
      <c r="AK154" s="198">
        <f t="shared" si="43"/>
        <v>0</v>
      </c>
      <c r="AL154" s="198">
        <f t="shared" si="43"/>
        <v>0</v>
      </c>
      <c r="AM154" s="198">
        <f t="shared" si="43"/>
        <v>0</v>
      </c>
      <c r="AN154" s="198">
        <f t="shared" si="43"/>
        <v>0</v>
      </c>
      <c r="AO154" s="198">
        <f t="shared" si="43"/>
        <v>0</v>
      </c>
    </row>
    <row r="155" spans="3:41" x14ac:dyDescent="0.25">
      <c r="C155" s="73"/>
      <c r="D155"/>
      <c r="E155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</row>
    <row r="156" spans="3:41" x14ac:dyDescent="0.25">
      <c r="C156" s="73"/>
      <c r="D156"/>
      <c r="E156" t="s">
        <v>1122</v>
      </c>
      <c r="G156" t="s">
        <v>74</v>
      </c>
      <c r="J156" s="198">
        <f t="shared" ref="J156:AO156" si="44">SUMIF($J$150:$AO$150,J150,$J$154:$AO$154)</f>
        <v>1924111.5351780879</v>
      </c>
      <c r="K156" s="198">
        <f t="shared" si="44"/>
        <v>0</v>
      </c>
      <c r="L156" s="198">
        <f t="shared" si="44"/>
        <v>0</v>
      </c>
      <c r="M156" s="198">
        <f t="shared" si="44"/>
        <v>47213.103232814901</v>
      </c>
      <c r="N156" s="198">
        <f t="shared" si="44"/>
        <v>37038.605893096035</v>
      </c>
      <c r="O156" s="198">
        <f t="shared" si="44"/>
        <v>21339.552223993102</v>
      </c>
      <c r="P156" s="198">
        <f t="shared" si="44"/>
        <v>21869.841808601694</v>
      </c>
      <c r="Q156" s="198">
        <f t="shared" si="44"/>
        <v>0</v>
      </c>
      <c r="R156" s="198">
        <f t="shared" si="44"/>
        <v>0</v>
      </c>
      <c r="S156" s="198">
        <f t="shared" si="44"/>
        <v>4586.790000581711</v>
      </c>
      <c r="T156" s="198">
        <f t="shared" si="44"/>
        <v>3824.1970890219204</v>
      </c>
      <c r="U156" s="198">
        <f t="shared" si="44"/>
        <v>1363.3385369714035</v>
      </c>
      <c r="V156" s="198">
        <f t="shared" si="44"/>
        <v>1846.621008220977</v>
      </c>
      <c r="W156" s="198">
        <f t="shared" si="44"/>
        <v>0</v>
      </c>
      <c r="X156" s="198">
        <f t="shared" si="44"/>
        <v>4586.790000581711</v>
      </c>
      <c r="Y156" s="198">
        <f t="shared" si="44"/>
        <v>3824.1970890219204</v>
      </c>
      <c r="Z156" s="198">
        <f t="shared" si="44"/>
        <v>1363.3385369714035</v>
      </c>
      <c r="AA156" s="198">
        <f t="shared" si="44"/>
        <v>1846.621008220977</v>
      </c>
      <c r="AB156" s="198">
        <f t="shared" si="44"/>
        <v>0</v>
      </c>
      <c r="AC156" s="198">
        <f t="shared" si="44"/>
        <v>362.84574284209867</v>
      </c>
      <c r="AD156" s="198">
        <f t="shared" si="44"/>
        <v>407.56382856139908</v>
      </c>
      <c r="AE156" s="198">
        <f t="shared" si="44"/>
        <v>183.08510474853213</v>
      </c>
      <c r="AF156" s="198">
        <f t="shared" si="44"/>
        <v>215.32446665496562</v>
      </c>
      <c r="AG156" s="198">
        <f t="shared" si="44"/>
        <v>4874.0599354170627</v>
      </c>
      <c r="AH156" s="198">
        <f t="shared" si="44"/>
        <v>0</v>
      </c>
      <c r="AI156" s="198">
        <f t="shared" si="44"/>
        <v>0</v>
      </c>
      <c r="AJ156" s="198">
        <f t="shared" si="44"/>
        <v>0</v>
      </c>
      <c r="AK156" s="198">
        <f t="shared" si="44"/>
        <v>0</v>
      </c>
      <c r="AL156" s="198">
        <f t="shared" si="44"/>
        <v>0</v>
      </c>
      <c r="AM156" s="198">
        <f t="shared" si="44"/>
        <v>0</v>
      </c>
      <c r="AN156" s="198">
        <f t="shared" si="44"/>
        <v>0</v>
      </c>
      <c r="AO156" s="198">
        <f t="shared" si="44"/>
        <v>0</v>
      </c>
    </row>
    <row r="157" spans="3:41" x14ac:dyDescent="0.25">
      <c r="C157" s="73"/>
      <c r="D157"/>
      <c r="E157"/>
      <c r="J157" s="198"/>
      <c r="K157" s="198"/>
      <c r="L157" s="198"/>
      <c r="M157" s="198"/>
      <c r="N157" s="198"/>
      <c r="O157" s="198"/>
      <c r="P157" s="198"/>
      <c r="Q157" s="198"/>
      <c r="R157" s="198"/>
      <c r="S157" s="198"/>
      <c r="T157" s="198"/>
      <c r="U157" s="198"/>
      <c r="V157" s="198"/>
      <c r="W157" s="198"/>
      <c r="X157" s="198"/>
      <c r="Y157" s="198"/>
      <c r="Z157" s="198"/>
      <c r="AA157" s="198"/>
      <c r="AB157" s="198"/>
      <c r="AC157" s="198"/>
      <c r="AD157" s="198"/>
      <c r="AE157" s="198"/>
      <c r="AF157" s="198"/>
      <c r="AG157" s="198"/>
      <c r="AH157" s="198"/>
      <c r="AI157" s="198"/>
      <c r="AJ157" s="198"/>
      <c r="AK157" s="198"/>
      <c r="AL157" s="198"/>
      <c r="AM157" s="198"/>
      <c r="AN157" s="198"/>
      <c r="AO157" s="198"/>
    </row>
    <row r="158" spans="3:41" x14ac:dyDescent="0.25">
      <c r="C158" s="73"/>
      <c r="D158"/>
      <c r="E158" t="s">
        <v>1228</v>
      </c>
      <c r="G158" t="s">
        <v>94</v>
      </c>
      <c r="J158" s="447">
        <f>IF(J156&lt;&gt;0,J154/J156,0)</f>
        <v>1</v>
      </c>
      <c r="K158" s="447">
        <f t="shared" ref="K158:AO158" si="45">IF(K156&lt;&gt;0,K154/K156,0)</f>
        <v>0</v>
      </c>
      <c r="L158" s="447">
        <f t="shared" si="45"/>
        <v>0</v>
      </c>
      <c r="M158" s="447">
        <f t="shared" si="45"/>
        <v>1</v>
      </c>
      <c r="N158" s="447">
        <f t="shared" si="45"/>
        <v>1</v>
      </c>
      <c r="O158" s="447">
        <f t="shared" si="45"/>
        <v>1</v>
      </c>
      <c r="P158" s="447">
        <f t="shared" si="45"/>
        <v>1</v>
      </c>
      <c r="Q158" s="447">
        <f t="shared" si="45"/>
        <v>0</v>
      </c>
      <c r="R158" s="447">
        <f t="shared" si="45"/>
        <v>0</v>
      </c>
      <c r="S158" s="447">
        <f t="shared" si="45"/>
        <v>0.99781982606600006</v>
      </c>
      <c r="T158" s="447">
        <f t="shared" si="45"/>
        <v>0.99320409456933489</v>
      </c>
      <c r="U158" s="447">
        <f t="shared" si="45"/>
        <v>0.96944048784760506</v>
      </c>
      <c r="V158" s="447">
        <f t="shared" si="45"/>
        <v>0.87840457841313035</v>
      </c>
      <c r="W158" s="447">
        <f t="shared" si="45"/>
        <v>0</v>
      </c>
      <c r="X158" s="447">
        <f t="shared" si="45"/>
        <v>2.1801739339999803E-3</v>
      </c>
      <c r="Y158" s="447">
        <f t="shared" si="45"/>
        <v>6.7959054306650762E-3</v>
      </c>
      <c r="Z158" s="447">
        <f t="shared" si="45"/>
        <v>3.0559512152394892E-2</v>
      </c>
      <c r="AA158" s="447">
        <f t="shared" si="45"/>
        <v>0.12159542158686963</v>
      </c>
      <c r="AB158" s="447">
        <f t="shared" si="45"/>
        <v>0</v>
      </c>
      <c r="AC158" s="447">
        <f t="shared" si="45"/>
        <v>1</v>
      </c>
      <c r="AD158" s="447">
        <f t="shared" si="45"/>
        <v>1</v>
      </c>
      <c r="AE158" s="447">
        <f t="shared" si="45"/>
        <v>1</v>
      </c>
      <c r="AF158" s="447">
        <f t="shared" si="45"/>
        <v>1</v>
      </c>
      <c r="AG158" s="447">
        <f t="shared" si="45"/>
        <v>1</v>
      </c>
      <c r="AH158" s="447">
        <f t="shared" si="45"/>
        <v>0</v>
      </c>
      <c r="AI158" s="447">
        <f t="shared" si="45"/>
        <v>0</v>
      </c>
      <c r="AJ158" s="447">
        <f t="shared" si="45"/>
        <v>0</v>
      </c>
      <c r="AK158" s="447">
        <f t="shared" si="45"/>
        <v>0</v>
      </c>
      <c r="AL158" s="447">
        <f t="shared" si="45"/>
        <v>0</v>
      </c>
      <c r="AM158" s="447">
        <f t="shared" si="45"/>
        <v>0</v>
      </c>
      <c r="AN158" s="447">
        <f t="shared" si="45"/>
        <v>0</v>
      </c>
      <c r="AO158" s="447">
        <f t="shared" si="45"/>
        <v>0</v>
      </c>
    </row>
    <row r="159" spans="3:41" x14ac:dyDescent="0.25">
      <c r="C159" s="73"/>
      <c r="D159"/>
      <c r="E159"/>
      <c r="J159" s="198"/>
      <c r="K159" s="198"/>
      <c r="L159" s="198"/>
      <c r="M159" s="198"/>
      <c r="N159" s="198"/>
      <c r="O159" s="198"/>
      <c r="P159" s="198"/>
      <c r="Q159" s="198"/>
      <c r="R159" s="198"/>
      <c r="S159" s="198"/>
      <c r="T159" s="198"/>
      <c r="U159" s="198"/>
      <c r="V159" s="198"/>
      <c r="W159" s="198"/>
      <c r="X159" s="198"/>
      <c r="Y159" s="198"/>
      <c r="Z159" s="198"/>
      <c r="AA159" s="198"/>
      <c r="AB159" s="198"/>
      <c r="AC159" s="198"/>
      <c r="AD159" s="198"/>
      <c r="AE159" s="198"/>
      <c r="AF159" s="198"/>
      <c r="AG159" s="198"/>
      <c r="AH159" s="198"/>
      <c r="AI159" s="198"/>
      <c r="AJ159" s="198"/>
      <c r="AK159" s="198"/>
      <c r="AL159" s="198"/>
      <c r="AM159" s="198"/>
      <c r="AN159" s="198"/>
      <c r="AO159" s="198"/>
    </row>
    <row r="160" spans="3:41" x14ac:dyDescent="0.25">
      <c r="C160" s="5" t="str">
        <f ca="1">INDEX('Version control'!$H$36:$H$62,MATCH($A$1,'Version control'!$F$36:$F$62,0),1)&amp;"-E: Calculating unit volumes for matching"</f>
        <v>Section 519-E: Calculating unit volumes for matching</v>
      </c>
      <c r="D160" s="5"/>
      <c r="E160" s="5"/>
      <c r="F160" s="5"/>
      <c r="G160" s="5"/>
      <c r="H160" s="5"/>
      <c r="I160" s="5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3"/>
      <c r="AE160" s="143"/>
      <c r="AF160" s="143"/>
      <c r="AG160" s="143"/>
      <c r="AH160" s="143"/>
      <c r="AI160" s="143"/>
      <c r="AJ160" s="143"/>
      <c r="AK160" s="143"/>
      <c r="AL160" s="143"/>
      <c r="AM160" s="143"/>
      <c r="AN160" s="143"/>
      <c r="AO160" s="143"/>
    </row>
    <row r="161" spans="3:43" x14ac:dyDescent="0.25">
      <c r="C161" s="73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</row>
    <row r="162" spans="3:43" x14ac:dyDescent="0.25">
      <c r="C162" s="73"/>
      <c r="D162" s="73" t="s">
        <v>1236</v>
      </c>
      <c r="I162" t="s">
        <v>359</v>
      </c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Q162" t="s">
        <v>1233</v>
      </c>
    </row>
    <row r="163" spans="3:43" x14ac:dyDescent="0.25">
      <c r="C163" s="73"/>
      <c r="D163" s="73" t="s">
        <v>1123</v>
      </c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</row>
    <row r="164" spans="3:43" x14ac:dyDescent="0.25">
      <c r="C164" s="73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</row>
    <row r="165" spans="3:43" x14ac:dyDescent="0.25">
      <c r="C165" s="73"/>
      <c r="D165"/>
      <c r="E165" t="s">
        <v>1124</v>
      </c>
      <c r="G165" t="s">
        <v>120</v>
      </c>
      <c r="J165" s="198">
        <f t="shared" ref="J165:AO165" si="46">SUM(J53:J55)</f>
        <v>5510601.5775588267</v>
      </c>
      <c r="K165" s="198">
        <f t="shared" si="46"/>
        <v>190222.32306695206</v>
      </c>
      <c r="L165" s="198">
        <f t="shared" si="46"/>
        <v>179.43935297201222</v>
      </c>
      <c r="M165" s="198">
        <f t="shared" si="46"/>
        <v>172971.05471262475</v>
      </c>
      <c r="N165" s="198">
        <f t="shared" si="46"/>
        <v>311790.42767808115</v>
      </c>
      <c r="O165" s="198">
        <f t="shared" si="46"/>
        <v>387941.7176552203</v>
      </c>
      <c r="P165" s="198">
        <f t="shared" si="46"/>
        <v>1168744.1102090904</v>
      </c>
      <c r="Q165" s="198">
        <f t="shared" si="46"/>
        <v>45319.649842056329</v>
      </c>
      <c r="R165" s="198">
        <f t="shared" si="46"/>
        <v>124.32939468447569</v>
      </c>
      <c r="S165" s="198">
        <f t="shared" si="46"/>
        <v>463920.38236103603</v>
      </c>
      <c r="T165" s="198">
        <f t="shared" si="46"/>
        <v>671181.38922940148</v>
      </c>
      <c r="U165" s="198">
        <f t="shared" si="46"/>
        <v>385542.81569785741</v>
      </c>
      <c r="V165" s="198">
        <f t="shared" si="46"/>
        <v>954822.33112013596</v>
      </c>
      <c r="W165" s="198">
        <f t="shared" si="46"/>
        <v>1.1300000000000003</v>
      </c>
      <c r="X165" s="198">
        <f t="shared" si="46"/>
        <v>1446.903</v>
      </c>
      <c r="Y165" s="198">
        <f t="shared" si="46"/>
        <v>6826.433964058222</v>
      </c>
      <c r="Z165" s="198">
        <f t="shared" si="46"/>
        <v>22049.070856003367</v>
      </c>
      <c r="AA165" s="198">
        <f t="shared" si="46"/>
        <v>247287.66942637233</v>
      </c>
      <c r="AB165" s="198">
        <f t="shared" si="46"/>
        <v>3254.7104515254337</v>
      </c>
      <c r="AC165" s="198">
        <f t="shared" si="46"/>
        <v>184004.93515000696</v>
      </c>
      <c r="AD165" s="198">
        <f t="shared" si="46"/>
        <v>626707.4504425663</v>
      </c>
      <c r="AE165" s="198">
        <f t="shared" si="46"/>
        <v>573889.59566438268</v>
      </c>
      <c r="AF165" s="198">
        <f t="shared" si="46"/>
        <v>1790157.5481722988</v>
      </c>
      <c r="AG165" s="198">
        <f t="shared" si="46"/>
        <v>224827.22617834673</v>
      </c>
      <c r="AH165" s="198">
        <f t="shared" si="46"/>
        <v>14154.160774500382</v>
      </c>
      <c r="AI165" s="198">
        <f t="shared" si="46"/>
        <v>155.60400000000001</v>
      </c>
      <c r="AJ165" s="198">
        <f t="shared" si="46"/>
        <v>62012.428</v>
      </c>
      <c r="AK165" s="198">
        <f t="shared" si="46"/>
        <v>0</v>
      </c>
      <c r="AL165" s="198">
        <f t="shared" si="46"/>
        <v>650.697</v>
      </c>
      <c r="AM165" s="198">
        <f t="shared" si="46"/>
        <v>0</v>
      </c>
      <c r="AN165" s="198">
        <f t="shared" si="46"/>
        <v>1036985.409</v>
      </c>
      <c r="AO165" s="198">
        <f t="shared" si="46"/>
        <v>0</v>
      </c>
    </row>
    <row r="166" spans="3:43" x14ac:dyDescent="0.25">
      <c r="C166" s="73"/>
      <c r="D166"/>
      <c r="E166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</row>
    <row r="167" spans="3:43" x14ac:dyDescent="0.25">
      <c r="C167" s="73"/>
      <c r="D167"/>
      <c r="E167" t="s">
        <v>1125</v>
      </c>
      <c r="G167" t="s">
        <v>120</v>
      </c>
      <c r="J167" s="198">
        <f t="shared" ref="J167:AO167" si="47">IF(J32,J165, 0)</f>
        <v>5510601.5775588267</v>
      </c>
      <c r="K167" s="198">
        <f t="shared" si="47"/>
        <v>0</v>
      </c>
      <c r="L167" s="198">
        <f t="shared" si="47"/>
        <v>0</v>
      </c>
      <c r="M167" s="198">
        <f t="shared" si="47"/>
        <v>172971.05471262475</v>
      </c>
      <c r="N167" s="198">
        <f t="shared" si="47"/>
        <v>311790.42767808115</v>
      </c>
      <c r="O167" s="198">
        <f t="shared" si="47"/>
        <v>387941.7176552203</v>
      </c>
      <c r="P167" s="198">
        <f t="shared" si="47"/>
        <v>1168744.1102090904</v>
      </c>
      <c r="Q167" s="198">
        <f t="shared" si="47"/>
        <v>0</v>
      </c>
      <c r="R167" s="198">
        <f t="shared" si="47"/>
        <v>0</v>
      </c>
      <c r="S167" s="198">
        <f t="shared" si="47"/>
        <v>463920.38236103603</v>
      </c>
      <c r="T167" s="198">
        <f t="shared" si="47"/>
        <v>671181.38922940148</v>
      </c>
      <c r="U167" s="198">
        <f t="shared" si="47"/>
        <v>385542.81569785741</v>
      </c>
      <c r="V167" s="198">
        <f t="shared" si="47"/>
        <v>954822.33112013596</v>
      </c>
      <c r="W167" s="198">
        <f t="shared" si="47"/>
        <v>0</v>
      </c>
      <c r="X167" s="198">
        <f t="shared" si="47"/>
        <v>1446.903</v>
      </c>
      <c r="Y167" s="198">
        <f t="shared" si="47"/>
        <v>6826.433964058222</v>
      </c>
      <c r="Z167" s="198">
        <f t="shared" si="47"/>
        <v>22049.070856003367</v>
      </c>
      <c r="AA167" s="198">
        <f t="shared" si="47"/>
        <v>247287.66942637233</v>
      </c>
      <c r="AB167" s="198">
        <f t="shared" si="47"/>
        <v>0</v>
      </c>
      <c r="AC167" s="198">
        <f t="shared" si="47"/>
        <v>184004.93515000696</v>
      </c>
      <c r="AD167" s="198">
        <f t="shared" si="47"/>
        <v>626707.4504425663</v>
      </c>
      <c r="AE167" s="198">
        <f t="shared" si="47"/>
        <v>573889.59566438268</v>
      </c>
      <c r="AF167" s="198">
        <f t="shared" si="47"/>
        <v>1790157.5481722988</v>
      </c>
      <c r="AG167" s="198">
        <f t="shared" si="47"/>
        <v>224827.22617834673</v>
      </c>
      <c r="AH167" s="198">
        <f t="shared" si="47"/>
        <v>0</v>
      </c>
      <c r="AI167" s="198">
        <f t="shared" si="47"/>
        <v>0</v>
      </c>
      <c r="AJ167" s="198">
        <f t="shared" si="47"/>
        <v>0</v>
      </c>
      <c r="AK167" s="198">
        <f t="shared" si="47"/>
        <v>0</v>
      </c>
      <c r="AL167" s="198">
        <f t="shared" si="47"/>
        <v>0</v>
      </c>
      <c r="AM167" s="198">
        <f t="shared" si="47"/>
        <v>0</v>
      </c>
      <c r="AN167" s="198">
        <f t="shared" si="47"/>
        <v>0</v>
      </c>
      <c r="AO167" s="198">
        <f t="shared" si="47"/>
        <v>0</v>
      </c>
    </row>
    <row r="168" spans="3:43" x14ac:dyDescent="0.25">
      <c r="C168" s="73"/>
      <c r="D168"/>
      <c r="E168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</row>
    <row r="169" spans="3:43" x14ac:dyDescent="0.25">
      <c r="C169" s="73"/>
      <c r="D169"/>
      <c r="E169" s="73" t="s">
        <v>1126</v>
      </c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</row>
    <row r="170" spans="3:43" x14ac:dyDescent="0.25">
      <c r="C170" s="73"/>
      <c r="D170"/>
      <c r="E170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</row>
    <row r="171" spans="3:43" x14ac:dyDescent="0.25">
      <c r="C171" s="73"/>
      <c r="D171"/>
      <c r="E171" t="s">
        <v>1127</v>
      </c>
      <c r="G171" t="s">
        <v>94</v>
      </c>
      <c r="J171" s="448">
        <v>1</v>
      </c>
      <c r="K171" s="71"/>
      <c r="L171" s="234"/>
      <c r="M171" s="410">
        <f>'Volume adjustments'!K689</f>
        <v>8.4363128002655496E-2</v>
      </c>
      <c r="N171" s="410">
        <f>'Volume adjustments'!L689</f>
        <v>0.15242182843567809</v>
      </c>
      <c r="O171" s="410">
        <f>'Volume adjustments'!M689</f>
        <v>0.18978830708420624</v>
      </c>
      <c r="P171" s="410">
        <f>'Volume adjustments'!N689</f>
        <v>0.57342673647746023</v>
      </c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</row>
    <row r="172" spans="3:43" x14ac:dyDescent="0.25">
      <c r="C172" s="73"/>
      <c r="D172"/>
      <c r="E172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</row>
    <row r="173" spans="3:43" x14ac:dyDescent="0.25">
      <c r="C173" s="73"/>
      <c r="D173"/>
      <c r="E173" t="s">
        <v>1128</v>
      </c>
      <c r="G173" t="s">
        <v>120</v>
      </c>
      <c r="J173" s="198">
        <f>J171*$K165</f>
        <v>190222.32306695206</v>
      </c>
      <c r="K173" s="234"/>
      <c r="L173" s="234"/>
      <c r="M173" s="198">
        <f>M171*$Q165</f>
        <v>3823.307420660924</v>
      </c>
      <c r="N173" s="198">
        <f>N171*$Q165</f>
        <v>6907.7038929909149</v>
      </c>
      <c r="O173" s="198">
        <f>O171*$Q165</f>
        <v>8601.1396211728861</v>
      </c>
      <c r="P173" s="198">
        <f>P171*$Q165</f>
        <v>25987.498907231606</v>
      </c>
      <c r="Q173" s="234"/>
      <c r="R173" s="234"/>
      <c r="S173" s="234"/>
      <c r="T173" s="234"/>
      <c r="U173" s="234"/>
      <c r="V173" s="234"/>
      <c r="W173" s="234"/>
      <c r="X173" s="234"/>
      <c r="Y173" s="234"/>
      <c r="Z173" s="234"/>
      <c r="AA173" s="234"/>
      <c r="AB173" s="234"/>
      <c r="AC173" s="234"/>
      <c r="AD173" s="234"/>
      <c r="AE173" s="234"/>
      <c r="AF173" s="234"/>
      <c r="AG173" s="234"/>
      <c r="AH173" s="234"/>
      <c r="AI173" s="234"/>
      <c r="AJ173" s="234"/>
      <c r="AK173" s="234"/>
      <c r="AL173" s="234"/>
      <c r="AM173" s="234"/>
      <c r="AN173" s="234"/>
      <c r="AO173" s="234"/>
    </row>
    <row r="174" spans="3:43" x14ac:dyDescent="0.25">
      <c r="C174" s="73"/>
      <c r="D174"/>
      <c r="E174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</row>
    <row r="175" spans="3:43" x14ac:dyDescent="0.25">
      <c r="C175" s="73"/>
      <c r="D175"/>
      <c r="E175" t="s">
        <v>1129</v>
      </c>
      <c r="G175" t="s">
        <v>120</v>
      </c>
      <c r="J175" s="198">
        <f t="shared" ref="J175:AO175" si="48">J167+J173</f>
        <v>5700823.9006257784</v>
      </c>
      <c r="K175" s="198">
        <f t="shared" si="48"/>
        <v>0</v>
      </c>
      <c r="L175" s="198">
        <f t="shared" si="48"/>
        <v>0</v>
      </c>
      <c r="M175" s="198">
        <f t="shared" si="48"/>
        <v>176794.36213328567</v>
      </c>
      <c r="N175" s="198">
        <f t="shared" si="48"/>
        <v>318698.13157107204</v>
      </c>
      <c r="O175" s="198">
        <f t="shared" si="48"/>
        <v>396542.85727639322</v>
      </c>
      <c r="P175" s="198">
        <f t="shared" si="48"/>
        <v>1194731.6091163219</v>
      </c>
      <c r="Q175" s="198">
        <f t="shared" si="48"/>
        <v>0</v>
      </c>
      <c r="R175" s="198">
        <f t="shared" si="48"/>
        <v>0</v>
      </c>
      <c r="S175" s="198">
        <f t="shared" si="48"/>
        <v>463920.38236103603</v>
      </c>
      <c r="T175" s="198">
        <f t="shared" si="48"/>
        <v>671181.38922940148</v>
      </c>
      <c r="U175" s="198">
        <f t="shared" si="48"/>
        <v>385542.81569785741</v>
      </c>
      <c r="V175" s="198">
        <f t="shared" si="48"/>
        <v>954822.33112013596</v>
      </c>
      <c r="W175" s="198">
        <f t="shared" si="48"/>
        <v>0</v>
      </c>
      <c r="X175" s="198">
        <f t="shared" si="48"/>
        <v>1446.903</v>
      </c>
      <c r="Y175" s="198">
        <f t="shared" si="48"/>
        <v>6826.433964058222</v>
      </c>
      <c r="Z175" s="198">
        <f t="shared" si="48"/>
        <v>22049.070856003367</v>
      </c>
      <c r="AA175" s="198">
        <f t="shared" si="48"/>
        <v>247287.66942637233</v>
      </c>
      <c r="AB175" s="198">
        <f t="shared" si="48"/>
        <v>0</v>
      </c>
      <c r="AC175" s="198">
        <f t="shared" si="48"/>
        <v>184004.93515000696</v>
      </c>
      <c r="AD175" s="198">
        <f t="shared" si="48"/>
        <v>626707.4504425663</v>
      </c>
      <c r="AE175" s="198">
        <f t="shared" si="48"/>
        <v>573889.59566438268</v>
      </c>
      <c r="AF175" s="198">
        <f t="shared" si="48"/>
        <v>1790157.5481722988</v>
      </c>
      <c r="AG175" s="198">
        <f t="shared" si="48"/>
        <v>224827.22617834673</v>
      </c>
      <c r="AH175" s="198">
        <f t="shared" si="48"/>
        <v>0</v>
      </c>
      <c r="AI175" s="198">
        <f t="shared" si="48"/>
        <v>0</v>
      </c>
      <c r="AJ175" s="198">
        <f t="shared" si="48"/>
        <v>0</v>
      </c>
      <c r="AK175" s="198">
        <f t="shared" si="48"/>
        <v>0</v>
      </c>
      <c r="AL175" s="198">
        <f t="shared" si="48"/>
        <v>0</v>
      </c>
      <c r="AM175" s="198">
        <f t="shared" si="48"/>
        <v>0</v>
      </c>
      <c r="AN175" s="198">
        <f t="shared" si="48"/>
        <v>0</v>
      </c>
      <c r="AO175" s="198">
        <f t="shared" si="48"/>
        <v>0</v>
      </c>
    </row>
    <row r="176" spans="3:43" x14ac:dyDescent="0.25">
      <c r="C176" s="73"/>
      <c r="D176"/>
      <c r="E176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</row>
    <row r="177" spans="3:43" x14ac:dyDescent="0.25">
      <c r="C177" s="5" t="str">
        <f ca="1">INDEX('Version control'!$H$36:$H$62,MATCH($A$1,'Version control'!$F$36:$F$62,0),1)&amp;"-F: Allocating revenue to tariffs"</f>
        <v>Section 519-F: Allocating revenue to tariffs</v>
      </c>
      <c r="D177" s="5"/>
      <c r="E177" s="5"/>
      <c r="F177" s="5"/>
      <c r="G177" s="5"/>
      <c r="H177" s="5"/>
      <c r="I177" s="5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  <c r="AA177" s="143"/>
      <c r="AB177" s="143"/>
      <c r="AC177" s="143"/>
      <c r="AD177" s="143"/>
      <c r="AE177" s="143"/>
      <c r="AF177" s="143"/>
      <c r="AG177" s="143"/>
      <c r="AH177" s="143"/>
      <c r="AI177" s="143"/>
      <c r="AJ177" s="143"/>
      <c r="AK177" s="143"/>
      <c r="AL177" s="143"/>
      <c r="AM177" s="143"/>
      <c r="AN177" s="143"/>
      <c r="AO177" s="143"/>
    </row>
    <row r="178" spans="3:43" x14ac:dyDescent="0.25">
      <c r="C178" s="73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</row>
    <row r="179" spans="3:43" x14ac:dyDescent="0.25">
      <c r="C179" s="73"/>
      <c r="D179" s="73" t="s">
        <v>1130</v>
      </c>
      <c r="I179" t="s">
        <v>359</v>
      </c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Q179" t="s">
        <v>1233</v>
      </c>
    </row>
    <row r="180" spans="3:43" x14ac:dyDescent="0.25">
      <c r="C180" s="73"/>
      <c r="D180" s="73" t="s">
        <v>1131</v>
      </c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</row>
    <row r="181" spans="3:43" x14ac:dyDescent="0.25">
      <c r="C181" s="73"/>
      <c r="D181" s="73" t="s">
        <v>1132</v>
      </c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</row>
    <row r="182" spans="3:43" x14ac:dyDescent="0.25">
      <c r="C182" s="73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</row>
    <row r="183" spans="3:43" x14ac:dyDescent="0.25">
      <c r="C183" s="73"/>
      <c r="D183"/>
      <c r="E183" t="s">
        <v>1133</v>
      </c>
      <c r="G183" t="s">
        <v>120</v>
      </c>
      <c r="J183" s="198">
        <f t="shared" ref="J183:AO183" si="49">SUMIF($J$150:$AO$150,J150,$J$175:$AO$175)</f>
        <v>5700823.9006257784</v>
      </c>
      <c r="K183" s="198">
        <f t="shared" si="49"/>
        <v>0</v>
      </c>
      <c r="L183" s="198">
        <f t="shared" si="49"/>
        <v>0</v>
      </c>
      <c r="M183" s="198">
        <f t="shared" si="49"/>
        <v>176794.36213328567</v>
      </c>
      <c r="N183" s="198">
        <f t="shared" si="49"/>
        <v>318698.13157107204</v>
      </c>
      <c r="O183" s="198">
        <f t="shared" si="49"/>
        <v>396542.85727639322</v>
      </c>
      <c r="P183" s="198">
        <f t="shared" si="49"/>
        <v>1194731.6091163219</v>
      </c>
      <c r="Q183" s="198">
        <f t="shared" si="49"/>
        <v>0</v>
      </c>
      <c r="R183" s="198">
        <f t="shared" si="49"/>
        <v>0</v>
      </c>
      <c r="S183" s="198">
        <f t="shared" si="49"/>
        <v>465367.28536103602</v>
      </c>
      <c r="T183" s="198">
        <f t="shared" si="49"/>
        <v>678007.82319345966</v>
      </c>
      <c r="U183" s="198">
        <f t="shared" si="49"/>
        <v>407591.88655386079</v>
      </c>
      <c r="V183" s="198">
        <f t="shared" si="49"/>
        <v>1202110.0005465082</v>
      </c>
      <c r="W183" s="198">
        <f t="shared" si="49"/>
        <v>0</v>
      </c>
      <c r="X183" s="198">
        <f t="shared" si="49"/>
        <v>465367.28536103602</v>
      </c>
      <c r="Y183" s="198">
        <f t="shared" si="49"/>
        <v>678007.82319345966</v>
      </c>
      <c r="Z183" s="198">
        <f t="shared" si="49"/>
        <v>407591.88655386079</v>
      </c>
      <c r="AA183" s="198">
        <f t="shared" si="49"/>
        <v>1202110.0005465082</v>
      </c>
      <c r="AB183" s="198">
        <f t="shared" si="49"/>
        <v>0</v>
      </c>
      <c r="AC183" s="198">
        <f t="shared" si="49"/>
        <v>184004.93515000696</v>
      </c>
      <c r="AD183" s="198">
        <f t="shared" si="49"/>
        <v>626707.4504425663</v>
      </c>
      <c r="AE183" s="198">
        <f t="shared" si="49"/>
        <v>573889.59566438268</v>
      </c>
      <c r="AF183" s="198">
        <f t="shared" si="49"/>
        <v>1790157.5481722988</v>
      </c>
      <c r="AG183" s="198">
        <f t="shared" si="49"/>
        <v>224827.22617834673</v>
      </c>
      <c r="AH183" s="198">
        <f t="shared" si="49"/>
        <v>0</v>
      </c>
      <c r="AI183" s="198">
        <f t="shared" si="49"/>
        <v>0</v>
      </c>
      <c r="AJ183" s="198">
        <f t="shared" si="49"/>
        <v>0</v>
      </c>
      <c r="AK183" s="198">
        <f t="shared" si="49"/>
        <v>0</v>
      </c>
      <c r="AL183" s="198">
        <f t="shared" si="49"/>
        <v>0</v>
      </c>
      <c r="AM183" s="198">
        <f t="shared" si="49"/>
        <v>0</v>
      </c>
      <c r="AN183" s="198">
        <f t="shared" si="49"/>
        <v>0</v>
      </c>
      <c r="AO183" s="198">
        <f t="shared" si="49"/>
        <v>0</v>
      </c>
    </row>
    <row r="184" spans="3:43" x14ac:dyDescent="0.25">
      <c r="C184" s="73"/>
      <c r="D184"/>
      <c r="E184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</row>
    <row r="185" spans="3:43" x14ac:dyDescent="0.25">
      <c r="C185" s="73"/>
      <c r="D185"/>
      <c r="E185" t="s">
        <v>1134</v>
      </c>
      <c r="G185" t="s">
        <v>120</v>
      </c>
      <c r="J185" s="198">
        <f>J158*J183</f>
        <v>5700823.9006257784</v>
      </c>
      <c r="K185" s="198">
        <f t="shared" ref="K185:AO185" si="50">K158*K183</f>
        <v>0</v>
      </c>
      <c r="L185" s="198">
        <f t="shared" si="50"/>
        <v>0</v>
      </c>
      <c r="M185" s="198">
        <f t="shared" si="50"/>
        <v>176794.36213328567</v>
      </c>
      <c r="N185" s="198">
        <f t="shared" si="50"/>
        <v>318698.13157107204</v>
      </c>
      <c r="O185" s="198">
        <f t="shared" si="50"/>
        <v>396542.85727639322</v>
      </c>
      <c r="P185" s="198">
        <f t="shared" si="50"/>
        <v>1194731.6091163219</v>
      </c>
      <c r="Q185" s="198">
        <f t="shared" si="50"/>
        <v>0</v>
      </c>
      <c r="R185" s="198">
        <f t="shared" si="50"/>
        <v>0</v>
      </c>
      <c r="S185" s="198">
        <f t="shared" si="50"/>
        <v>464352.70373575558</v>
      </c>
      <c r="T185" s="198">
        <f t="shared" si="50"/>
        <v>673400.14614578581</v>
      </c>
      <c r="U185" s="198">
        <f t="shared" si="50"/>
        <v>395136.07734350051</v>
      </c>
      <c r="V185" s="198">
        <f t="shared" si="50"/>
        <v>1055938.9282362636</v>
      </c>
      <c r="W185" s="198">
        <f t="shared" si="50"/>
        <v>0</v>
      </c>
      <c r="X185" s="198">
        <f t="shared" si="50"/>
        <v>1014.5816252804614</v>
      </c>
      <c r="Y185" s="198">
        <f t="shared" si="50"/>
        <v>4607.6770476738393</v>
      </c>
      <c r="Z185" s="198">
        <f t="shared" si="50"/>
        <v>12455.809210360268</v>
      </c>
      <c r="AA185" s="198">
        <f t="shared" si="50"/>
        <v>146171.07231024475</v>
      </c>
      <c r="AB185" s="198">
        <f t="shared" si="50"/>
        <v>0</v>
      </c>
      <c r="AC185" s="198">
        <f t="shared" si="50"/>
        <v>184004.93515000696</v>
      </c>
      <c r="AD185" s="198">
        <f t="shared" si="50"/>
        <v>626707.4504425663</v>
      </c>
      <c r="AE185" s="198">
        <f t="shared" si="50"/>
        <v>573889.59566438268</v>
      </c>
      <c r="AF185" s="198">
        <f t="shared" si="50"/>
        <v>1790157.5481722988</v>
      </c>
      <c r="AG185" s="198">
        <f t="shared" si="50"/>
        <v>224827.22617834673</v>
      </c>
      <c r="AH185" s="198">
        <f t="shared" si="50"/>
        <v>0</v>
      </c>
      <c r="AI185" s="198">
        <f t="shared" si="50"/>
        <v>0</v>
      </c>
      <c r="AJ185" s="198">
        <f t="shared" si="50"/>
        <v>0</v>
      </c>
      <c r="AK185" s="198">
        <f t="shared" si="50"/>
        <v>0</v>
      </c>
      <c r="AL185" s="198">
        <f t="shared" si="50"/>
        <v>0</v>
      </c>
      <c r="AM185" s="198">
        <f t="shared" si="50"/>
        <v>0</v>
      </c>
      <c r="AN185" s="198">
        <f t="shared" si="50"/>
        <v>0</v>
      </c>
      <c r="AO185" s="198">
        <f t="shared" si="50"/>
        <v>0</v>
      </c>
    </row>
    <row r="186" spans="3:43" x14ac:dyDescent="0.25">
      <c r="C186" s="73"/>
      <c r="D186"/>
      <c r="E186"/>
      <c r="J186" s="198"/>
      <c r="K186" s="198"/>
      <c r="L186" s="198"/>
      <c r="M186" s="198"/>
      <c r="N186" s="198"/>
      <c r="O186" s="198"/>
      <c r="P186" s="198"/>
      <c r="Q186" s="198"/>
      <c r="R186" s="198"/>
      <c r="S186" s="198"/>
      <c r="T186" s="198"/>
      <c r="U186" s="198"/>
      <c r="V186" s="198"/>
      <c r="W186" s="198"/>
      <c r="X186" s="198"/>
      <c r="Y186" s="198"/>
      <c r="Z186" s="198"/>
      <c r="AA186" s="198"/>
      <c r="AB186" s="198"/>
      <c r="AC186" s="198"/>
      <c r="AD186" s="198"/>
      <c r="AE186" s="198"/>
      <c r="AF186" s="198"/>
      <c r="AG186" s="198"/>
      <c r="AH186" s="198"/>
      <c r="AI186" s="198"/>
      <c r="AJ186" s="198"/>
      <c r="AK186" s="198"/>
      <c r="AL186" s="198"/>
      <c r="AM186" s="198"/>
      <c r="AN186" s="198"/>
      <c r="AO186" s="198"/>
    </row>
    <row r="187" spans="3:43" x14ac:dyDescent="0.25">
      <c r="C187" s="73"/>
      <c r="D187"/>
      <c r="E187" t="s">
        <v>142</v>
      </c>
      <c r="G187" t="s">
        <v>120</v>
      </c>
      <c r="H187" s="198">
        <f>SUM($J$185:$AO$185)</f>
        <v>13940254.611985315</v>
      </c>
      <c r="J187" s="198"/>
      <c r="K187" s="198"/>
      <c r="L187" s="198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</row>
    <row r="188" spans="3:43" x14ac:dyDescent="0.25">
      <c r="C188" s="73"/>
      <c r="D188"/>
      <c r="E188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</row>
    <row r="189" spans="3:43" x14ac:dyDescent="0.25">
      <c r="C189" s="73"/>
      <c r="D189"/>
      <c r="E189" t="s">
        <v>1135</v>
      </c>
      <c r="G189" t="s">
        <v>94</v>
      </c>
      <c r="J189" s="449">
        <f>J185/$H187</f>
        <v>0.40894689941490892</v>
      </c>
      <c r="K189" s="449">
        <f t="shared" ref="K189:AO189" si="51">K185/$H187</f>
        <v>0</v>
      </c>
      <c r="L189" s="449">
        <f t="shared" si="51"/>
        <v>0</v>
      </c>
      <c r="M189" s="449">
        <f t="shared" si="51"/>
        <v>1.2682290751080287E-2</v>
      </c>
      <c r="N189" s="449">
        <f t="shared" si="51"/>
        <v>2.2861715258562579E-2</v>
      </c>
      <c r="O189" s="449">
        <f t="shared" si="51"/>
        <v>2.8445883401258708E-2</v>
      </c>
      <c r="P189" s="449">
        <f t="shared" si="51"/>
        <v>8.5703715059058952E-2</v>
      </c>
      <c r="Q189" s="449">
        <f t="shared" si="51"/>
        <v>0</v>
      </c>
      <c r="R189" s="449">
        <f t="shared" si="51"/>
        <v>0</v>
      </c>
      <c r="S189" s="449">
        <f t="shared" si="51"/>
        <v>3.3310202479122752E-2</v>
      </c>
      <c r="T189" s="449">
        <f t="shared" si="51"/>
        <v>4.8306158308387089E-2</v>
      </c>
      <c r="U189" s="449">
        <f t="shared" si="51"/>
        <v>2.8344968463042072E-2</v>
      </c>
      <c r="V189" s="449">
        <f t="shared" si="51"/>
        <v>7.5747463559841036E-2</v>
      </c>
      <c r="W189" s="449">
        <f t="shared" si="51"/>
        <v>0</v>
      </c>
      <c r="X189" s="449">
        <f t="shared" si="51"/>
        <v>7.2780709787621938E-5</v>
      </c>
      <c r="Y189" s="449">
        <f t="shared" si="51"/>
        <v>3.3053033649129543E-4</v>
      </c>
      <c r="Z189" s="449">
        <f t="shared" si="51"/>
        <v>8.9351375258607004E-4</v>
      </c>
      <c r="AA189" s="449">
        <f t="shared" si="51"/>
        <v>1.0485538204199819E-2</v>
      </c>
      <c r="AB189" s="449">
        <f t="shared" si="51"/>
        <v>0</v>
      </c>
      <c r="AC189" s="449">
        <f t="shared" si="51"/>
        <v>1.319953905230729E-2</v>
      </c>
      <c r="AD189" s="449">
        <f t="shared" si="51"/>
        <v>4.4956671731357506E-2</v>
      </c>
      <c r="AE189" s="449">
        <f t="shared" si="51"/>
        <v>4.1167798697950155E-2</v>
      </c>
      <c r="AF189" s="449">
        <f t="shared" si="51"/>
        <v>0.1284164169163157</v>
      </c>
      <c r="AG189" s="449">
        <f t="shared" si="51"/>
        <v>1.6127913903742377E-2</v>
      </c>
      <c r="AH189" s="449">
        <f t="shared" si="51"/>
        <v>0</v>
      </c>
      <c r="AI189" s="449">
        <f t="shared" si="51"/>
        <v>0</v>
      </c>
      <c r="AJ189" s="449">
        <f t="shared" si="51"/>
        <v>0</v>
      </c>
      <c r="AK189" s="449">
        <f t="shared" si="51"/>
        <v>0</v>
      </c>
      <c r="AL189" s="449">
        <f t="shared" si="51"/>
        <v>0</v>
      </c>
      <c r="AM189" s="449">
        <f t="shared" si="51"/>
        <v>0</v>
      </c>
      <c r="AN189" s="449">
        <f t="shared" si="51"/>
        <v>0</v>
      </c>
      <c r="AO189" s="449">
        <f t="shared" si="51"/>
        <v>0</v>
      </c>
    </row>
    <row r="190" spans="3:43" x14ac:dyDescent="0.25">
      <c r="C190" s="73"/>
      <c r="D190"/>
      <c r="E190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</row>
    <row r="191" spans="3:43" x14ac:dyDescent="0.25">
      <c r="C191" s="73"/>
      <c r="D191"/>
      <c r="E191" t="s">
        <v>1136</v>
      </c>
      <c r="G191" t="s">
        <v>107</v>
      </c>
      <c r="J191" s="198">
        <f>$H$85 * J189</f>
        <v>141347322.82904223</v>
      </c>
      <c r="K191" s="198">
        <f t="shared" ref="K191:AO191" si="52">$H$85 * K189</f>
        <v>0</v>
      </c>
      <c r="L191" s="198">
        <f t="shared" si="52"/>
        <v>0</v>
      </c>
      <c r="M191" s="198">
        <f t="shared" si="52"/>
        <v>4383473.3740968639</v>
      </c>
      <c r="N191" s="198">
        <f t="shared" si="52"/>
        <v>7901862.6909777159</v>
      </c>
      <c r="O191" s="198">
        <f t="shared" si="52"/>
        <v>9831959.7728399467</v>
      </c>
      <c r="P191" s="198">
        <f t="shared" si="52"/>
        <v>29622405.00522894</v>
      </c>
      <c r="Q191" s="198">
        <f t="shared" si="52"/>
        <v>0</v>
      </c>
      <c r="R191" s="198">
        <f t="shared" si="52"/>
        <v>0</v>
      </c>
      <c r="S191" s="198">
        <f t="shared" si="52"/>
        <v>11513250.131138362</v>
      </c>
      <c r="T191" s="198">
        <f t="shared" si="52"/>
        <v>16696412.572916759</v>
      </c>
      <c r="U191" s="198">
        <f t="shared" si="52"/>
        <v>9797079.8009639215</v>
      </c>
      <c r="V191" s="198">
        <f t="shared" si="52"/>
        <v>26181152.615638662</v>
      </c>
      <c r="W191" s="198">
        <f t="shared" si="52"/>
        <v>0</v>
      </c>
      <c r="X191" s="198">
        <f t="shared" si="52"/>
        <v>25155.731702077275</v>
      </c>
      <c r="Y191" s="198">
        <f t="shared" si="52"/>
        <v>114243.62978095695</v>
      </c>
      <c r="Z191" s="198">
        <f t="shared" si="52"/>
        <v>308831.72612304165</v>
      </c>
      <c r="AA191" s="198">
        <f t="shared" si="52"/>
        <v>3624193.6439810912</v>
      </c>
      <c r="AB191" s="198">
        <f t="shared" si="52"/>
        <v>0</v>
      </c>
      <c r="AC191" s="198">
        <f t="shared" si="52"/>
        <v>4562253.7065089932</v>
      </c>
      <c r="AD191" s="198">
        <f t="shared" si="52"/>
        <v>15538704.906732449</v>
      </c>
      <c r="AE191" s="198">
        <f t="shared" si="52"/>
        <v>14229128.869898565</v>
      </c>
      <c r="AF191" s="198">
        <f t="shared" si="52"/>
        <v>44385510.109965183</v>
      </c>
      <c r="AG191" s="198">
        <f t="shared" si="52"/>
        <v>5574409.4315736583</v>
      </c>
      <c r="AH191" s="198">
        <f t="shared" si="52"/>
        <v>0</v>
      </c>
      <c r="AI191" s="198">
        <f t="shared" si="52"/>
        <v>0</v>
      </c>
      <c r="AJ191" s="198">
        <f t="shared" si="52"/>
        <v>0</v>
      </c>
      <c r="AK191" s="198">
        <f t="shared" si="52"/>
        <v>0</v>
      </c>
      <c r="AL191" s="198">
        <f t="shared" si="52"/>
        <v>0</v>
      </c>
      <c r="AM191" s="198">
        <f t="shared" si="52"/>
        <v>0</v>
      </c>
      <c r="AN191" s="198">
        <f t="shared" si="52"/>
        <v>0</v>
      </c>
      <c r="AO191" s="198">
        <f t="shared" si="52"/>
        <v>0</v>
      </c>
    </row>
    <row r="192" spans="3:43" x14ac:dyDescent="0.25">
      <c r="C192" s="73"/>
      <c r="D192"/>
      <c r="E192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</row>
    <row r="193" spans="3:43" x14ac:dyDescent="0.25">
      <c r="C193" s="5" t="str">
        <f ca="1">INDEX('Version control'!$H$36:$H$62,MATCH($A$1,'Version control'!$F$36:$F$62,0),1)&amp;"-G: Calculating the residual fixed charge"</f>
        <v>Section 519-G: Calculating the residual fixed charge</v>
      </c>
      <c r="D193" s="5"/>
      <c r="E193" s="5"/>
      <c r="F193" s="5"/>
      <c r="G193" s="5"/>
      <c r="H193" s="5"/>
      <c r="I193" s="5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  <c r="AA193" s="143"/>
      <c r="AB193" s="143"/>
      <c r="AC193" s="143"/>
      <c r="AD193" s="143"/>
      <c r="AE193" s="143"/>
      <c r="AF193" s="143"/>
      <c r="AG193" s="143"/>
      <c r="AH193" s="143"/>
      <c r="AI193" s="143"/>
      <c r="AJ193" s="143"/>
      <c r="AK193" s="143"/>
      <c r="AL193" s="143"/>
      <c r="AM193" s="143"/>
      <c r="AN193" s="143"/>
      <c r="AO193" s="143"/>
    </row>
    <row r="194" spans="3:43" x14ac:dyDescent="0.25">
      <c r="C194" s="73"/>
      <c r="D194"/>
      <c r="E194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</row>
    <row r="195" spans="3:43" x14ac:dyDescent="0.25">
      <c r="C195" s="73"/>
      <c r="D195" s="73" t="s">
        <v>1137</v>
      </c>
      <c r="E195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</row>
    <row r="196" spans="3:43" x14ac:dyDescent="0.25">
      <c r="C196" s="73"/>
      <c r="D196"/>
      <c r="E196"/>
      <c r="J196" s="198"/>
      <c r="K196" s="198"/>
      <c r="L196" s="198"/>
      <c r="M196" s="198"/>
      <c r="N196" s="198"/>
      <c r="O196" s="198"/>
      <c r="P196" s="198"/>
      <c r="Q196" s="198"/>
      <c r="R196" s="198"/>
      <c r="S196" s="198"/>
      <c r="T196" s="198"/>
      <c r="U196" s="198"/>
      <c r="V196" s="198"/>
      <c r="W196" s="198"/>
      <c r="X196" s="198"/>
      <c r="Y196" s="198"/>
      <c r="Z196" s="198"/>
      <c r="AA196" s="198"/>
      <c r="AB196" s="198"/>
      <c r="AC196" s="198"/>
      <c r="AD196" s="198"/>
      <c r="AE196" s="198"/>
      <c r="AF196" s="198"/>
      <c r="AG196" s="198"/>
      <c r="AH196" s="198"/>
      <c r="AI196" s="198"/>
      <c r="AJ196" s="198"/>
      <c r="AK196" s="198"/>
      <c r="AL196" s="198"/>
      <c r="AM196" s="198"/>
      <c r="AN196" s="198"/>
      <c r="AO196" s="198"/>
    </row>
    <row r="197" spans="3:43" x14ac:dyDescent="0.25">
      <c r="C197" s="73"/>
      <c r="D197"/>
      <c r="E197" t="s">
        <v>1024</v>
      </c>
      <c r="G197" t="s">
        <v>1229</v>
      </c>
      <c r="I197" t="s">
        <v>359</v>
      </c>
      <c r="J197" s="198">
        <f t="shared" ref="J197:AO197" si="53">IF(J33, J191/J154, 0)</f>
        <v>73.461085932297422</v>
      </c>
      <c r="K197" s="198">
        <f t="shared" si="53"/>
        <v>0</v>
      </c>
      <c r="L197" s="198">
        <f t="shared" si="53"/>
        <v>0</v>
      </c>
      <c r="M197" s="198">
        <f t="shared" si="53"/>
        <v>92.84442398292056</v>
      </c>
      <c r="N197" s="198">
        <f t="shared" si="53"/>
        <v>213.34125570991364</v>
      </c>
      <c r="O197" s="198">
        <f t="shared" si="53"/>
        <v>460.7388041528535</v>
      </c>
      <c r="P197" s="198">
        <f t="shared" si="53"/>
        <v>1354.486477976172</v>
      </c>
      <c r="Q197" s="198">
        <f t="shared" si="53"/>
        <v>0</v>
      </c>
      <c r="R197" s="198">
        <f t="shared" si="53"/>
        <v>0</v>
      </c>
      <c r="S197" s="198">
        <f t="shared" si="53"/>
        <v>2515.5731702077278</v>
      </c>
      <c r="T197" s="198">
        <f t="shared" si="53"/>
        <v>4395.8655402348058</v>
      </c>
      <c r="U197" s="198">
        <f t="shared" si="53"/>
        <v>7412.6207490157212</v>
      </c>
      <c r="V197" s="198">
        <f t="shared" si="53"/>
        <v>16140.478271897295</v>
      </c>
      <c r="W197" s="198">
        <f t="shared" si="53"/>
        <v>0</v>
      </c>
      <c r="X197" s="198">
        <f t="shared" si="53"/>
        <v>2515.5731702077273</v>
      </c>
      <c r="Y197" s="198">
        <f t="shared" si="53"/>
        <v>4395.8655402348058</v>
      </c>
      <c r="Z197" s="198">
        <f t="shared" si="53"/>
        <v>7412.6207490157203</v>
      </c>
      <c r="AA197" s="198">
        <f t="shared" si="53"/>
        <v>16140.478271897291</v>
      </c>
      <c r="AB197" s="198">
        <f t="shared" si="53"/>
        <v>0</v>
      </c>
      <c r="AC197" s="198">
        <f t="shared" si="53"/>
        <v>12573.535163383111</v>
      </c>
      <c r="AD197" s="198">
        <f t="shared" si="53"/>
        <v>38125.819363264614</v>
      </c>
      <c r="AE197" s="198">
        <f t="shared" si="53"/>
        <v>77718.659251075122</v>
      </c>
      <c r="AF197" s="198">
        <f t="shared" si="53"/>
        <v>206133.14780009745</v>
      </c>
      <c r="AG197" s="198">
        <f t="shared" si="53"/>
        <v>0</v>
      </c>
      <c r="AH197" s="198">
        <f t="shared" si="53"/>
        <v>0</v>
      </c>
      <c r="AI197" s="198">
        <f t="shared" si="53"/>
        <v>0</v>
      </c>
      <c r="AJ197" s="198">
        <f t="shared" si="53"/>
        <v>0</v>
      </c>
      <c r="AK197" s="198">
        <f t="shared" si="53"/>
        <v>0</v>
      </c>
      <c r="AL197" s="198">
        <f t="shared" si="53"/>
        <v>0</v>
      </c>
      <c r="AM197" s="198">
        <f t="shared" si="53"/>
        <v>0</v>
      </c>
      <c r="AN197" s="198">
        <f t="shared" si="53"/>
        <v>0</v>
      </c>
      <c r="AO197" s="198">
        <f t="shared" si="53"/>
        <v>0</v>
      </c>
      <c r="AQ197" t="s">
        <v>1242</v>
      </c>
    </row>
    <row r="198" spans="3:43" x14ac:dyDescent="0.25">
      <c r="C198" s="73"/>
      <c r="D198"/>
      <c r="E198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</row>
    <row r="199" spans="3:43" x14ac:dyDescent="0.25">
      <c r="C199" s="73"/>
      <c r="D199"/>
      <c r="E199" t="s">
        <v>1024</v>
      </c>
      <c r="G199" t="s">
        <v>252</v>
      </c>
      <c r="I199" t="s">
        <v>359</v>
      </c>
      <c r="J199" s="198">
        <f t="shared" ref="J199:AO199" si="54">J197 * hundred / days_in_year</f>
        <v>20.126324912958196</v>
      </c>
      <c r="K199" s="198">
        <f t="shared" si="54"/>
        <v>0</v>
      </c>
      <c r="L199" s="198">
        <f t="shared" si="54"/>
        <v>0</v>
      </c>
      <c r="M199" s="198">
        <f t="shared" si="54"/>
        <v>25.436828488471388</v>
      </c>
      <c r="N199" s="198">
        <f t="shared" si="54"/>
        <v>58.449659098606475</v>
      </c>
      <c r="O199" s="198">
        <f t="shared" si="54"/>
        <v>126.22980935694616</v>
      </c>
      <c r="P199" s="198">
        <f t="shared" si="54"/>
        <v>371.0921857468964</v>
      </c>
      <c r="Q199" s="198">
        <f t="shared" si="54"/>
        <v>0</v>
      </c>
      <c r="R199" s="198">
        <f t="shared" si="54"/>
        <v>0</v>
      </c>
      <c r="S199" s="198">
        <f t="shared" si="54"/>
        <v>689.19812882403505</v>
      </c>
      <c r="T199" s="198">
        <f t="shared" si="54"/>
        <v>1204.3467233520016</v>
      </c>
      <c r="U199" s="198">
        <f t="shared" si="54"/>
        <v>2030.8549997303344</v>
      </c>
      <c r="V199" s="198">
        <f t="shared" si="54"/>
        <v>4422.0488416156977</v>
      </c>
      <c r="W199" s="198">
        <f t="shared" si="54"/>
        <v>0</v>
      </c>
      <c r="X199" s="198">
        <f t="shared" si="54"/>
        <v>689.19812882403482</v>
      </c>
      <c r="Y199" s="198">
        <f t="shared" si="54"/>
        <v>1204.3467233520016</v>
      </c>
      <c r="Z199" s="198">
        <f t="shared" si="54"/>
        <v>2030.8549997303344</v>
      </c>
      <c r="AA199" s="198">
        <f t="shared" si="54"/>
        <v>4422.0488416156959</v>
      </c>
      <c r="AB199" s="198">
        <f t="shared" si="54"/>
        <v>0</v>
      </c>
      <c r="AC199" s="198">
        <f t="shared" si="54"/>
        <v>3444.8041543515374</v>
      </c>
      <c r="AD199" s="198">
        <f t="shared" si="54"/>
        <v>10445.42996253825</v>
      </c>
      <c r="AE199" s="198">
        <f t="shared" si="54"/>
        <v>21292.783356458938</v>
      </c>
      <c r="AF199" s="198">
        <f t="shared" si="54"/>
        <v>56474.835013725322</v>
      </c>
      <c r="AG199" s="198">
        <f t="shared" si="54"/>
        <v>0</v>
      </c>
      <c r="AH199" s="198">
        <f t="shared" si="54"/>
        <v>0</v>
      </c>
      <c r="AI199" s="198">
        <f t="shared" si="54"/>
        <v>0</v>
      </c>
      <c r="AJ199" s="198">
        <f t="shared" si="54"/>
        <v>0</v>
      </c>
      <c r="AK199" s="198">
        <f t="shared" si="54"/>
        <v>0</v>
      </c>
      <c r="AL199" s="198">
        <f t="shared" si="54"/>
        <v>0</v>
      </c>
      <c r="AM199" s="198">
        <f t="shared" si="54"/>
        <v>0</v>
      </c>
      <c r="AN199" s="198">
        <f t="shared" si="54"/>
        <v>0</v>
      </c>
      <c r="AO199" s="198">
        <f t="shared" si="54"/>
        <v>0</v>
      </c>
      <c r="AQ199" t="s">
        <v>1243</v>
      </c>
    </row>
    <row r="200" spans="3:43" x14ac:dyDescent="0.25">
      <c r="C200" s="73"/>
      <c r="D200"/>
      <c r="E200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</row>
    <row r="201" spans="3:43" x14ac:dyDescent="0.25">
      <c r="C201" s="5" t="str">
        <f ca="1">INDEX('Version control'!$H$36:$H$62,MATCH($A$1,'Version control'!$F$36:$F$62,0),1)&amp;"-H: Calculating the initial residual unit rate"</f>
        <v>Section 519-H: Calculating the initial residual unit rate</v>
      </c>
      <c r="D201" s="5"/>
      <c r="E201" s="5"/>
      <c r="F201" s="5"/>
      <c r="G201" s="5"/>
      <c r="H201" s="5"/>
      <c r="I201" s="5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  <c r="AA201" s="143"/>
      <c r="AB201" s="143"/>
      <c r="AC201" s="143"/>
      <c r="AD201" s="143"/>
      <c r="AE201" s="143"/>
      <c r="AF201" s="143"/>
      <c r="AG201" s="143"/>
      <c r="AH201" s="143"/>
      <c r="AI201" s="143"/>
      <c r="AJ201" s="143"/>
      <c r="AK201" s="143"/>
      <c r="AL201" s="143"/>
      <c r="AM201" s="143"/>
      <c r="AN201" s="143"/>
      <c r="AO201" s="143"/>
    </row>
    <row r="202" spans="3:43" x14ac:dyDescent="0.25">
      <c r="C202" s="73"/>
      <c r="D202"/>
      <c r="E202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</row>
    <row r="203" spans="3:43" x14ac:dyDescent="0.25">
      <c r="C203" s="73"/>
      <c r="D203" s="73" t="s">
        <v>1139</v>
      </c>
      <c r="E203"/>
      <c r="I203" t="s">
        <v>359</v>
      </c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Q203" t="s">
        <v>1235</v>
      </c>
    </row>
    <row r="204" spans="3:43" x14ac:dyDescent="0.25">
      <c r="C204" s="73"/>
      <c r="D204" s="73" t="s">
        <v>1140</v>
      </c>
      <c r="E204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</row>
    <row r="205" spans="3:43" x14ac:dyDescent="0.25">
      <c r="C205" s="73"/>
      <c r="D205"/>
      <c r="E205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</row>
    <row r="206" spans="3:43" x14ac:dyDescent="0.25">
      <c r="C206" s="73"/>
      <c r="D206"/>
      <c r="E206" t="s">
        <v>1141</v>
      </c>
      <c r="G206" t="s">
        <v>1142</v>
      </c>
      <c r="J206" s="388">
        <f t="shared" ref="J206:AO206" si="55">IF(J34, J191/J185, 0)</f>
        <v>0</v>
      </c>
      <c r="K206" s="388">
        <f t="shared" si="55"/>
        <v>0</v>
      </c>
      <c r="L206" s="388">
        <f t="shared" si="55"/>
        <v>0</v>
      </c>
      <c r="M206" s="388">
        <f t="shared" si="55"/>
        <v>0</v>
      </c>
      <c r="N206" s="388">
        <f t="shared" si="55"/>
        <v>0</v>
      </c>
      <c r="O206" s="388">
        <f t="shared" si="55"/>
        <v>0</v>
      </c>
      <c r="P206" s="388">
        <f t="shared" si="55"/>
        <v>0</v>
      </c>
      <c r="Q206" s="388">
        <f t="shared" si="55"/>
        <v>0</v>
      </c>
      <c r="R206" s="388">
        <f t="shared" si="55"/>
        <v>0</v>
      </c>
      <c r="S206" s="388">
        <f t="shared" si="55"/>
        <v>0</v>
      </c>
      <c r="T206" s="388">
        <f t="shared" si="55"/>
        <v>0</v>
      </c>
      <c r="U206" s="388">
        <f t="shared" si="55"/>
        <v>0</v>
      </c>
      <c r="V206" s="388">
        <f t="shared" si="55"/>
        <v>0</v>
      </c>
      <c r="W206" s="388">
        <f t="shared" si="55"/>
        <v>0</v>
      </c>
      <c r="X206" s="388">
        <f t="shared" si="55"/>
        <v>0</v>
      </c>
      <c r="Y206" s="388">
        <f t="shared" si="55"/>
        <v>0</v>
      </c>
      <c r="Z206" s="388">
        <f t="shared" si="55"/>
        <v>0</v>
      </c>
      <c r="AA206" s="388">
        <f t="shared" si="55"/>
        <v>0</v>
      </c>
      <c r="AB206" s="388">
        <f t="shared" si="55"/>
        <v>0</v>
      </c>
      <c r="AC206" s="388">
        <f t="shared" si="55"/>
        <v>0</v>
      </c>
      <c r="AD206" s="388">
        <f t="shared" si="55"/>
        <v>0</v>
      </c>
      <c r="AE206" s="388">
        <f t="shared" si="55"/>
        <v>0</v>
      </c>
      <c r="AF206" s="388">
        <f t="shared" si="55"/>
        <v>0</v>
      </c>
      <c r="AG206" s="388">
        <f t="shared" si="55"/>
        <v>24.794192083976945</v>
      </c>
      <c r="AH206" s="388">
        <f t="shared" si="55"/>
        <v>0</v>
      </c>
      <c r="AI206" s="388">
        <f t="shared" si="55"/>
        <v>0</v>
      </c>
      <c r="AJ206" s="388">
        <f t="shared" si="55"/>
        <v>0</v>
      </c>
      <c r="AK206" s="388">
        <f t="shared" si="55"/>
        <v>0</v>
      </c>
      <c r="AL206" s="388">
        <f t="shared" si="55"/>
        <v>0</v>
      </c>
      <c r="AM206" s="388">
        <f t="shared" si="55"/>
        <v>0</v>
      </c>
      <c r="AN206" s="388">
        <f t="shared" si="55"/>
        <v>0</v>
      </c>
      <c r="AO206" s="388">
        <f t="shared" si="55"/>
        <v>0</v>
      </c>
    </row>
    <row r="207" spans="3:43" x14ac:dyDescent="0.25">
      <c r="C207" s="73"/>
      <c r="D207"/>
      <c r="E207"/>
      <c r="J207" s="388"/>
      <c r="K207" s="388"/>
      <c r="L207" s="388"/>
      <c r="M207" s="388"/>
      <c r="N207" s="388"/>
      <c r="O207" s="388"/>
      <c r="P207" s="388"/>
      <c r="Q207" s="388"/>
      <c r="R207" s="388"/>
      <c r="S207" s="388"/>
      <c r="T207" s="388"/>
      <c r="U207" s="388"/>
      <c r="V207" s="388"/>
      <c r="W207" s="388"/>
      <c r="X207" s="388"/>
      <c r="Y207" s="388"/>
      <c r="Z207" s="388"/>
      <c r="AA207" s="388"/>
      <c r="AB207" s="388"/>
      <c r="AC207" s="388"/>
      <c r="AD207" s="388"/>
      <c r="AE207" s="388"/>
      <c r="AF207" s="388"/>
      <c r="AG207" s="388"/>
      <c r="AH207" s="388"/>
      <c r="AI207" s="388"/>
      <c r="AJ207" s="388"/>
      <c r="AK207" s="388"/>
      <c r="AL207" s="388"/>
      <c r="AM207" s="388"/>
      <c r="AN207" s="388"/>
      <c r="AO207" s="388"/>
    </row>
    <row r="208" spans="3:43" x14ac:dyDescent="0.25">
      <c r="C208" s="73"/>
      <c r="E208" t="s">
        <v>1141</v>
      </c>
      <c r="G208" t="s">
        <v>183</v>
      </c>
      <c r="J208" s="388">
        <f t="shared" ref="J208:AO208" si="56">J206*hundred/thousand</f>
        <v>0</v>
      </c>
      <c r="K208" s="388">
        <f t="shared" si="56"/>
        <v>0</v>
      </c>
      <c r="L208" s="388">
        <f t="shared" si="56"/>
        <v>0</v>
      </c>
      <c r="M208" s="388">
        <f t="shared" si="56"/>
        <v>0</v>
      </c>
      <c r="N208" s="388">
        <f t="shared" si="56"/>
        <v>0</v>
      </c>
      <c r="O208" s="388">
        <f t="shared" si="56"/>
        <v>0</v>
      </c>
      <c r="P208" s="388">
        <f t="shared" si="56"/>
        <v>0</v>
      </c>
      <c r="Q208" s="388">
        <f t="shared" si="56"/>
        <v>0</v>
      </c>
      <c r="R208" s="388">
        <f t="shared" si="56"/>
        <v>0</v>
      </c>
      <c r="S208" s="388">
        <f t="shared" si="56"/>
        <v>0</v>
      </c>
      <c r="T208" s="388">
        <f t="shared" si="56"/>
        <v>0</v>
      </c>
      <c r="U208" s="388">
        <f t="shared" si="56"/>
        <v>0</v>
      </c>
      <c r="V208" s="388">
        <f t="shared" si="56"/>
        <v>0</v>
      </c>
      <c r="W208" s="388">
        <f t="shared" si="56"/>
        <v>0</v>
      </c>
      <c r="X208" s="388">
        <f t="shared" si="56"/>
        <v>0</v>
      </c>
      <c r="Y208" s="388">
        <f t="shared" si="56"/>
        <v>0</v>
      </c>
      <c r="Z208" s="388">
        <f t="shared" si="56"/>
        <v>0</v>
      </c>
      <c r="AA208" s="388">
        <f t="shared" si="56"/>
        <v>0</v>
      </c>
      <c r="AB208" s="388">
        <f t="shared" si="56"/>
        <v>0</v>
      </c>
      <c r="AC208" s="388">
        <f t="shared" si="56"/>
        <v>0</v>
      </c>
      <c r="AD208" s="388">
        <f t="shared" si="56"/>
        <v>0</v>
      </c>
      <c r="AE208" s="388">
        <f t="shared" si="56"/>
        <v>0</v>
      </c>
      <c r="AF208" s="388">
        <f t="shared" si="56"/>
        <v>0</v>
      </c>
      <c r="AG208" s="388">
        <f t="shared" si="56"/>
        <v>2.4794192083976947</v>
      </c>
      <c r="AH208" s="388">
        <f t="shared" si="56"/>
        <v>0</v>
      </c>
      <c r="AI208" s="388">
        <f t="shared" si="56"/>
        <v>0</v>
      </c>
      <c r="AJ208" s="388">
        <f t="shared" si="56"/>
        <v>0</v>
      </c>
      <c r="AK208" s="388">
        <f t="shared" si="56"/>
        <v>0</v>
      </c>
      <c r="AL208" s="388">
        <f t="shared" si="56"/>
        <v>0</v>
      </c>
      <c r="AM208" s="388">
        <f t="shared" si="56"/>
        <v>0</v>
      </c>
      <c r="AN208" s="388">
        <f t="shared" si="56"/>
        <v>0</v>
      </c>
      <c r="AO208" s="388">
        <f t="shared" si="56"/>
        <v>0</v>
      </c>
    </row>
    <row r="209" spans="2:43" x14ac:dyDescent="0.25">
      <c r="C209" s="73"/>
      <c r="D209"/>
      <c r="E20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</row>
    <row r="210" spans="2:43" x14ac:dyDescent="0.25">
      <c r="B210" s="82" t="s">
        <v>1143</v>
      </c>
      <c r="C210" s="82"/>
      <c r="D210" s="82"/>
      <c r="E210" s="82"/>
      <c r="F210" s="82"/>
      <c r="G210" s="82"/>
      <c r="H210" s="82"/>
      <c r="I210" s="82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136"/>
      <c r="Y210" s="136"/>
      <c r="Z210" s="136"/>
      <c r="AA210" s="136"/>
      <c r="AB210" s="136"/>
      <c r="AC210" s="136"/>
      <c r="AD210" s="136"/>
      <c r="AE210" s="136"/>
      <c r="AF210" s="136"/>
      <c r="AG210" s="136"/>
      <c r="AH210" s="136"/>
      <c r="AI210" s="136"/>
      <c r="AJ210" s="136"/>
      <c r="AK210" s="136"/>
      <c r="AL210" s="136"/>
      <c r="AM210" s="136"/>
      <c r="AN210" s="136"/>
      <c r="AO210" s="136"/>
      <c r="AP210" s="65"/>
      <c r="AQ210" s="65"/>
    </row>
    <row r="211" spans="2:43" x14ac:dyDescent="0.25">
      <c r="C211" s="73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</row>
    <row r="212" spans="2:43" x14ac:dyDescent="0.25">
      <c r="C212" s="73" t="s">
        <v>1144</v>
      </c>
      <c r="I212" t="s">
        <v>359</v>
      </c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Q212" t="s">
        <v>743</v>
      </c>
    </row>
    <row r="213" spans="2:43" x14ac:dyDescent="0.25">
      <c r="C213" s="73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</row>
    <row r="214" spans="2:43" x14ac:dyDescent="0.25">
      <c r="C214" s="5" t="str">
        <f ca="1">INDEX('Version control'!$H$36:$H$62,MATCH($A$1,'Version control'!$F$36:$F$62,0),1)&amp;"-I: Floor on negative residual fixed charges"</f>
        <v>Section 519-I: Floor on negative residual fixed charges</v>
      </c>
      <c r="D214" s="5"/>
      <c r="E214" s="5"/>
      <c r="F214" s="5"/>
      <c r="G214" s="5"/>
      <c r="H214" s="5"/>
      <c r="I214" s="5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  <c r="AA214" s="143"/>
      <c r="AB214" s="143"/>
      <c r="AC214" s="143"/>
      <c r="AD214" s="143"/>
      <c r="AE214" s="143"/>
      <c r="AF214" s="143"/>
      <c r="AG214" s="143"/>
      <c r="AH214" s="143"/>
      <c r="AI214" s="143"/>
      <c r="AJ214" s="143"/>
      <c r="AK214" s="143"/>
      <c r="AL214" s="143"/>
      <c r="AM214" s="143"/>
      <c r="AN214" s="143"/>
      <c r="AO214" s="143"/>
    </row>
    <row r="215" spans="2:43" x14ac:dyDescent="0.25">
      <c r="C215" s="73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</row>
    <row r="216" spans="2:43" x14ac:dyDescent="0.25">
      <c r="C216" s="73"/>
      <c r="D216" s="73" t="s">
        <v>1145</v>
      </c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</row>
    <row r="217" spans="2:43" x14ac:dyDescent="0.25">
      <c r="C217" s="73"/>
      <c r="D217" s="73" t="s">
        <v>1146</v>
      </c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</row>
    <row r="218" spans="2:43" x14ac:dyDescent="0.25">
      <c r="C218" s="73"/>
      <c r="D218" s="73" t="s">
        <v>1147</v>
      </c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</row>
    <row r="219" spans="2:43" x14ac:dyDescent="0.25">
      <c r="C219" s="73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</row>
    <row r="220" spans="2:43" x14ac:dyDescent="0.25">
      <c r="C220" s="73"/>
      <c r="E220" s="73" t="s">
        <v>1239</v>
      </c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</row>
    <row r="221" spans="2:43" x14ac:dyDescent="0.25">
      <c r="C221" s="73"/>
      <c r="E221" s="73" t="s">
        <v>1148</v>
      </c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</row>
    <row r="222" spans="2:43" x14ac:dyDescent="0.25">
      <c r="C222" s="73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</row>
    <row r="223" spans="2:43" x14ac:dyDescent="0.25">
      <c r="C223" s="73"/>
      <c r="E223" t="s">
        <v>1149</v>
      </c>
      <c r="G223" t="s">
        <v>252</v>
      </c>
      <c r="J223" s="198">
        <f t="array" ref="J223">MIN(IF($J150:$AO150=J150,$J43:$AO43+$J48:$AO48))</f>
        <v>5.1594912583042305</v>
      </c>
      <c r="K223" s="198">
        <f t="array" ref="K223">MIN(IF($J150:$AO150=K150,$J43:$AO43+$J48:$AO48))</f>
        <v>0</v>
      </c>
      <c r="L223" s="198">
        <f t="array" ref="L223">MIN(IF($J150:$AO150=L150,$J43:$AO43+$J48:$AO48))</f>
        <v>0</v>
      </c>
      <c r="M223" s="198">
        <f t="array" ref="M223">MIN(IF($J150:$AO150=M150,$J43:$AO43+$J48:$AO48))</f>
        <v>6.3022459907450248</v>
      </c>
      <c r="N223" s="198">
        <f t="array" ref="N223">MIN(IF($J150:$AO150=N150,$J43:$AO43+$J48:$AO48))</f>
        <v>6.3022459907450248</v>
      </c>
      <c r="O223" s="198">
        <f t="array" ref="O223">MIN(IF($J150:$AO150=O150,$J43:$AO43+$J48:$AO48))</f>
        <v>6.3022459907450248</v>
      </c>
      <c r="P223" s="198">
        <f t="array" ref="P223">MIN(IF($J150:$AO150=P150,$J43:$AO43+$J48:$AO48))</f>
        <v>6.3022459907450248</v>
      </c>
      <c r="Q223" s="198">
        <f t="array" ref="Q223">MIN(IF($J150:$AO150=Q150,$J43:$AO43+$J48:$AO48))</f>
        <v>0</v>
      </c>
      <c r="R223" s="198">
        <f t="array" ref="R223">MIN(IF($J150:$AO150=R150,$J43:$AO43+$J48:$AO48))</f>
        <v>0</v>
      </c>
      <c r="S223" s="198">
        <f t="array" ref="S223">MIN(IF($J150:$AO150=S150,$J43:$AO43+$J48:$AO48))</f>
        <v>8.6989275765465361</v>
      </c>
      <c r="T223" s="198">
        <f t="array" ref="T223">MIN(IF($J150:$AO150=T150,$J43:$AO43+$J48:$AO48))</f>
        <v>8.6989275765465361</v>
      </c>
      <c r="U223" s="198">
        <f t="array" ref="U223">MIN(IF($J150:$AO150=U150,$J43:$AO43+$J48:$AO48))</f>
        <v>8.6989275765465361</v>
      </c>
      <c r="V223" s="198">
        <f t="array" ref="V223">MIN(IF($J150:$AO150=V150,$J43:$AO43+$J48:$AO48))</f>
        <v>8.6989275765465361</v>
      </c>
      <c r="W223" s="198">
        <f t="array" ref="W223">MIN(IF($J150:$AO150=W150,$J43:$AO43+$J48:$AO48))</f>
        <v>0</v>
      </c>
      <c r="X223" s="198">
        <f t="array" ref="X223">MIN(IF($J150:$AO150=X150,$J43:$AO43+$J48:$AO48))</f>
        <v>8.6989275765465361</v>
      </c>
      <c r="Y223" s="198">
        <f t="array" ref="Y223">MIN(IF($J150:$AO150=Y150,$J43:$AO43+$J48:$AO48))</f>
        <v>8.6989275765465361</v>
      </c>
      <c r="Z223" s="198">
        <f t="array" ref="Z223">MIN(IF($J150:$AO150=Z150,$J43:$AO43+$J48:$AO48))</f>
        <v>8.6989275765465361</v>
      </c>
      <c r="AA223" s="198">
        <f t="array" ref="AA223">MIN(IF($J150:$AO150=AA150,$J43:$AO43+$J48:$AO48))</f>
        <v>8.6989275765465361</v>
      </c>
      <c r="AB223" s="198">
        <f t="array" ref="AB223">MIN(IF($J150:$AO150=AB150,$J43:$AO43+$J48:$AO48))</f>
        <v>0</v>
      </c>
      <c r="AC223" s="198">
        <f t="array" ref="AC223">MIN(IF($J150:$AO150=AC150,$J43:$AO43+$J48:$AO48))</f>
        <v>127.30507180819882</v>
      </c>
      <c r="AD223" s="198">
        <f t="array" ref="AD223">MIN(IF($J150:$AO150=AD150,$J43:$AO43+$J48:$AO48))</f>
        <v>127.30507180819882</v>
      </c>
      <c r="AE223" s="198">
        <f t="array" ref="AE223">MIN(IF($J150:$AO150=AE150,$J43:$AO43+$J48:$AO48))</f>
        <v>127.30507180819882</v>
      </c>
      <c r="AF223" s="198">
        <f t="array" ref="AF223">MIN(IF($J150:$AO150=AF150,$J43:$AO43+$J48:$AO48))</f>
        <v>127.30507180819882</v>
      </c>
      <c r="AG223" s="198">
        <f t="array" ref="AG223">MIN(IF($J150:$AO150=AG150,$J43:$AO43+$J48:$AO48))</f>
        <v>0</v>
      </c>
      <c r="AH223" s="198">
        <f t="array" ref="AH223">MIN(IF($J150:$AO150=AH150,$J43:$AO43+$J48:$AO48))</f>
        <v>0</v>
      </c>
      <c r="AI223" s="198">
        <f t="array" ref="AI223">MIN(IF($J150:$AO150=AI150,$J43:$AO43+$J48:$AO48))</f>
        <v>0</v>
      </c>
      <c r="AJ223" s="198">
        <f t="array" ref="AJ223">MIN(IF($J150:$AO150=AJ150,$J43:$AO43+$J48:$AO48))</f>
        <v>0</v>
      </c>
      <c r="AK223" s="198">
        <f t="array" ref="AK223">MIN(IF($J150:$AO150=AK150,$J43:$AO43+$J48:$AO48))</f>
        <v>0</v>
      </c>
      <c r="AL223" s="198">
        <f t="array" ref="AL223">MIN(IF($J150:$AO150=AL150,$J43:$AO43+$J48:$AO48))</f>
        <v>0</v>
      </c>
      <c r="AM223" s="198">
        <f t="array" ref="AM223">MIN(IF($J150:$AO150=AM150,$J43:$AO43+$J48:$AO48))</f>
        <v>0</v>
      </c>
      <c r="AN223" s="198">
        <f t="array" ref="AN223">MIN(IF($J150:$AO150=AN150,$J43:$AO43+$J48:$AO48))</f>
        <v>0</v>
      </c>
      <c r="AO223" s="198">
        <f t="array" ref="AO223">MIN(IF($J150:$AO150=AO150,$J43:$AO43+$J48:$AO48))</f>
        <v>0</v>
      </c>
    </row>
    <row r="224" spans="2:43" x14ac:dyDescent="0.25">
      <c r="C224" s="73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</row>
    <row r="225" spans="3:43" x14ac:dyDescent="0.25">
      <c r="C225" s="73"/>
      <c r="E225" t="s">
        <v>1150</v>
      </c>
      <c r="G225" t="s">
        <v>252</v>
      </c>
      <c r="J225" s="198">
        <f>MAX(-J223,J199)</f>
        <v>20.126324912958196</v>
      </c>
      <c r="K225" s="198">
        <f t="shared" ref="K225:AO225" si="57">MAX(-K223,K199)</f>
        <v>0</v>
      </c>
      <c r="L225" s="198">
        <f t="shared" si="57"/>
        <v>0</v>
      </c>
      <c r="M225" s="198">
        <f t="shared" si="57"/>
        <v>25.436828488471388</v>
      </c>
      <c r="N225" s="198">
        <f t="shared" si="57"/>
        <v>58.449659098606475</v>
      </c>
      <c r="O225" s="198">
        <f t="shared" si="57"/>
        <v>126.22980935694616</v>
      </c>
      <c r="P225" s="198">
        <f t="shared" si="57"/>
        <v>371.0921857468964</v>
      </c>
      <c r="Q225" s="198">
        <f t="shared" si="57"/>
        <v>0</v>
      </c>
      <c r="R225" s="198">
        <f t="shared" si="57"/>
        <v>0</v>
      </c>
      <c r="S225" s="198">
        <f t="shared" si="57"/>
        <v>689.19812882403505</v>
      </c>
      <c r="T225" s="198">
        <f t="shared" si="57"/>
        <v>1204.3467233520016</v>
      </c>
      <c r="U225" s="198">
        <f t="shared" si="57"/>
        <v>2030.8549997303344</v>
      </c>
      <c r="V225" s="198">
        <f t="shared" si="57"/>
        <v>4422.0488416156977</v>
      </c>
      <c r="W225" s="198">
        <f t="shared" si="57"/>
        <v>0</v>
      </c>
      <c r="X225" s="198">
        <f t="shared" si="57"/>
        <v>689.19812882403482</v>
      </c>
      <c r="Y225" s="198">
        <f t="shared" si="57"/>
        <v>1204.3467233520016</v>
      </c>
      <c r="Z225" s="198">
        <f t="shared" si="57"/>
        <v>2030.8549997303344</v>
      </c>
      <c r="AA225" s="198">
        <f t="shared" si="57"/>
        <v>4422.0488416156959</v>
      </c>
      <c r="AB225" s="198">
        <f t="shared" si="57"/>
        <v>0</v>
      </c>
      <c r="AC225" s="198">
        <f t="shared" si="57"/>
        <v>3444.8041543515374</v>
      </c>
      <c r="AD225" s="198">
        <f t="shared" si="57"/>
        <v>10445.42996253825</v>
      </c>
      <c r="AE225" s="198">
        <f t="shared" si="57"/>
        <v>21292.783356458938</v>
      </c>
      <c r="AF225" s="198">
        <f t="shared" si="57"/>
        <v>56474.835013725322</v>
      </c>
      <c r="AG225" s="198">
        <f t="shared" si="57"/>
        <v>0</v>
      </c>
      <c r="AH225" s="198">
        <f t="shared" si="57"/>
        <v>0</v>
      </c>
      <c r="AI225" s="198">
        <f t="shared" si="57"/>
        <v>0</v>
      </c>
      <c r="AJ225" s="198">
        <f t="shared" si="57"/>
        <v>0</v>
      </c>
      <c r="AK225" s="198">
        <f t="shared" si="57"/>
        <v>0</v>
      </c>
      <c r="AL225" s="198">
        <f t="shared" si="57"/>
        <v>0</v>
      </c>
      <c r="AM225" s="198">
        <f t="shared" si="57"/>
        <v>0</v>
      </c>
      <c r="AN225" s="198">
        <f t="shared" si="57"/>
        <v>0</v>
      </c>
      <c r="AO225" s="198">
        <f t="shared" si="57"/>
        <v>0</v>
      </c>
    </row>
    <row r="226" spans="3:43" x14ac:dyDescent="0.25">
      <c r="C226" s="73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</row>
    <row r="227" spans="3:43" x14ac:dyDescent="0.25">
      <c r="C227" s="73"/>
      <c r="E227" t="s">
        <v>1151</v>
      </c>
      <c r="G227" t="s">
        <v>252</v>
      </c>
      <c r="J227" s="198">
        <f xml:space="preserve"> J199 - J225</f>
        <v>0</v>
      </c>
      <c r="K227" s="198">
        <f t="shared" ref="K227:AO227" si="58" xml:space="preserve"> K199 - K225</f>
        <v>0</v>
      </c>
      <c r="L227" s="198">
        <f t="shared" si="58"/>
        <v>0</v>
      </c>
      <c r="M227" s="198">
        <f t="shared" si="58"/>
        <v>0</v>
      </c>
      <c r="N227" s="198">
        <f t="shared" si="58"/>
        <v>0</v>
      </c>
      <c r="O227" s="198">
        <f t="shared" si="58"/>
        <v>0</v>
      </c>
      <c r="P227" s="198">
        <f t="shared" si="58"/>
        <v>0</v>
      </c>
      <c r="Q227" s="198">
        <f t="shared" si="58"/>
        <v>0</v>
      </c>
      <c r="R227" s="198">
        <f t="shared" si="58"/>
        <v>0</v>
      </c>
      <c r="S227" s="198">
        <f t="shared" si="58"/>
        <v>0</v>
      </c>
      <c r="T227" s="198">
        <f t="shared" si="58"/>
        <v>0</v>
      </c>
      <c r="U227" s="198">
        <f t="shared" si="58"/>
        <v>0</v>
      </c>
      <c r="V227" s="198">
        <f t="shared" si="58"/>
        <v>0</v>
      </c>
      <c r="W227" s="198">
        <f t="shared" si="58"/>
        <v>0</v>
      </c>
      <c r="X227" s="198">
        <f t="shared" si="58"/>
        <v>0</v>
      </c>
      <c r="Y227" s="198">
        <f t="shared" si="58"/>
        <v>0</v>
      </c>
      <c r="Z227" s="198">
        <f t="shared" si="58"/>
        <v>0</v>
      </c>
      <c r="AA227" s="198">
        <f t="shared" si="58"/>
        <v>0</v>
      </c>
      <c r="AB227" s="198">
        <f t="shared" si="58"/>
        <v>0</v>
      </c>
      <c r="AC227" s="198">
        <f t="shared" si="58"/>
        <v>0</v>
      </c>
      <c r="AD227" s="198">
        <f t="shared" si="58"/>
        <v>0</v>
      </c>
      <c r="AE227" s="198">
        <f t="shared" si="58"/>
        <v>0</v>
      </c>
      <c r="AF227" s="198">
        <f t="shared" si="58"/>
        <v>0</v>
      </c>
      <c r="AG227" s="198">
        <f t="shared" si="58"/>
        <v>0</v>
      </c>
      <c r="AH227" s="198">
        <f t="shared" si="58"/>
        <v>0</v>
      </c>
      <c r="AI227" s="198">
        <f t="shared" si="58"/>
        <v>0</v>
      </c>
      <c r="AJ227" s="198">
        <f t="shared" si="58"/>
        <v>0</v>
      </c>
      <c r="AK227" s="198">
        <f t="shared" si="58"/>
        <v>0</v>
      </c>
      <c r="AL227" s="198">
        <f t="shared" si="58"/>
        <v>0</v>
      </c>
      <c r="AM227" s="198">
        <f t="shared" si="58"/>
        <v>0</v>
      </c>
      <c r="AN227" s="198">
        <f t="shared" si="58"/>
        <v>0</v>
      </c>
      <c r="AO227" s="198">
        <f t="shared" si="58"/>
        <v>0</v>
      </c>
    </row>
    <row r="228" spans="3:43" x14ac:dyDescent="0.25">
      <c r="C228" s="73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</row>
    <row r="229" spans="3:43" x14ac:dyDescent="0.25">
      <c r="C229" s="73"/>
      <c r="E229" t="s">
        <v>1152</v>
      </c>
      <c r="G229" t="s">
        <v>1138</v>
      </c>
      <c r="J229" s="198">
        <f t="shared" ref="J229:AO229" si="59">J227 * days_in_year / hundred * J154</f>
        <v>0</v>
      </c>
      <c r="K229" s="198">
        <f t="shared" si="59"/>
        <v>0</v>
      </c>
      <c r="L229" s="198">
        <f t="shared" si="59"/>
        <v>0</v>
      </c>
      <c r="M229" s="198">
        <f t="shared" si="59"/>
        <v>0</v>
      </c>
      <c r="N229" s="198">
        <f t="shared" si="59"/>
        <v>0</v>
      </c>
      <c r="O229" s="198">
        <f t="shared" si="59"/>
        <v>0</v>
      </c>
      <c r="P229" s="198">
        <f t="shared" si="59"/>
        <v>0</v>
      </c>
      <c r="Q229" s="198">
        <f t="shared" si="59"/>
        <v>0</v>
      </c>
      <c r="R229" s="198">
        <f t="shared" si="59"/>
        <v>0</v>
      </c>
      <c r="S229" s="198">
        <f t="shared" si="59"/>
        <v>0</v>
      </c>
      <c r="T229" s="198">
        <f t="shared" si="59"/>
        <v>0</v>
      </c>
      <c r="U229" s="198">
        <f t="shared" si="59"/>
        <v>0</v>
      </c>
      <c r="V229" s="198">
        <f t="shared" si="59"/>
        <v>0</v>
      </c>
      <c r="W229" s="198">
        <f t="shared" si="59"/>
        <v>0</v>
      </c>
      <c r="X229" s="198">
        <f t="shared" si="59"/>
        <v>0</v>
      </c>
      <c r="Y229" s="198">
        <f t="shared" si="59"/>
        <v>0</v>
      </c>
      <c r="Z229" s="198">
        <f t="shared" si="59"/>
        <v>0</v>
      </c>
      <c r="AA229" s="198">
        <f t="shared" si="59"/>
        <v>0</v>
      </c>
      <c r="AB229" s="198">
        <f t="shared" si="59"/>
        <v>0</v>
      </c>
      <c r="AC229" s="198">
        <f t="shared" si="59"/>
        <v>0</v>
      </c>
      <c r="AD229" s="198">
        <f t="shared" si="59"/>
        <v>0</v>
      </c>
      <c r="AE229" s="198">
        <f t="shared" si="59"/>
        <v>0</v>
      </c>
      <c r="AF229" s="198">
        <f t="shared" si="59"/>
        <v>0</v>
      </c>
      <c r="AG229" s="198">
        <f t="shared" si="59"/>
        <v>0</v>
      </c>
      <c r="AH229" s="198">
        <f t="shared" si="59"/>
        <v>0</v>
      </c>
      <c r="AI229" s="198">
        <f t="shared" si="59"/>
        <v>0</v>
      </c>
      <c r="AJ229" s="198">
        <f t="shared" si="59"/>
        <v>0</v>
      </c>
      <c r="AK229" s="198">
        <f t="shared" si="59"/>
        <v>0</v>
      </c>
      <c r="AL229" s="198">
        <f t="shared" si="59"/>
        <v>0</v>
      </c>
      <c r="AM229" s="198">
        <f t="shared" si="59"/>
        <v>0</v>
      </c>
      <c r="AN229" s="198">
        <f t="shared" si="59"/>
        <v>0</v>
      </c>
      <c r="AO229" s="198">
        <f t="shared" si="59"/>
        <v>0</v>
      </c>
    </row>
    <row r="230" spans="3:43" x14ac:dyDescent="0.25">
      <c r="C230" s="73"/>
      <c r="D230"/>
      <c r="E230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</row>
    <row r="231" spans="3:43" x14ac:dyDescent="0.25">
      <c r="C231" s="73"/>
      <c r="D231"/>
      <c r="E231" t="s">
        <v>1153</v>
      </c>
      <c r="G231" t="s">
        <v>1138</v>
      </c>
      <c r="H231" s="211">
        <f>SUM(J229:AO229)</f>
        <v>0</v>
      </c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</row>
    <row r="232" spans="3:43" x14ac:dyDescent="0.25">
      <c r="C232" s="73"/>
      <c r="D232"/>
      <c r="E232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</row>
    <row r="233" spans="3:43" x14ac:dyDescent="0.25">
      <c r="C233" s="5" t="str">
        <f ca="1">INDEX('Version control'!$H$36:$H$62,MATCH($A$1,'Version control'!$F$36:$F$62,0),1)&amp;"-J: Ranking unit rate volumes and tariffs"</f>
        <v>Section 519-J: Ranking unit rate volumes and tariffs</v>
      </c>
      <c r="D233" s="5"/>
      <c r="E233" s="5"/>
      <c r="F233" s="5"/>
      <c r="G233" s="5"/>
      <c r="H233" s="5"/>
      <c r="I233" s="5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  <c r="AA233" s="143"/>
      <c r="AB233" s="143"/>
      <c r="AC233" s="143"/>
      <c r="AD233" s="143"/>
      <c r="AE233" s="143"/>
      <c r="AF233" s="143"/>
      <c r="AG233" s="143"/>
      <c r="AH233" s="143"/>
      <c r="AI233" s="143"/>
      <c r="AJ233" s="143"/>
      <c r="AK233" s="143"/>
      <c r="AL233" s="143"/>
      <c r="AM233" s="143"/>
      <c r="AN233" s="143"/>
      <c r="AO233" s="143"/>
    </row>
    <row r="234" spans="3:43" x14ac:dyDescent="0.25">
      <c r="C234" s="73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</row>
    <row r="235" spans="3:43" x14ac:dyDescent="0.25">
      <c r="C235" s="73"/>
      <c r="D235" s="73" t="s">
        <v>1154</v>
      </c>
      <c r="I235" t="s">
        <v>359</v>
      </c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Q235" t="s">
        <v>743</v>
      </c>
    </row>
    <row r="236" spans="3:43" x14ac:dyDescent="0.25">
      <c r="C236" s="73"/>
      <c r="D236" s="73" t="s">
        <v>1155</v>
      </c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</row>
    <row r="237" spans="3:43" x14ac:dyDescent="0.25">
      <c r="C237" s="73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</row>
    <row r="238" spans="3:43" x14ac:dyDescent="0.25">
      <c r="C238" s="73"/>
      <c r="E238" s="450" t="s">
        <v>1156</v>
      </c>
      <c r="G238" t="s">
        <v>1023</v>
      </c>
      <c r="J238" s="59" t="b">
        <f>J229&lt;0</f>
        <v>0</v>
      </c>
      <c r="K238" s="59" t="b">
        <f t="shared" ref="K238:AO238" si="60">K229&lt;0</f>
        <v>0</v>
      </c>
      <c r="L238" s="59" t="b">
        <f t="shared" si="60"/>
        <v>0</v>
      </c>
      <c r="M238" s="59" t="b">
        <f t="shared" si="60"/>
        <v>0</v>
      </c>
      <c r="N238" s="59" t="b">
        <f t="shared" si="60"/>
        <v>0</v>
      </c>
      <c r="O238" s="59" t="b">
        <f t="shared" si="60"/>
        <v>0</v>
      </c>
      <c r="P238" s="59" t="b">
        <f t="shared" si="60"/>
        <v>0</v>
      </c>
      <c r="Q238" s="59" t="b">
        <f t="shared" si="60"/>
        <v>0</v>
      </c>
      <c r="R238" s="59" t="b">
        <f t="shared" si="60"/>
        <v>0</v>
      </c>
      <c r="S238" s="59" t="b">
        <f t="shared" si="60"/>
        <v>0</v>
      </c>
      <c r="T238" s="59" t="b">
        <f t="shared" si="60"/>
        <v>0</v>
      </c>
      <c r="U238" s="59" t="b">
        <f t="shared" si="60"/>
        <v>0</v>
      </c>
      <c r="V238" s="59" t="b">
        <f t="shared" si="60"/>
        <v>0</v>
      </c>
      <c r="W238" s="59" t="b">
        <f t="shared" si="60"/>
        <v>0</v>
      </c>
      <c r="X238" s="59" t="b">
        <f t="shared" si="60"/>
        <v>0</v>
      </c>
      <c r="Y238" s="59" t="b">
        <f t="shared" si="60"/>
        <v>0</v>
      </c>
      <c r="Z238" s="59" t="b">
        <f t="shared" si="60"/>
        <v>0</v>
      </c>
      <c r="AA238" s="59" t="b">
        <f t="shared" si="60"/>
        <v>0</v>
      </c>
      <c r="AB238" s="59" t="b">
        <f t="shared" si="60"/>
        <v>0</v>
      </c>
      <c r="AC238" s="59" t="b">
        <f t="shared" si="60"/>
        <v>0</v>
      </c>
      <c r="AD238" s="59" t="b">
        <f t="shared" si="60"/>
        <v>0</v>
      </c>
      <c r="AE238" s="59" t="b">
        <f t="shared" si="60"/>
        <v>0</v>
      </c>
      <c r="AF238" s="59" t="b">
        <f t="shared" si="60"/>
        <v>0</v>
      </c>
      <c r="AG238" s="59" t="b">
        <f t="shared" si="60"/>
        <v>0</v>
      </c>
      <c r="AH238" s="59" t="b">
        <f t="shared" si="60"/>
        <v>0</v>
      </c>
      <c r="AI238" s="59" t="b">
        <f t="shared" si="60"/>
        <v>0</v>
      </c>
      <c r="AJ238" s="59" t="b">
        <f t="shared" si="60"/>
        <v>0</v>
      </c>
      <c r="AK238" s="59" t="b">
        <f t="shared" si="60"/>
        <v>0</v>
      </c>
      <c r="AL238" s="59" t="b">
        <f t="shared" si="60"/>
        <v>0</v>
      </c>
      <c r="AM238" s="59" t="b">
        <f t="shared" si="60"/>
        <v>0</v>
      </c>
      <c r="AN238" s="59" t="b">
        <f t="shared" si="60"/>
        <v>0</v>
      </c>
      <c r="AO238" s="59" t="b">
        <f t="shared" si="60"/>
        <v>0</v>
      </c>
    </row>
    <row r="239" spans="3:43" x14ac:dyDescent="0.25">
      <c r="C239" s="73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</row>
    <row r="240" spans="3:43" x14ac:dyDescent="0.25">
      <c r="C240" s="73"/>
      <c r="E240" s="73" t="s">
        <v>1157</v>
      </c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</row>
    <row r="241" spans="3:43" x14ac:dyDescent="0.25">
      <c r="C241" s="73"/>
      <c r="E241" s="73" t="s">
        <v>1158</v>
      </c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</row>
    <row r="242" spans="3:43" x14ac:dyDescent="0.25">
      <c r="C242" s="73"/>
      <c r="E242" s="73" t="s">
        <v>1159</v>
      </c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</row>
    <row r="243" spans="3:43" x14ac:dyDescent="0.25">
      <c r="C243" s="73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</row>
    <row r="244" spans="3:43" x14ac:dyDescent="0.25">
      <c r="C244" s="73"/>
      <c r="E244" s="52" t="s">
        <v>1160</v>
      </c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</row>
    <row r="245" spans="3:43" x14ac:dyDescent="0.25">
      <c r="C245" s="73"/>
      <c r="F245" s="80" t="s">
        <v>1161</v>
      </c>
      <c r="G245" s="80" t="s">
        <v>426</v>
      </c>
      <c r="H245" s="402">
        <v>1</v>
      </c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</row>
    <row r="246" spans="3:43" x14ac:dyDescent="0.25">
      <c r="C246" s="73"/>
      <c r="F246" t="s">
        <v>1162</v>
      </c>
      <c r="G246" t="s">
        <v>426</v>
      </c>
      <c r="H246" s="414">
        <v>2</v>
      </c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</row>
    <row r="247" spans="3:43" x14ac:dyDescent="0.25">
      <c r="C247" s="73"/>
      <c r="F247" s="17" t="s">
        <v>1163</v>
      </c>
      <c r="G247" s="17" t="s">
        <v>426</v>
      </c>
      <c r="H247" s="403">
        <v>3</v>
      </c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</row>
    <row r="248" spans="3:43" x14ac:dyDescent="0.25">
      <c r="C248" s="73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</row>
    <row r="249" spans="3:43" x14ac:dyDescent="0.25">
      <c r="C249" s="73"/>
      <c r="E249" s="52" t="s">
        <v>1164</v>
      </c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</row>
    <row r="250" spans="3:43" x14ac:dyDescent="0.25">
      <c r="C250" s="73"/>
      <c r="F250" s="80" t="s">
        <v>1161</v>
      </c>
      <c r="G250" s="80" t="s">
        <v>183</v>
      </c>
      <c r="H250" s="80"/>
      <c r="I250" s="80"/>
      <c r="J250" s="451">
        <f t="shared" ref="J250:AO250" si="61">IF(J$238, SMALL(J$40:J$42,$H245), 0)</f>
        <v>0</v>
      </c>
      <c r="K250" s="451">
        <f t="shared" si="61"/>
        <v>0</v>
      </c>
      <c r="L250" s="451">
        <f t="shared" si="61"/>
        <v>0</v>
      </c>
      <c r="M250" s="451">
        <f t="shared" si="61"/>
        <v>0</v>
      </c>
      <c r="N250" s="451">
        <f t="shared" si="61"/>
        <v>0</v>
      </c>
      <c r="O250" s="451">
        <f t="shared" si="61"/>
        <v>0</v>
      </c>
      <c r="P250" s="451">
        <f t="shared" si="61"/>
        <v>0</v>
      </c>
      <c r="Q250" s="451">
        <f t="shared" si="61"/>
        <v>0</v>
      </c>
      <c r="R250" s="451">
        <f t="shared" si="61"/>
        <v>0</v>
      </c>
      <c r="S250" s="451">
        <f t="shared" si="61"/>
        <v>0</v>
      </c>
      <c r="T250" s="451">
        <f t="shared" si="61"/>
        <v>0</v>
      </c>
      <c r="U250" s="451">
        <f t="shared" si="61"/>
        <v>0</v>
      </c>
      <c r="V250" s="451">
        <f t="shared" si="61"/>
        <v>0</v>
      </c>
      <c r="W250" s="451">
        <f t="shared" si="61"/>
        <v>0</v>
      </c>
      <c r="X250" s="451">
        <f t="shared" si="61"/>
        <v>0</v>
      </c>
      <c r="Y250" s="451">
        <f t="shared" si="61"/>
        <v>0</v>
      </c>
      <c r="Z250" s="451">
        <f t="shared" si="61"/>
        <v>0</v>
      </c>
      <c r="AA250" s="451">
        <f t="shared" si="61"/>
        <v>0</v>
      </c>
      <c r="AB250" s="451">
        <f t="shared" si="61"/>
        <v>0</v>
      </c>
      <c r="AC250" s="451">
        <f t="shared" si="61"/>
        <v>0</v>
      </c>
      <c r="AD250" s="451">
        <f t="shared" si="61"/>
        <v>0</v>
      </c>
      <c r="AE250" s="451">
        <f t="shared" si="61"/>
        <v>0</v>
      </c>
      <c r="AF250" s="451">
        <f t="shared" si="61"/>
        <v>0</v>
      </c>
      <c r="AG250" s="451">
        <f t="shared" si="61"/>
        <v>0</v>
      </c>
      <c r="AH250" s="451">
        <f t="shared" si="61"/>
        <v>0</v>
      </c>
      <c r="AI250" s="451">
        <f t="shared" si="61"/>
        <v>0</v>
      </c>
      <c r="AJ250" s="451">
        <f t="shared" si="61"/>
        <v>0</v>
      </c>
      <c r="AK250" s="451">
        <f t="shared" si="61"/>
        <v>0</v>
      </c>
      <c r="AL250" s="451">
        <f t="shared" si="61"/>
        <v>0</v>
      </c>
      <c r="AM250" s="451">
        <f t="shared" si="61"/>
        <v>0</v>
      </c>
      <c r="AN250" s="451">
        <f t="shared" si="61"/>
        <v>0</v>
      </c>
      <c r="AO250" s="451">
        <f t="shared" si="61"/>
        <v>0</v>
      </c>
    </row>
    <row r="251" spans="3:43" x14ac:dyDescent="0.25">
      <c r="C251" s="73"/>
      <c r="F251" t="s">
        <v>1162</v>
      </c>
      <c r="G251" t="s">
        <v>183</v>
      </c>
      <c r="J251" s="388">
        <f t="shared" ref="J251:AO251" si="62">IF(J$238, SMALL(J$40:J$42,$H246), 0)</f>
        <v>0</v>
      </c>
      <c r="K251" s="388">
        <f t="shared" si="62"/>
        <v>0</v>
      </c>
      <c r="L251" s="388">
        <f t="shared" si="62"/>
        <v>0</v>
      </c>
      <c r="M251" s="388">
        <f t="shared" si="62"/>
        <v>0</v>
      </c>
      <c r="N251" s="388">
        <f t="shared" si="62"/>
        <v>0</v>
      </c>
      <c r="O251" s="388">
        <f t="shared" si="62"/>
        <v>0</v>
      </c>
      <c r="P251" s="388">
        <f t="shared" si="62"/>
        <v>0</v>
      </c>
      <c r="Q251" s="388">
        <f t="shared" si="62"/>
        <v>0</v>
      </c>
      <c r="R251" s="388">
        <f t="shared" si="62"/>
        <v>0</v>
      </c>
      <c r="S251" s="388">
        <f t="shared" si="62"/>
        <v>0</v>
      </c>
      <c r="T251" s="388">
        <f t="shared" si="62"/>
        <v>0</v>
      </c>
      <c r="U251" s="388">
        <f t="shared" si="62"/>
        <v>0</v>
      </c>
      <c r="V251" s="388">
        <f t="shared" si="62"/>
        <v>0</v>
      </c>
      <c r="W251" s="388">
        <f t="shared" si="62"/>
        <v>0</v>
      </c>
      <c r="X251" s="388">
        <f t="shared" si="62"/>
        <v>0</v>
      </c>
      <c r="Y251" s="388">
        <f t="shared" si="62"/>
        <v>0</v>
      </c>
      <c r="Z251" s="388">
        <f t="shared" si="62"/>
        <v>0</v>
      </c>
      <c r="AA251" s="388">
        <f t="shared" si="62"/>
        <v>0</v>
      </c>
      <c r="AB251" s="388">
        <f t="shared" si="62"/>
        <v>0</v>
      </c>
      <c r="AC251" s="388">
        <f t="shared" si="62"/>
        <v>0</v>
      </c>
      <c r="AD251" s="388">
        <f t="shared" si="62"/>
        <v>0</v>
      </c>
      <c r="AE251" s="388">
        <f t="shared" si="62"/>
        <v>0</v>
      </c>
      <c r="AF251" s="388">
        <f t="shared" si="62"/>
        <v>0</v>
      </c>
      <c r="AG251" s="388">
        <f t="shared" si="62"/>
        <v>0</v>
      </c>
      <c r="AH251" s="388">
        <f t="shared" si="62"/>
        <v>0</v>
      </c>
      <c r="AI251" s="388">
        <f t="shared" si="62"/>
        <v>0</v>
      </c>
      <c r="AJ251" s="388">
        <f t="shared" si="62"/>
        <v>0</v>
      </c>
      <c r="AK251" s="388">
        <f t="shared" si="62"/>
        <v>0</v>
      </c>
      <c r="AL251" s="388">
        <f t="shared" si="62"/>
        <v>0</v>
      </c>
      <c r="AM251" s="388">
        <f t="shared" si="62"/>
        <v>0</v>
      </c>
      <c r="AN251" s="388">
        <f t="shared" si="62"/>
        <v>0</v>
      </c>
      <c r="AO251" s="388">
        <f t="shared" si="62"/>
        <v>0</v>
      </c>
    </row>
    <row r="252" spans="3:43" x14ac:dyDescent="0.25">
      <c r="C252" s="73"/>
      <c r="F252" s="17" t="s">
        <v>1163</v>
      </c>
      <c r="G252" s="17" t="s">
        <v>183</v>
      </c>
      <c r="H252" s="17"/>
      <c r="I252" s="17"/>
      <c r="J252" s="452">
        <f t="shared" ref="J252:AO252" si="63">IF(J$238, SMALL(J$40:J$42,$H247), 0)</f>
        <v>0</v>
      </c>
      <c r="K252" s="452">
        <f t="shared" si="63"/>
        <v>0</v>
      </c>
      <c r="L252" s="452">
        <f t="shared" si="63"/>
        <v>0</v>
      </c>
      <c r="M252" s="452">
        <f t="shared" si="63"/>
        <v>0</v>
      </c>
      <c r="N252" s="452">
        <f t="shared" si="63"/>
        <v>0</v>
      </c>
      <c r="O252" s="452">
        <f t="shared" si="63"/>
        <v>0</v>
      </c>
      <c r="P252" s="452">
        <f t="shared" si="63"/>
        <v>0</v>
      </c>
      <c r="Q252" s="452">
        <f t="shared" si="63"/>
        <v>0</v>
      </c>
      <c r="R252" s="452">
        <f t="shared" si="63"/>
        <v>0</v>
      </c>
      <c r="S252" s="452">
        <f t="shared" si="63"/>
        <v>0</v>
      </c>
      <c r="T252" s="452">
        <f t="shared" si="63"/>
        <v>0</v>
      </c>
      <c r="U252" s="452">
        <f t="shared" si="63"/>
        <v>0</v>
      </c>
      <c r="V252" s="452">
        <f t="shared" si="63"/>
        <v>0</v>
      </c>
      <c r="W252" s="452">
        <f t="shared" si="63"/>
        <v>0</v>
      </c>
      <c r="X252" s="452">
        <f t="shared" si="63"/>
        <v>0</v>
      </c>
      <c r="Y252" s="452">
        <f t="shared" si="63"/>
        <v>0</v>
      </c>
      <c r="Z252" s="452">
        <f t="shared" si="63"/>
        <v>0</v>
      </c>
      <c r="AA252" s="452">
        <f t="shared" si="63"/>
        <v>0</v>
      </c>
      <c r="AB252" s="452">
        <f t="shared" si="63"/>
        <v>0</v>
      </c>
      <c r="AC252" s="452">
        <f t="shared" si="63"/>
        <v>0</v>
      </c>
      <c r="AD252" s="452">
        <f t="shared" si="63"/>
        <v>0</v>
      </c>
      <c r="AE252" s="452">
        <f t="shared" si="63"/>
        <v>0</v>
      </c>
      <c r="AF252" s="452">
        <f t="shared" si="63"/>
        <v>0</v>
      </c>
      <c r="AG252" s="452">
        <f t="shared" si="63"/>
        <v>0</v>
      </c>
      <c r="AH252" s="452">
        <f t="shared" si="63"/>
        <v>0</v>
      </c>
      <c r="AI252" s="452">
        <f t="shared" si="63"/>
        <v>0</v>
      </c>
      <c r="AJ252" s="452">
        <f t="shared" si="63"/>
        <v>0</v>
      </c>
      <c r="AK252" s="452">
        <f t="shared" si="63"/>
        <v>0</v>
      </c>
      <c r="AL252" s="452">
        <f t="shared" si="63"/>
        <v>0</v>
      </c>
      <c r="AM252" s="452">
        <f t="shared" si="63"/>
        <v>0</v>
      </c>
      <c r="AN252" s="452">
        <f t="shared" si="63"/>
        <v>0</v>
      </c>
      <c r="AO252" s="452">
        <f t="shared" si="63"/>
        <v>0</v>
      </c>
    </row>
    <row r="253" spans="3:43" x14ac:dyDescent="0.25">
      <c r="C253" s="73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</row>
    <row r="254" spans="3:43" x14ac:dyDescent="0.25">
      <c r="C254" s="73"/>
      <c r="E254" s="84" t="s">
        <v>1165</v>
      </c>
      <c r="I254" t="s">
        <v>359</v>
      </c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Q254" t="s">
        <v>1244</v>
      </c>
    </row>
    <row r="255" spans="3:43" x14ac:dyDescent="0.25">
      <c r="C255" s="73"/>
      <c r="E255" s="84" t="s">
        <v>1166</v>
      </c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</row>
    <row r="256" spans="3:43" x14ac:dyDescent="0.25">
      <c r="C256" s="73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</row>
    <row r="257" spans="3:41" x14ac:dyDescent="0.25">
      <c r="C257" s="73"/>
      <c r="E257" s="52" t="s">
        <v>1167</v>
      </c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</row>
    <row r="258" spans="3:41" x14ac:dyDescent="0.25">
      <c r="C258" s="73"/>
      <c r="F258" s="80" t="s">
        <v>1161</v>
      </c>
      <c r="G258" s="80" t="s">
        <v>183</v>
      </c>
      <c r="H258" s="80"/>
      <c r="I258" s="80"/>
      <c r="J258" s="451">
        <f t="array" ref="J258">MIN(IF($J$150:$AO$150=J$150,$J250:$AO250))</f>
        <v>0</v>
      </c>
      <c r="K258" s="451">
        <f t="array" ref="K258">MIN(IF($J$150:$AO$150=K$150,$J250:$AO250))</f>
        <v>0</v>
      </c>
      <c r="L258" s="451">
        <f t="array" ref="L258">MIN(IF($J$150:$AO$150=L$150,$J250:$AO250))</f>
        <v>0</v>
      </c>
      <c r="M258" s="451">
        <f t="array" ref="M258">MIN(IF($J$150:$AO$150=M$150,$J250:$AO250))</f>
        <v>0</v>
      </c>
      <c r="N258" s="451">
        <f t="array" ref="N258">MIN(IF($J$150:$AO$150=N$150,$J250:$AO250))</f>
        <v>0</v>
      </c>
      <c r="O258" s="451">
        <f t="array" ref="O258">MIN(IF($J$150:$AO$150=O$150,$J250:$AO250))</f>
        <v>0</v>
      </c>
      <c r="P258" s="451">
        <f t="array" ref="P258">MIN(IF($J$150:$AO$150=P$150,$J250:$AO250))</f>
        <v>0</v>
      </c>
      <c r="Q258" s="451">
        <f t="array" ref="Q258">MIN(IF($J$150:$AO$150=Q$150,$J250:$AO250))</f>
        <v>0</v>
      </c>
      <c r="R258" s="451">
        <f t="array" ref="R258">MIN(IF($J$150:$AO$150=R$150,$J250:$AO250))</f>
        <v>0</v>
      </c>
      <c r="S258" s="451">
        <f t="array" ref="S258">MIN(IF($J$150:$AO$150=S$150,$J250:$AO250))</f>
        <v>0</v>
      </c>
      <c r="T258" s="451">
        <f t="array" ref="T258">MIN(IF($J$150:$AO$150=T$150,$J250:$AO250))</f>
        <v>0</v>
      </c>
      <c r="U258" s="451">
        <f t="array" ref="U258">MIN(IF($J$150:$AO$150=U$150,$J250:$AO250))</f>
        <v>0</v>
      </c>
      <c r="V258" s="451">
        <f t="array" ref="V258">MIN(IF($J$150:$AO$150=V$150,$J250:$AO250))</f>
        <v>0</v>
      </c>
      <c r="W258" s="451">
        <f t="array" ref="W258">MIN(IF($J$150:$AO$150=W$150,$J250:$AO250))</f>
        <v>0</v>
      </c>
      <c r="X258" s="451">
        <f t="array" ref="X258">MIN(IF($J$150:$AO$150=X$150,$J250:$AO250))</f>
        <v>0</v>
      </c>
      <c r="Y258" s="451">
        <f t="array" ref="Y258">MIN(IF($J$150:$AO$150=Y$150,$J250:$AO250))</f>
        <v>0</v>
      </c>
      <c r="Z258" s="451">
        <f t="array" ref="Z258">MIN(IF($J$150:$AO$150=Z$150,$J250:$AO250))</f>
        <v>0</v>
      </c>
      <c r="AA258" s="451">
        <f t="array" ref="AA258">MIN(IF($J$150:$AO$150=AA$150,$J250:$AO250))</f>
        <v>0</v>
      </c>
      <c r="AB258" s="451">
        <f t="array" ref="AB258">MIN(IF($J$150:$AO$150=AB$150,$J250:$AO250))</f>
        <v>0</v>
      </c>
      <c r="AC258" s="451">
        <f t="array" ref="AC258">MIN(IF($J$150:$AO$150=AC$150,$J250:$AO250))</f>
        <v>0</v>
      </c>
      <c r="AD258" s="451">
        <f t="array" ref="AD258">MIN(IF($J$150:$AO$150=AD$150,$J250:$AO250))</f>
        <v>0</v>
      </c>
      <c r="AE258" s="451">
        <f t="array" ref="AE258">MIN(IF($J$150:$AO$150=AE$150,$J250:$AO250))</f>
        <v>0</v>
      </c>
      <c r="AF258" s="451">
        <f t="array" ref="AF258">MIN(IF($J$150:$AO$150=AF$150,$J250:$AO250))</f>
        <v>0</v>
      </c>
      <c r="AG258" s="451">
        <f t="array" ref="AG258">MIN(IF($J$150:$AO$150=AG$150,$J250:$AO250))</f>
        <v>0</v>
      </c>
      <c r="AH258" s="451">
        <f t="array" ref="AH258">MIN(IF($J$150:$AO$150=AH$150,$J250:$AO250))</f>
        <v>0</v>
      </c>
      <c r="AI258" s="451">
        <f t="array" ref="AI258">MIN(IF($J$150:$AO$150=AI$150,$J250:$AO250))</f>
        <v>0</v>
      </c>
      <c r="AJ258" s="451">
        <f t="array" ref="AJ258">MIN(IF($J$150:$AO$150=AJ$150,$J250:$AO250))</f>
        <v>0</v>
      </c>
      <c r="AK258" s="451">
        <f t="array" ref="AK258">MIN(IF($J$150:$AO$150=AK$150,$J250:$AO250))</f>
        <v>0</v>
      </c>
      <c r="AL258" s="451">
        <f t="array" ref="AL258">MIN(IF($J$150:$AO$150=AL$150,$J250:$AO250))</f>
        <v>0</v>
      </c>
      <c r="AM258" s="451">
        <f t="array" ref="AM258">MIN(IF($J$150:$AO$150=AM$150,$J250:$AO250))</f>
        <v>0</v>
      </c>
      <c r="AN258" s="451">
        <f t="array" ref="AN258">MIN(IF($J$150:$AO$150=AN$150,$J250:$AO250))</f>
        <v>0</v>
      </c>
      <c r="AO258" s="451">
        <f t="array" ref="AO258">MIN(IF($J$150:$AO$150=AO$150,$J250:$AO250))</f>
        <v>0</v>
      </c>
    </row>
    <row r="259" spans="3:41" x14ac:dyDescent="0.25">
      <c r="C259" s="73"/>
      <c r="F259" t="s">
        <v>1162</v>
      </c>
      <c r="G259" t="s">
        <v>183</v>
      </c>
      <c r="J259" s="388">
        <f t="array" ref="J259">MIN(IF($J$150:$AO$150=J$150,$J251:$AO251))</f>
        <v>0</v>
      </c>
      <c r="K259" s="388">
        <f t="array" ref="K259">MIN(IF($J$150:$AO$150=K$150,$J251:$AO251))</f>
        <v>0</v>
      </c>
      <c r="L259" s="388">
        <f t="array" ref="L259">MIN(IF($J$150:$AO$150=L$150,$J251:$AO251))</f>
        <v>0</v>
      </c>
      <c r="M259" s="388">
        <f t="array" ref="M259">MIN(IF($J$150:$AO$150=M$150,$J251:$AO251))</f>
        <v>0</v>
      </c>
      <c r="N259" s="388">
        <f t="array" ref="N259">MIN(IF($J$150:$AO$150=N$150,$J251:$AO251))</f>
        <v>0</v>
      </c>
      <c r="O259" s="388">
        <f t="array" ref="O259">MIN(IF($J$150:$AO$150=O$150,$J251:$AO251))</f>
        <v>0</v>
      </c>
      <c r="P259" s="388">
        <f t="array" ref="P259">MIN(IF($J$150:$AO$150=P$150,$J251:$AO251))</f>
        <v>0</v>
      </c>
      <c r="Q259" s="388">
        <f t="array" ref="Q259">MIN(IF($J$150:$AO$150=Q$150,$J251:$AO251))</f>
        <v>0</v>
      </c>
      <c r="R259" s="388">
        <f t="array" ref="R259">MIN(IF($J$150:$AO$150=R$150,$J251:$AO251))</f>
        <v>0</v>
      </c>
      <c r="S259" s="388">
        <f t="array" ref="S259">MIN(IF($J$150:$AO$150=S$150,$J251:$AO251))</f>
        <v>0</v>
      </c>
      <c r="T259" s="388">
        <f t="array" ref="T259">MIN(IF($J$150:$AO$150=T$150,$J251:$AO251))</f>
        <v>0</v>
      </c>
      <c r="U259" s="388">
        <f t="array" ref="U259">MIN(IF($J$150:$AO$150=U$150,$J251:$AO251))</f>
        <v>0</v>
      </c>
      <c r="V259" s="388">
        <f t="array" ref="V259">MIN(IF($J$150:$AO$150=V$150,$J251:$AO251))</f>
        <v>0</v>
      </c>
      <c r="W259" s="388">
        <f t="array" ref="W259">MIN(IF($J$150:$AO$150=W$150,$J251:$AO251))</f>
        <v>0</v>
      </c>
      <c r="X259" s="388">
        <f t="array" ref="X259">MIN(IF($J$150:$AO$150=X$150,$J251:$AO251))</f>
        <v>0</v>
      </c>
      <c r="Y259" s="388">
        <f t="array" ref="Y259">MIN(IF($J$150:$AO$150=Y$150,$J251:$AO251))</f>
        <v>0</v>
      </c>
      <c r="Z259" s="388">
        <f t="array" ref="Z259">MIN(IF($J$150:$AO$150=Z$150,$J251:$AO251))</f>
        <v>0</v>
      </c>
      <c r="AA259" s="388">
        <f t="array" ref="AA259">MIN(IF($J$150:$AO$150=AA$150,$J251:$AO251))</f>
        <v>0</v>
      </c>
      <c r="AB259" s="388">
        <f t="array" ref="AB259">MIN(IF($J$150:$AO$150=AB$150,$J251:$AO251))</f>
        <v>0</v>
      </c>
      <c r="AC259" s="388">
        <f t="array" ref="AC259">MIN(IF($J$150:$AO$150=AC$150,$J251:$AO251))</f>
        <v>0</v>
      </c>
      <c r="AD259" s="388">
        <f t="array" ref="AD259">MIN(IF($J$150:$AO$150=AD$150,$J251:$AO251))</f>
        <v>0</v>
      </c>
      <c r="AE259" s="388">
        <f t="array" ref="AE259">MIN(IF($J$150:$AO$150=AE$150,$J251:$AO251))</f>
        <v>0</v>
      </c>
      <c r="AF259" s="388">
        <f t="array" ref="AF259">MIN(IF($J$150:$AO$150=AF$150,$J251:$AO251))</f>
        <v>0</v>
      </c>
      <c r="AG259" s="388">
        <f t="array" ref="AG259">MIN(IF($J$150:$AO$150=AG$150,$J251:$AO251))</f>
        <v>0</v>
      </c>
      <c r="AH259" s="388">
        <f t="array" ref="AH259">MIN(IF($J$150:$AO$150=AH$150,$J251:$AO251))</f>
        <v>0</v>
      </c>
      <c r="AI259" s="388">
        <f t="array" ref="AI259">MIN(IF($J$150:$AO$150=AI$150,$J251:$AO251))</f>
        <v>0</v>
      </c>
      <c r="AJ259" s="388">
        <f t="array" ref="AJ259">MIN(IF($J$150:$AO$150=AJ$150,$J251:$AO251))</f>
        <v>0</v>
      </c>
      <c r="AK259" s="388">
        <f t="array" ref="AK259">MIN(IF($J$150:$AO$150=AK$150,$J251:$AO251))</f>
        <v>0</v>
      </c>
      <c r="AL259" s="388">
        <f t="array" ref="AL259">MIN(IF($J$150:$AO$150=AL$150,$J251:$AO251))</f>
        <v>0</v>
      </c>
      <c r="AM259" s="388">
        <f t="array" ref="AM259">MIN(IF($J$150:$AO$150=AM$150,$J251:$AO251))</f>
        <v>0</v>
      </c>
      <c r="AN259" s="388">
        <f t="array" ref="AN259">MIN(IF($J$150:$AO$150=AN$150,$J251:$AO251))</f>
        <v>0</v>
      </c>
      <c r="AO259" s="388">
        <f t="array" ref="AO259">MIN(IF($J$150:$AO$150=AO$150,$J251:$AO251))</f>
        <v>0</v>
      </c>
    </row>
    <row r="260" spans="3:41" x14ac:dyDescent="0.25">
      <c r="C260" s="73"/>
      <c r="F260" s="17" t="s">
        <v>1163</v>
      </c>
      <c r="G260" s="17" t="s">
        <v>183</v>
      </c>
      <c r="H260" s="17"/>
      <c r="I260" s="17"/>
      <c r="J260" s="452">
        <f t="array" ref="J260">MIN(IF($J$150:$AO$150=J$150,$J252:$AO252))</f>
        <v>0</v>
      </c>
      <c r="K260" s="452">
        <f t="array" ref="K260">MIN(IF($J$150:$AO$150=K$150,$J252:$AO252))</f>
        <v>0</v>
      </c>
      <c r="L260" s="452">
        <f t="array" ref="L260">MIN(IF($J$150:$AO$150=L$150,$J252:$AO252))</f>
        <v>0</v>
      </c>
      <c r="M260" s="452">
        <f t="array" ref="M260">MIN(IF($J$150:$AO$150=M$150,$J252:$AO252))</f>
        <v>0</v>
      </c>
      <c r="N260" s="452">
        <f t="array" ref="N260">MIN(IF($J$150:$AO$150=N$150,$J252:$AO252))</f>
        <v>0</v>
      </c>
      <c r="O260" s="452">
        <f t="array" ref="O260">MIN(IF($J$150:$AO$150=O$150,$J252:$AO252))</f>
        <v>0</v>
      </c>
      <c r="P260" s="452">
        <f t="array" ref="P260">MIN(IF($J$150:$AO$150=P$150,$J252:$AO252))</f>
        <v>0</v>
      </c>
      <c r="Q260" s="452">
        <f t="array" ref="Q260">MIN(IF($J$150:$AO$150=Q$150,$J252:$AO252))</f>
        <v>0</v>
      </c>
      <c r="R260" s="452">
        <f t="array" ref="R260">MIN(IF($J$150:$AO$150=R$150,$J252:$AO252))</f>
        <v>0</v>
      </c>
      <c r="S260" s="452">
        <f t="array" ref="S260">MIN(IF($J$150:$AO$150=S$150,$J252:$AO252))</f>
        <v>0</v>
      </c>
      <c r="T260" s="452">
        <f t="array" ref="T260">MIN(IF($J$150:$AO$150=T$150,$J252:$AO252))</f>
        <v>0</v>
      </c>
      <c r="U260" s="452">
        <f t="array" ref="U260">MIN(IF($J$150:$AO$150=U$150,$J252:$AO252))</f>
        <v>0</v>
      </c>
      <c r="V260" s="452">
        <f t="array" ref="V260">MIN(IF($J$150:$AO$150=V$150,$J252:$AO252))</f>
        <v>0</v>
      </c>
      <c r="W260" s="452">
        <f t="array" ref="W260">MIN(IF($J$150:$AO$150=W$150,$J252:$AO252))</f>
        <v>0</v>
      </c>
      <c r="X260" s="452">
        <f t="array" ref="X260">MIN(IF($J$150:$AO$150=X$150,$J252:$AO252))</f>
        <v>0</v>
      </c>
      <c r="Y260" s="452">
        <f t="array" ref="Y260">MIN(IF($J$150:$AO$150=Y$150,$J252:$AO252))</f>
        <v>0</v>
      </c>
      <c r="Z260" s="452">
        <f t="array" ref="Z260">MIN(IF($J$150:$AO$150=Z$150,$J252:$AO252))</f>
        <v>0</v>
      </c>
      <c r="AA260" s="452">
        <f t="array" ref="AA260">MIN(IF($J$150:$AO$150=AA$150,$J252:$AO252))</f>
        <v>0</v>
      </c>
      <c r="AB260" s="452">
        <f t="array" ref="AB260">MIN(IF($J$150:$AO$150=AB$150,$J252:$AO252))</f>
        <v>0</v>
      </c>
      <c r="AC260" s="452">
        <f t="array" ref="AC260">MIN(IF($J$150:$AO$150=AC$150,$J252:$AO252))</f>
        <v>0</v>
      </c>
      <c r="AD260" s="452">
        <f t="array" ref="AD260">MIN(IF($J$150:$AO$150=AD$150,$J252:$AO252))</f>
        <v>0</v>
      </c>
      <c r="AE260" s="452">
        <f t="array" ref="AE260">MIN(IF($J$150:$AO$150=AE$150,$J252:$AO252))</f>
        <v>0</v>
      </c>
      <c r="AF260" s="452">
        <f t="array" ref="AF260">MIN(IF($J$150:$AO$150=AF$150,$J252:$AO252))</f>
        <v>0</v>
      </c>
      <c r="AG260" s="452">
        <f t="array" ref="AG260">MIN(IF($J$150:$AO$150=AG$150,$J252:$AO252))</f>
        <v>0</v>
      </c>
      <c r="AH260" s="452">
        <f t="array" ref="AH260">MIN(IF($J$150:$AO$150=AH$150,$J252:$AO252))</f>
        <v>0</v>
      </c>
      <c r="AI260" s="452">
        <f t="array" ref="AI260">MIN(IF($J$150:$AO$150=AI$150,$J252:$AO252))</f>
        <v>0</v>
      </c>
      <c r="AJ260" s="452">
        <f t="array" ref="AJ260">MIN(IF($J$150:$AO$150=AJ$150,$J252:$AO252))</f>
        <v>0</v>
      </c>
      <c r="AK260" s="452">
        <f t="array" ref="AK260">MIN(IF($J$150:$AO$150=AK$150,$J252:$AO252))</f>
        <v>0</v>
      </c>
      <c r="AL260" s="452">
        <f t="array" ref="AL260">MIN(IF($J$150:$AO$150=AL$150,$J252:$AO252))</f>
        <v>0</v>
      </c>
      <c r="AM260" s="452">
        <f t="array" ref="AM260">MIN(IF($J$150:$AO$150=AM$150,$J252:$AO252))</f>
        <v>0</v>
      </c>
      <c r="AN260" s="452">
        <f t="array" ref="AN260">MIN(IF($J$150:$AO$150=AN$150,$J252:$AO252))</f>
        <v>0</v>
      </c>
      <c r="AO260" s="452">
        <f t="array" ref="AO260">MIN(IF($J$150:$AO$150=AO$150,$J252:$AO252))</f>
        <v>0</v>
      </c>
    </row>
    <row r="261" spans="3:41" x14ac:dyDescent="0.25">
      <c r="C261" s="73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</row>
    <row r="262" spans="3:41" x14ac:dyDescent="0.25">
      <c r="C262" s="73"/>
      <c r="E262" s="52" t="s">
        <v>1168</v>
      </c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</row>
    <row r="263" spans="3:41" x14ac:dyDescent="0.25">
      <c r="C263" s="73"/>
      <c r="F263" s="80" t="s">
        <v>1161</v>
      </c>
      <c r="G263" s="80" t="s">
        <v>183</v>
      </c>
      <c r="H263" s="80"/>
      <c r="I263" s="80"/>
      <c r="J263" s="451">
        <f xml:space="preserve"> - J258</f>
        <v>0</v>
      </c>
      <c r="K263" s="451">
        <f t="shared" ref="K263:AO263" si="64" xml:space="preserve"> - K258</f>
        <v>0</v>
      </c>
      <c r="L263" s="451">
        <f t="shared" si="64"/>
        <v>0</v>
      </c>
      <c r="M263" s="451">
        <f t="shared" si="64"/>
        <v>0</v>
      </c>
      <c r="N263" s="451">
        <f t="shared" si="64"/>
        <v>0</v>
      </c>
      <c r="O263" s="451">
        <f t="shared" si="64"/>
        <v>0</v>
      </c>
      <c r="P263" s="451">
        <f t="shared" si="64"/>
        <v>0</v>
      </c>
      <c r="Q263" s="451">
        <f t="shared" si="64"/>
        <v>0</v>
      </c>
      <c r="R263" s="451">
        <f t="shared" si="64"/>
        <v>0</v>
      </c>
      <c r="S263" s="451">
        <f t="shared" si="64"/>
        <v>0</v>
      </c>
      <c r="T263" s="451">
        <f t="shared" si="64"/>
        <v>0</v>
      </c>
      <c r="U263" s="451">
        <f t="shared" si="64"/>
        <v>0</v>
      </c>
      <c r="V263" s="451">
        <f t="shared" si="64"/>
        <v>0</v>
      </c>
      <c r="W263" s="451">
        <f t="shared" si="64"/>
        <v>0</v>
      </c>
      <c r="X263" s="451">
        <f t="shared" si="64"/>
        <v>0</v>
      </c>
      <c r="Y263" s="451">
        <f t="shared" si="64"/>
        <v>0</v>
      </c>
      <c r="Z263" s="451">
        <f t="shared" si="64"/>
        <v>0</v>
      </c>
      <c r="AA263" s="451">
        <f t="shared" si="64"/>
        <v>0</v>
      </c>
      <c r="AB263" s="451">
        <f t="shared" si="64"/>
        <v>0</v>
      </c>
      <c r="AC263" s="451">
        <f t="shared" si="64"/>
        <v>0</v>
      </c>
      <c r="AD263" s="451">
        <f t="shared" si="64"/>
        <v>0</v>
      </c>
      <c r="AE263" s="451">
        <f t="shared" si="64"/>
        <v>0</v>
      </c>
      <c r="AF263" s="451">
        <f t="shared" si="64"/>
        <v>0</v>
      </c>
      <c r="AG263" s="451">
        <f t="shared" si="64"/>
        <v>0</v>
      </c>
      <c r="AH263" s="451">
        <f t="shared" si="64"/>
        <v>0</v>
      </c>
      <c r="AI263" s="451">
        <f t="shared" si="64"/>
        <v>0</v>
      </c>
      <c r="AJ263" s="451">
        <f t="shared" si="64"/>
        <v>0</v>
      </c>
      <c r="AK263" s="451">
        <f t="shared" si="64"/>
        <v>0</v>
      </c>
      <c r="AL263" s="451">
        <f t="shared" si="64"/>
        <v>0</v>
      </c>
      <c r="AM263" s="451">
        <f t="shared" si="64"/>
        <v>0</v>
      </c>
      <c r="AN263" s="451">
        <f t="shared" si="64"/>
        <v>0</v>
      </c>
      <c r="AO263" s="451">
        <f t="shared" si="64"/>
        <v>0</v>
      </c>
    </row>
    <row r="264" spans="3:41" x14ac:dyDescent="0.25">
      <c r="C264" s="73"/>
      <c r="F264" t="s">
        <v>1162</v>
      </c>
      <c r="G264" t="s">
        <v>183</v>
      </c>
      <c r="J264" s="388">
        <f t="shared" ref="J264:AO265" si="65" xml:space="preserve"> - J259</f>
        <v>0</v>
      </c>
      <c r="K264" s="388">
        <f t="shared" si="65"/>
        <v>0</v>
      </c>
      <c r="L264" s="388">
        <f t="shared" si="65"/>
        <v>0</v>
      </c>
      <c r="M264" s="388">
        <f t="shared" si="65"/>
        <v>0</v>
      </c>
      <c r="N264" s="388">
        <f t="shared" si="65"/>
        <v>0</v>
      </c>
      <c r="O264" s="388">
        <f t="shared" si="65"/>
        <v>0</v>
      </c>
      <c r="P264" s="388">
        <f t="shared" si="65"/>
        <v>0</v>
      </c>
      <c r="Q264" s="388">
        <f t="shared" si="65"/>
        <v>0</v>
      </c>
      <c r="R264" s="388">
        <f t="shared" si="65"/>
        <v>0</v>
      </c>
      <c r="S264" s="388">
        <f t="shared" si="65"/>
        <v>0</v>
      </c>
      <c r="T264" s="388">
        <f t="shared" si="65"/>
        <v>0</v>
      </c>
      <c r="U264" s="388">
        <f t="shared" si="65"/>
        <v>0</v>
      </c>
      <c r="V264" s="388">
        <f t="shared" si="65"/>
        <v>0</v>
      </c>
      <c r="W264" s="388">
        <f t="shared" si="65"/>
        <v>0</v>
      </c>
      <c r="X264" s="388">
        <f t="shared" si="65"/>
        <v>0</v>
      </c>
      <c r="Y264" s="388">
        <f t="shared" si="65"/>
        <v>0</v>
      </c>
      <c r="Z264" s="388">
        <f t="shared" si="65"/>
        <v>0</v>
      </c>
      <c r="AA264" s="388">
        <f t="shared" si="65"/>
        <v>0</v>
      </c>
      <c r="AB264" s="388">
        <f t="shared" si="65"/>
        <v>0</v>
      </c>
      <c r="AC264" s="388">
        <f t="shared" si="65"/>
        <v>0</v>
      </c>
      <c r="AD264" s="388">
        <f t="shared" si="65"/>
        <v>0</v>
      </c>
      <c r="AE264" s="388">
        <f t="shared" si="65"/>
        <v>0</v>
      </c>
      <c r="AF264" s="388">
        <f t="shared" si="65"/>
        <v>0</v>
      </c>
      <c r="AG264" s="388">
        <f t="shared" si="65"/>
        <v>0</v>
      </c>
      <c r="AH264" s="388">
        <f t="shared" si="65"/>
        <v>0</v>
      </c>
      <c r="AI264" s="388">
        <f t="shared" si="65"/>
        <v>0</v>
      </c>
      <c r="AJ264" s="388">
        <f t="shared" si="65"/>
        <v>0</v>
      </c>
      <c r="AK264" s="388">
        <f t="shared" si="65"/>
        <v>0</v>
      </c>
      <c r="AL264" s="388">
        <f t="shared" si="65"/>
        <v>0</v>
      </c>
      <c r="AM264" s="388">
        <f t="shared" si="65"/>
        <v>0</v>
      </c>
      <c r="AN264" s="388">
        <f t="shared" si="65"/>
        <v>0</v>
      </c>
      <c r="AO264" s="388">
        <f t="shared" si="65"/>
        <v>0</v>
      </c>
    </row>
    <row r="265" spans="3:41" x14ac:dyDescent="0.25">
      <c r="C265" s="73"/>
      <c r="F265" s="17" t="s">
        <v>1163</v>
      </c>
      <c r="G265" s="17" t="s">
        <v>183</v>
      </c>
      <c r="H265" s="17"/>
      <c r="I265" s="17"/>
      <c r="J265" s="452">
        <f t="shared" si="65"/>
        <v>0</v>
      </c>
      <c r="K265" s="452">
        <f t="shared" si="65"/>
        <v>0</v>
      </c>
      <c r="L265" s="452">
        <f t="shared" si="65"/>
        <v>0</v>
      </c>
      <c r="M265" s="452">
        <f t="shared" si="65"/>
        <v>0</v>
      </c>
      <c r="N265" s="452">
        <f t="shared" si="65"/>
        <v>0</v>
      </c>
      <c r="O265" s="452">
        <f t="shared" si="65"/>
        <v>0</v>
      </c>
      <c r="P265" s="452">
        <f t="shared" si="65"/>
        <v>0</v>
      </c>
      <c r="Q265" s="452">
        <f t="shared" si="65"/>
        <v>0</v>
      </c>
      <c r="R265" s="452">
        <f t="shared" si="65"/>
        <v>0</v>
      </c>
      <c r="S265" s="452">
        <f t="shared" si="65"/>
        <v>0</v>
      </c>
      <c r="T265" s="452">
        <f t="shared" si="65"/>
        <v>0</v>
      </c>
      <c r="U265" s="452">
        <f t="shared" si="65"/>
        <v>0</v>
      </c>
      <c r="V265" s="452">
        <f t="shared" si="65"/>
        <v>0</v>
      </c>
      <c r="W265" s="452">
        <f t="shared" si="65"/>
        <v>0</v>
      </c>
      <c r="X265" s="452">
        <f t="shared" si="65"/>
        <v>0</v>
      </c>
      <c r="Y265" s="452">
        <f t="shared" si="65"/>
        <v>0</v>
      </c>
      <c r="Z265" s="452">
        <f t="shared" si="65"/>
        <v>0</v>
      </c>
      <c r="AA265" s="452">
        <f t="shared" si="65"/>
        <v>0</v>
      </c>
      <c r="AB265" s="452">
        <f t="shared" si="65"/>
        <v>0</v>
      </c>
      <c r="AC265" s="452">
        <f t="shared" si="65"/>
        <v>0</v>
      </c>
      <c r="AD265" s="452">
        <f t="shared" si="65"/>
        <v>0</v>
      </c>
      <c r="AE265" s="452">
        <f t="shared" si="65"/>
        <v>0</v>
      </c>
      <c r="AF265" s="452">
        <f t="shared" si="65"/>
        <v>0</v>
      </c>
      <c r="AG265" s="452">
        <f t="shared" si="65"/>
        <v>0</v>
      </c>
      <c r="AH265" s="452">
        <f t="shared" si="65"/>
        <v>0</v>
      </c>
      <c r="AI265" s="452">
        <f t="shared" si="65"/>
        <v>0</v>
      </c>
      <c r="AJ265" s="452">
        <f t="shared" si="65"/>
        <v>0</v>
      </c>
      <c r="AK265" s="452">
        <f t="shared" si="65"/>
        <v>0</v>
      </c>
      <c r="AL265" s="452">
        <f t="shared" si="65"/>
        <v>0</v>
      </c>
      <c r="AM265" s="452">
        <f t="shared" si="65"/>
        <v>0</v>
      </c>
      <c r="AN265" s="452">
        <f t="shared" si="65"/>
        <v>0</v>
      </c>
      <c r="AO265" s="452">
        <f t="shared" si="65"/>
        <v>0</v>
      </c>
    </row>
    <row r="266" spans="3:41" x14ac:dyDescent="0.25">
      <c r="C266" s="73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</row>
    <row r="267" spans="3:41" x14ac:dyDescent="0.25">
      <c r="C267" s="73"/>
      <c r="E267" s="52" t="s">
        <v>1169</v>
      </c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</row>
    <row r="268" spans="3:41" x14ac:dyDescent="0.25">
      <c r="C268" s="73"/>
      <c r="F268" s="80" t="s">
        <v>1161</v>
      </c>
      <c r="G268" s="80" t="s">
        <v>426</v>
      </c>
      <c r="H268" s="80"/>
      <c r="I268" s="80"/>
      <c r="J268" s="443">
        <f t="shared" ref="J268:AO268" si="66">IF(J$238,MATCH(J250,J$40:J$42,0), 0)</f>
        <v>0</v>
      </c>
      <c r="K268" s="443">
        <f t="shared" si="66"/>
        <v>0</v>
      </c>
      <c r="L268" s="443">
        <f t="shared" si="66"/>
        <v>0</v>
      </c>
      <c r="M268" s="443">
        <f t="shared" si="66"/>
        <v>0</v>
      </c>
      <c r="N268" s="443">
        <f t="shared" si="66"/>
        <v>0</v>
      </c>
      <c r="O268" s="443">
        <f t="shared" si="66"/>
        <v>0</v>
      </c>
      <c r="P268" s="443">
        <f t="shared" si="66"/>
        <v>0</v>
      </c>
      <c r="Q268" s="443">
        <f t="shared" si="66"/>
        <v>0</v>
      </c>
      <c r="R268" s="443">
        <f t="shared" si="66"/>
        <v>0</v>
      </c>
      <c r="S268" s="443">
        <f t="shared" si="66"/>
        <v>0</v>
      </c>
      <c r="T268" s="443">
        <f t="shared" si="66"/>
        <v>0</v>
      </c>
      <c r="U268" s="443">
        <f t="shared" si="66"/>
        <v>0</v>
      </c>
      <c r="V268" s="443">
        <f t="shared" si="66"/>
        <v>0</v>
      </c>
      <c r="W268" s="443">
        <f t="shared" si="66"/>
        <v>0</v>
      </c>
      <c r="X268" s="443">
        <f t="shared" si="66"/>
        <v>0</v>
      </c>
      <c r="Y268" s="443">
        <f t="shared" si="66"/>
        <v>0</v>
      </c>
      <c r="Z268" s="443">
        <f t="shared" si="66"/>
        <v>0</v>
      </c>
      <c r="AA268" s="443">
        <f t="shared" si="66"/>
        <v>0</v>
      </c>
      <c r="AB268" s="443">
        <f t="shared" si="66"/>
        <v>0</v>
      </c>
      <c r="AC268" s="443">
        <f t="shared" si="66"/>
        <v>0</v>
      </c>
      <c r="AD268" s="443">
        <f t="shared" si="66"/>
        <v>0</v>
      </c>
      <c r="AE268" s="443">
        <f t="shared" si="66"/>
        <v>0</v>
      </c>
      <c r="AF268" s="443">
        <f t="shared" si="66"/>
        <v>0</v>
      </c>
      <c r="AG268" s="443">
        <f t="shared" si="66"/>
        <v>0</v>
      </c>
      <c r="AH268" s="443">
        <f t="shared" si="66"/>
        <v>0</v>
      </c>
      <c r="AI268" s="443">
        <f t="shared" si="66"/>
        <v>0</v>
      </c>
      <c r="AJ268" s="443">
        <f t="shared" si="66"/>
        <v>0</v>
      </c>
      <c r="AK268" s="443">
        <f t="shared" si="66"/>
        <v>0</v>
      </c>
      <c r="AL268" s="443">
        <f t="shared" si="66"/>
        <v>0</v>
      </c>
      <c r="AM268" s="443">
        <f t="shared" si="66"/>
        <v>0</v>
      </c>
      <c r="AN268" s="443">
        <f t="shared" si="66"/>
        <v>0</v>
      </c>
      <c r="AO268" s="443">
        <f t="shared" si="66"/>
        <v>0</v>
      </c>
    </row>
    <row r="269" spans="3:41" x14ac:dyDescent="0.25">
      <c r="C269" s="73"/>
      <c r="F269" t="s">
        <v>1162</v>
      </c>
      <c r="G269" t="s">
        <v>426</v>
      </c>
      <c r="J269" s="444">
        <f t="shared" ref="J269:AO269" si="67">IF(J$238,MATCH(J251,J$40:J$42,0), 0)</f>
        <v>0</v>
      </c>
      <c r="K269" s="444">
        <f t="shared" si="67"/>
        <v>0</v>
      </c>
      <c r="L269" s="444">
        <f t="shared" si="67"/>
        <v>0</v>
      </c>
      <c r="M269" s="444">
        <f t="shared" si="67"/>
        <v>0</v>
      </c>
      <c r="N269" s="444">
        <f t="shared" si="67"/>
        <v>0</v>
      </c>
      <c r="O269" s="444">
        <f t="shared" si="67"/>
        <v>0</v>
      </c>
      <c r="P269" s="444">
        <f t="shared" si="67"/>
        <v>0</v>
      </c>
      <c r="Q269" s="444">
        <f t="shared" si="67"/>
        <v>0</v>
      </c>
      <c r="R269" s="444">
        <f t="shared" si="67"/>
        <v>0</v>
      </c>
      <c r="S269" s="444">
        <f t="shared" si="67"/>
        <v>0</v>
      </c>
      <c r="T269" s="444">
        <f t="shared" si="67"/>
        <v>0</v>
      </c>
      <c r="U269" s="444">
        <f t="shared" si="67"/>
        <v>0</v>
      </c>
      <c r="V269" s="444">
        <f t="shared" si="67"/>
        <v>0</v>
      </c>
      <c r="W269" s="444">
        <f t="shared" si="67"/>
        <v>0</v>
      </c>
      <c r="X269" s="444">
        <f t="shared" si="67"/>
        <v>0</v>
      </c>
      <c r="Y269" s="444">
        <f t="shared" si="67"/>
        <v>0</v>
      </c>
      <c r="Z269" s="444">
        <f t="shared" si="67"/>
        <v>0</v>
      </c>
      <c r="AA269" s="444">
        <f t="shared" si="67"/>
        <v>0</v>
      </c>
      <c r="AB269" s="444">
        <f t="shared" si="67"/>
        <v>0</v>
      </c>
      <c r="AC269" s="444">
        <f t="shared" si="67"/>
        <v>0</v>
      </c>
      <c r="AD269" s="444">
        <f t="shared" si="67"/>
        <v>0</v>
      </c>
      <c r="AE269" s="444">
        <f t="shared" si="67"/>
        <v>0</v>
      </c>
      <c r="AF269" s="444">
        <f t="shared" si="67"/>
        <v>0</v>
      </c>
      <c r="AG269" s="444">
        <f t="shared" si="67"/>
        <v>0</v>
      </c>
      <c r="AH269" s="444">
        <f t="shared" si="67"/>
        <v>0</v>
      </c>
      <c r="AI269" s="444">
        <f t="shared" si="67"/>
        <v>0</v>
      </c>
      <c r="AJ269" s="444">
        <f t="shared" si="67"/>
        <v>0</v>
      </c>
      <c r="AK269" s="444">
        <f t="shared" si="67"/>
        <v>0</v>
      </c>
      <c r="AL269" s="444">
        <f t="shared" si="67"/>
        <v>0</v>
      </c>
      <c r="AM269" s="444">
        <f t="shared" si="67"/>
        <v>0</v>
      </c>
      <c r="AN269" s="444">
        <f t="shared" si="67"/>
        <v>0</v>
      </c>
      <c r="AO269" s="444">
        <f t="shared" si="67"/>
        <v>0</v>
      </c>
    </row>
    <row r="270" spans="3:41" x14ac:dyDescent="0.25">
      <c r="C270" s="73"/>
      <c r="F270" s="17" t="s">
        <v>1163</v>
      </c>
      <c r="G270" s="17" t="s">
        <v>426</v>
      </c>
      <c r="H270" s="17"/>
      <c r="I270" s="17"/>
      <c r="J270" s="445">
        <f t="shared" ref="J270:AO270" si="68">IF(J$238,MATCH(J252,J$40:J$42,0), 0)</f>
        <v>0</v>
      </c>
      <c r="K270" s="445">
        <f t="shared" si="68"/>
        <v>0</v>
      </c>
      <c r="L270" s="445">
        <f t="shared" si="68"/>
        <v>0</v>
      </c>
      <c r="M270" s="445">
        <f t="shared" si="68"/>
        <v>0</v>
      </c>
      <c r="N270" s="445">
        <f t="shared" si="68"/>
        <v>0</v>
      </c>
      <c r="O270" s="445">
        <f t="shared" si="68"/>
        <v>0</v>
      </c>
      <c r="P270" s="445">
        <f t="shared" si="68"/>
        <v>0</v>
      </c>
      <c r="Q270" s="445">
        <f t="shared" si="68"/>
        <v>0</v>
      </c>
      <c r="R270" s="445">
        <f t="shared" si="68"/>
        <v>0</v>
      </c>
      <c r="S270" s="445">
        <f t="shared" si="68"/>
        <v>0</v>
      </c>
      <c r="T270" s="445">
        <f t="shared" si="68"/>
        <v>0</v>
      </c>
      <c r="U270" s="445">
        <f t="shared" si="68"/>
        <v>0</v>
      </c>
      <c r="V270" s="445">
        <f t="shared" si="68"/>
        <v>0</v>
      </c>
      <c r="W270" s="445">
        <f t="shared" si="68"/>
        <v>0</v>
      </c>
      <c r="X270" s="445">
        <f t="shared" si="68"/>
        <v>0</v>
      </c>
      <c r="Y270" s="445">
        <f t="shared" si="68"/>
        <v>0</v>
      </c>
      <c r="Z270" s="445">
        <f t="shared" si="68"/>
        <v>0</v>
      </c>
      <c r="AA270" s="445">
        <f t="shared" si="68"/>
        <v>0</v>
      </c>
      <c r="AB270" s="445">
        <f t="shared" si="68"/>
        <v>0</v>
      </c>
      <c r="AC270" s="445">
        <f t="shared" si="68"/>
        <v>0</v>
      </c>
      <c r="AD270" s="445">
        <f t="shared" si="68"/>
        <v>0</v>
      </c>
      <c r="AE270" s="445">
        <f t="shared" si="68"/>
        <v>0</v>
      </c>
      <c r="AF270" s="445">
        <f t="shared" si="68"/>
        <v>0</v>
      </c>
      <c r="AG270" s="445">
        <f t="shared" si="68"/>
        <v>0</v>
      </c>
      <c r="AH270" s="445">
        <f t="shared" si="68"/>
        <v>0</v>
      </c>
      <c r="AI270" s="445">
        <f t="shared" si="68"/>
        <v>0</v>
      </c>
      <c r="AJ270" s="445">
        <f t="shared" si="68"/>
        <v>0</v>
      </c>
      <c r="AK270" s="445">
        <f t="shared" si="68"/>
        <v>0</v>
      </c>
      <c r="AL270" s="445">
        <f t="shared" si="68"/>
        <v>0</v>
      </c>
      <c r="AM270" s="445">
        <f t="shared" si="68"/>
        <v>0</v>
      </c>
      <c r="AN270" s="445">
        <f t="shared" si="68"/>
        <v>0</v>
      </c>
      <c r="AO270" s="445">
        <f t="shared" si="68"/>
        <v>0</v>
      </c>
    </row>
    <row r="271" spans="3:41" x14ac:dyDescent="0.25">
      <c r="C271" s="73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</row>
    <row r="272" spans="3:41" x14ac:dyDescent="0.25">
      <c r="C272" s="73"/>
      <c r="E272" s="52" t="s">
        <v>1170</v>
      </c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</row>
    <row r="273" spans="3:43" x14ac:dyDescent="0.25">
      <c r="C273" s="73"/>
      <c r="F273" s="80" t="s">
        <v>1161</v>
      </c>
      <c r="G273" s="80" t="s">
        <v>120</v>
      </c>
      <c r="H273" s="80"/>
      <c r="I273" s="80"/>
      <c r="J273" s="196">
        <f t="shared" ref="J273:AO273" si="69">IF(J$238, INDEX(J$53:J$55,J268), 0)</f>
        <v>0</v>
      </c>
      <c r="K273" s="196">
        <f t="shared" si="69"/>
        <v>0</v>
      </c>
      <c r="L273" s="196">
        <f t="shared" si="69"/>
        <v>0</v>
      </c>
      <c r="M273" s="196">
        <f t="shared" si="69"/>
        <v>0</v>
      </c>
      <c r="N273" s="196">
        <f t="shared" si="69"/>
        <v>0</v>
      </c>
      <c r="O273" s="196">
        <f t="shared" si="69"/>
        <v>0</v>
      </c>
      <c r="P273" s="196">
        <f t="shared" si="69"/>
        <v>0</v>
      </c>
      <c r="Q273" s="196">
        <f t="shared" si="69"/>
        <v>0</v>
      </c>
      <c r="R273" s="196">
        <f t="shared" si="69"/>
        <v>0</v>
      </c>
      <c r="S273" s="196">
        <f t="shared" si="69"/>
        <v>0</v>
      </c>
      <c r="T273" s="196">
        <f t="shared" si="69"/>
        <v>0</v>
      </c>
      <c r="U273" s="196">
        <f t="shared" si="69"/>
        <v>0</v>
      </c>
      <c r="V273" s="196">
        <f t="shared" si="69"/>
        <v>0</v>
      </c>
      <c r="W273" s="196">
        <f t="shared" si="69"/>
        <v>0</v>
      </c>
      <c r="X273" s="196">
        <f t="shared" si="69"/>
        <v>0</v>
      </c>
      <c r="Y273" s="196">
        <f t="shared" si="69"/>
        <v>0</v>
      </c>
      <c r="Z273" s="196">
        <f t="shared" si="69"/>
        <v>0</v>
      </c>
      <c r="AA273" s="196">
        <f t="shared" si="69"/>
        <v>0</v>
      </c>
      <c r="AB273" s="196">
        <f t="shared" si="69"/>
        <v>0</v>
      </c>
      <c r="AC273" s="196">
        <f t="shared" si="69"/>
        <v>0</v>
      </c>
      <c r="AD273" s="196">
        <f t="shared" si="69"/>
        <v>0</v>
      </c>
      <c r="AE273" s="196">
        <f t="shared" si="69"/>
        <v>0</v>
      </c>
      <c r="AF273" s="196">
        <f t="shared" si="69"/>
        <v>0</v>
      </c>
      <c r="AG273" s="196">
        <f t="shared" si="69"/>
        <v>0</v>
      </c>
      <c r="AH273" s="196">
        <f t="shared" si="69"/>
        <v>0</v>
      </c>
      <c r="AI273" s="196">
        <f t="shared" si="69"/>
        <v>0</v>
      </c>
      <c r="AJ273" s="196">
        <f t="shared" si="69"/>
        <v>0</v>
      </c>
      <c r="AK273" s="196">
        <f t="shared" si="69"/>
        <v>0</v>
      </c>
      <c r="AL273" s="196">
        <f t="shared" si="69"/>
        <v>0</v>
      </c>
      <c r="AM273" s="196">
        <f t="shared" si="69"/>
        <v>0</v>
      </c>
      <c r="AN273" s="196">
        <f t="shared" si="69"/>
        <v>0</v>
      </c>
      <c r="AO273" s="196">
        <f t="shared" si="69"/>
        <v>0</v>
      </c>
    </row>
    <row r="274" spans="3:43" x14ac:dyDescent="0.25">
      <c r="C274" s="73"/>
      <c r="F274" t="s">
        <v>1162</v>
      </c>
      <c r="G274" t="s">
        <v>120</v>
      </c>
      <c r="J274" s="198">
        <f t="shared" ref="J274:AO274" si="70">IF(J$238, INDEX(J$53:J$55,J269), 0)</f>
        <v>0</v>
      </c>
      <c r="K274" s="198">
        <f t="shared" si="70"/>
        <v>0</v>
      </c>
      <c r="L274" s="198">
        <f t="shared" si="70"/>
        <v>0</v>
      </c>
      <c r="M274" s="198">
        <f t="shared" si="70"/>
        <v>0</v>
      </c>
      <c r="N274" s="198">
        <f t="shared" si="70"/>
        <v>0</v>
      </c>
      <c r="O274" s="198">
        <f t="shared" si="70"/>
        <v>0</v>
      </c>
      <c r="P274" s="198">
        <f t="shared" si="70"/>
        <v>0</v>
      </c>
      <c r="Q274" s="198">
        <f t="shared" si="70"/>
        <v>0</v>
      </c>
      <c r="R274" s="198">
        <f t="shared" si="70"/>
        <v>0</v>
      </c>
      <c r="S274" s="198">
        <f t="shared" si="70"/>
        <v>0</v>
      </c>
      <c r="T274" s="198">
        <f t="shared" si="70"/>
        <v>0</v>
      </c>
      <c r="U274" s="198">
        <f t="shared" si="70"/>
        <v>0</v>
      </c>
      <c r="V274" s="198">
        <f t="shared" si="70"/>
        <v>0</v>
      </c>
      <c r="W274" s="198">
        <f t="shared" si="70"/>
        <v>0</v>
      </c>
      <c r="X274" s="198">
        <f t="shared" si="70"/>
        <v>0</v>
      </c>
      <c r="Y274" s="198">
        <f t="shared" si="70"/>
        <v>0</v>
      </c>
      <c r="Z274" s="198">
        <f t="shared" si="70"/>
        <v>0</v>
      </c>
      <c r="AA274" s="198">
        <f t="shared" si="70"/>
        <v>0</v>
      </c>
      <c r="AB274" s="198">
        <f t="shared" si="70"/>
        <v>0</v>
      </c>
      <c r="AC274" s="198">
        <f t="shared" si="70"/>
        <v>0</v>
      </c>
      <c r="AD274" s="198">
        <f t="shared" si="70"/>
        <v>0</v>
      </c>
      <c r="AE274" s="198">
        <f t="shared" si="70"/>
        <v>0</v>
      </c>
      <c r="AF274" s="198">
        <f t="shared" si="70"/>
        <v>0</v>
      </c>
      <c r="AG274" s="198">
        <f t="shared" si="70"/>
        <v>0</v>
      </c>
      <c r="AH274" s="198">
        <f t="shared" si="70"/>
        <v>0</v>
      </c>
      <c r="AI274" s="198">
        <f t="shared" si="70"/>
        <v>0</v>
      </c>
      <c r="AJ274" s="198">
        <f t="shared" si="70"/>
        <v>0</v>
      </c>
      <c r="AK274" s="198">
        <f t="shared" si="70"/>
        <v>0</v>
      </c>
      <c r="AL274" s="198">
        <f t="shared" si="70"/>
        <v>0</v>
      </c>
      <c r="AM274" s="198">
        <f t="shared" si="70"/>
        <v>0</v>
      </c>
      <c r="AN274" s="198">
        <f t="shared" si="70"/>
        <v>0</v>
      </c>
      <c r="AO274" s="198">
        <f t="shared" si="70"/>
        <v>0</v>
      </c>
    </row>
    <row r="275" spans="3:43" x14ac:dyDescent="0.25">
      <c r="C275" s="73"/>
      <c r="F275" s="17" t="s">
        <v>1163</v>
      </c>
      <c r="G275" s="17" t="s">
        <v>120</v>
      </c>
      <c r="H275" s="17"/>
      <c r="I275" s="17"/>
      <c r="J275" s="200">
        <f t="shared" ref="J275:AO275" si="71">IF(J$238, INDEX(J$53:J$55,J270), 0)</f>
        <v>0</v>
      </c>
      <c r="K275" s="200">
        <f t="shared" si="71"/>
        <v>0</v>
      </c>
      <c r="L275" s="200">
        <f t="shared" si="71"/>
        <v>0</v>
      </c>
      <c r="M275" s="200">
        <f t="shared" si="71"/>
        <v>0</v>
      </c>
      <c r="N275" s="200">
        <f t="shared" si="71"/>
        <v>0</v>
      </c>
      <c r="O275" s="200">
        <f t="shared" si="71"/>
        <v>0</v>
      </c>
      <c r="P275" s="200">
        <f t="shared" si="71"/>
        <v>0</v>
      </c>
      <c r="Q275" s="200">
        <f t="shared" si="71"/>
        <v>0</v>
      </c>
      <c r="R275" s="200">
        <f t="shared" si="71"/>
        <v>0</v>
      </c>
      <c r="S275" s="200">
        <f t="shared" si="71"/>
        <v>0</v>
      </c>
      <c r="T275" s="200">
        <f t="shared" si="71"/>
        <v>0</v>
      </c>
      <c r="U275" s="200">
        <f t="shared" si="71"/>
        <v>0</v>
      </c>
      <c r="V275" s="200">
        <f t="shared" si="71"/>
        <v>0</v>
      </c>
      <c r="W275" s="200">
        <f t="shared" si="71"/>
        <v>0</v>
      </c>
      <c r="X275" s="200">
        <f t="shared" si="71"/>
        <v>0</v>
      </c>
      <c r="Y275" s="200">
        <f t="shared" si="71"/>
        <v>0</v>
      </c>
      <c r="Z275" s="200">
        <f t="shared" si="71"/>
        <v>0</v>
      </c>
      <c r="AA275" s="200">
        <f t="shared" si="71"/>
        <v>0</v>
      </c>
      <c r="AB275" s="200">
        <f t="shared" si="71"/>
        <v>0</v>
      </c>
      <c r="AC275" s="200">
        <f t="shared" si="71"/>
        <v>0</v>
      </c>
      <c r="AD275" s="200">
        <f t="shared" si="71"/>
        <v>0</v>
      </c>
      <c r="AE275" s="200">
        <f t="shared" si="71"/>
        <v>0</v>
      </c>
      <c r="AF275" s="200">
        <f t="shared" si="71"/>
        <v>0</v>
      </c>
      <c r="AG275" s="200">
        <f t="shared" si="71"/>
        <v>0</v>
      </c>
      <c r="AH275" s="200">
        <f t="shared" si="71"/>
        <v>0</v>
      </c>
      <c r="AI275" s="200">
        <f t="shared" si="71"/>
        <v>0</v>
      </c>
      <c r="AJ275" s="200">
        <f t="shared" si="71"/>
        <v>0</v>
      </c>
      <c r="AK275" s="200">
        <f t="shared" si="71"/>
        <v>0</v>
      </c>
      <c r="AL275" s="200">
        <f t="shared" si="71"/>
        <v>0</v>
      </c>
      <c r="AM275" s="200">
        <f t="shared" si="71"/>
        <v>0</v>
      </c>
      <c r="AN275" s="200">
        <f t="shared" si="71"/>
        <v>0</v>
      </c>
      <c r="AO275" s="200">
        <f t="shared" si="71"/>
        <v>0</v>
      </c>
    </row>
    <row r="276" spans="3:43" x14ac:dyDescent="0.25">
      <c r="C276" s="73"/>
      <c r="J276" s="198"/>
      <c r="K276" s="198"/>
      <c r="L276" s="198"/>
      <c r="M276" s="198"/>
      <c r="N276" s="198"/>
      <c r="O276" s="198"/>
      <c r="P276" s="198"/>
      <c r="Q276" s="198"/>
      <c r="R276" s="198"/>
      <c r="S276" s="198"/>
      <c r="T276" s="198"/>
      <c r="U276" s="198"/>
      <c r="V276" s="198"/>
      <c r="W276" s="198"/>
      <c r="X276" s="198"/>
      <c r="Y276" s="198"/>
      <c r="Z276" s="198"/>
      <c r="AA276" s="198"/>
      <c r="AB276" s="198"/>
      <c r="AC276" s="198"/>
      <c r="AD276" s="198"/>
      <c r="AE276" s="198"/>
      <c r="AF276" s="198"/>
      <c r="AG276" s="198"/>
      <c r="AH276" s="198"/>
      <c r="AI276" s="198"/>
      <c r="AJ276" s="198"/>
      <c r="AK276" s="198"/>
      <c r="AL276" s="198"/>
      <c r="AM276" s="198"/>
      <c r="AN276" s="198"/>
      <c r="AO276" s="198"/>
    </row>
    <row r="277" spans="3:43" x14ac:dyDescent="0.25">
      <c r="C277" s="73"/>
      <c r="E277" s="52" t="s">
        <v>1171</v>
      </c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</row>
    <row r="278" spans="3:43" x14ac:dyDescent="0.25">
      <c r="C278" s="73"/>
      <c r="F278" s="80" t="s">
        <v>1161</v>
      </c>
      <c r="G278" s="80" t="s">
        <v>120</v>
      </c>
      <c r="H278" s="80"/>
      <c r="I278" s="80"/>
      <c r="J278" s="196">
        <f t="shared" ref="J278:AO280" si="72">SUMIF($J$150:$AO$150,J$150,$J273:$AO273)</f>
        <v>0</v>
      </c>
      <c r="K278" s="196">
        <f t="shared" si="72"/>
        <v>0</v>
      </c>
      <c r="L278" s="196">
        <f t="shared" si="72"/>
        <v>0</v>
      </c>
      <c r="M278" s="196">
        <f t="shared" si="72"/>
        <v>0</v>
      </c>
      <c r="N278" s="196">
        <f t="shared" si="72"/>
        <v>0</v>
      </c>
      <c r="O278" s="196">
        <f t="shared" si="72"/>
        <v>0</v>
      </c>
      <c r="P278" s="196">
        <f t="shared" si="72"/>
        <v>0</v>
      </c>
      <c r="Q278" s="196">
        <f t="shared" si="72"/>
        <v>0</v>
      </c>
      <c r="R278" s="196">
        <f t="shared" si="72"/>
        <v>0</v>
      </c>
      <c r="S278" s="196">
        <f t="shared" si="72"/>
        <v>0</v>
      </c>
      <c r="T278" s="196">
        <f t="shared" si="72"/>
        <v>0</v>
      </c>
      <c r="U278" s="196">
        <f t="shared" si="72"/>
        <v>0</v>
      </c>
      <c r="V278" s="196">
        <f t="shared" si="72"/>
        <v>0</v>
      </c>
      <c r="W278" s="196">
        <f t="shared" si="72"/>
        <v>0</v>
      </c>
      <c r="X278" s="196">
        <f t="shared" si="72"/>
        <v>0</v>
      </c>
      <c r="Y278" s="196">
        <f t="shared" si="72"/>
        <v>0</v>
      </c>
      <c r="Z278" s="196">
        <f t="shared" si="72"/>
        <v>0</v>
      </c>
      <c r="AA278" s="196">
        <f t="shared" si="72"/>
        <v>0</v>
      </c>
      <c r="AB278" s="196">
        <f t="shared" si="72"/>
        <v>0</v>
      </c>
      <c r="AC278" s="196">
        <f t="shared" si="72"/>
        <v>0</v>
      </c>
      <c r="AD278" s="196">
        <f t="shared" si="72"/>
        <v>0</v>
      </c>
      <c r="AE278" s="196">
        <f t="shared" si="72"/>
        <v>0</v>
      </c>
      <c r="AF278" s="196">
        <f t="shared" si="72"/>
        <v>0</v>
      </c>
      <c r="AG278" s="196">
        <f t="shared" si="72"/>
        <v>0</v>
      </c>
      <c r="AH278" s="196">
        <f t="shared" si="72"/>
        <v>0</v>
      </c>
      <c r="AI278" s="196">
        <f t="shared" si="72"/>
        <v>0</v>
      </c>
      <c r="AJ278" s="196">
        <f t="shared" si="72"/>
        <v>0</v>
      </c>
      <c r="AK278" s="196">
        <f t="shared" si="72"/>
        <v>0</v>
      </c>
      <c r="AL278" s="196">
        <f t="shared" si="72"/>
        <v>0</v>
      </c>
      <c r="AM278" s="196">
        <f t="shared" si="72"/>
        <v>0</v>
      </c>
      <c r="AN278" s="196">
        <f t="shared" si="72"/>
        <v>0</v>
      </c>
      <c r="AO278" s="196">
        <f t="shared" si="72"/>
        <v>0</v>
      </c>
    </row>
    <row r="279" spans="3:43" x14ac:dyDescent="0.25">
      <c r="C279" s="73"/>
      <c r="F279" t="s">
        <v>1162</v>
      </c>
      <c r="G279" t="s">
        <v>120</v>
      </c>
      <c r="J279" s="198">
        <f t="shared" si="72"/>
        <v>0</v>
      </c>
      <c r="K279" s="198">
        <f t="shared" si="72"/>
        <v>0</v>
      </c>
      <c r="L279" s="198">
        <f t="shared" si="72"/>
        <v>0</v>
      </c>
      <c r="M279" s="198">
        <f t="shared" si="72"/>
        <v>0</v>
      </c>
      <c r="N279" s="198">
        <f t="shared" si="72"/>
        <v>0</v>
      </c>
      <c r="O279" s="198">
        <f t="shared" si="72"/>
        <v>0</v>
      </c>
      <c r="P279" s="198">
        <f t="shared" si="72"/>
        <v>0</v>
      </c>
      <c r="Q279" s="198">
        <f t="shared" si="72"/>
        <v>0</v>
      </c>
      <c r="R279" s="198">
        <f t="shared" si="72"/>
        <v>0</v>
      </c>
      <c r="S279" s="198">
        <f t="shared" si="72"/>
        <v>0</v>
      </c>
      <c r="T279" s="198">
        <f t="shared" si="72"/>
        <v>0</v>
      </c>
      <c r="U279" s="198">
        <f t="shared" si="72"/>
        <v>0</v>
      </c>
      <c r="V279" s="198">
        <f t="shared" si="72"/>
        <v>0</v>
      </c>
      <c r="W279" s="198">
        <f t="shared" si="72"/>
        <v>0</v>
      </c>
      <c r="X279" s="198">
        <f t="shared" si="72"/>
        <v>0</v>
      </c>
      <c r="Y279" s="198">
        <f t="shared" si="72"/>
        <v>0</v>
      </c>
      <c r="Z279" s="198">
        <f t="shared" si="72"/>
        <v>0</v>
      </c>
      <c r="AA279" s="198">
        <f t="shared" si="72"/>
        <v>0</v>
      </c>
      <c r="AB279" s="198">
        <f t="shared" si="72"/>
        <v>0</v>
      </c>
      <c r="AC279" s="198">
        <f t="shared" si="72"/>
        <v>0</v>
      </c>
      <c r="AD279" s="198">
        <f t="shared" si="72"/>
        <v>0</v>
      </c>
      <c r="AE279" s="198">
        <f t="shared" si="72"/>
        <v>0</v>
      </c>
      <c r="AF279" s="198">
        <f t="shared" si="72"/>
        <v>0</v>
      </c>
      <c r="AG279" s="198">
        <f t="shared" si="72"/>
        <v>0</v>
      </c>
      <c r="AH279" s="198">
        <f t="shared" si="72"/>
        <v>0</v>
      </c>
      <c r="AI279" s="198">
        <f t="shared" si="72"/>
        <v>0</v>
      </c>
      <c r="AJ279" s="198">
        <f t="shared" si="72"/>
        <v>0</v>
      </c>
      <c r="AK279" s="198">
        <f t="shared" si="72"/>
        <v>0</v>
      </c>
      <c r="AL279" s="198">
        <f t="shared" si="72"/>
        <v>0</v>
      </c>
      <c r="AM279" s="198">
        <f t="shared" si="72"/>
        <v>0</v>
      </c>
      <c r="AN279" s="198">
        <f t="shared" si="72"/>
        <v>0</v>
      </c>
      <c r="AO279" s="198">
        <f t="shared" si="72"/>
        <v>0</v>
      </c>
    </row>
    <row r="280" spans="3:43" x14ac:dyDescent="0.25">
      <c r="C280" s="73"/>
      <c r="F280" s="17" t="s">
        <v>1163</v>
      </c>
      <c r="G280" s="17" t="s">
        <v>120</v>
      </c>
      <c r="H280" s="17"/>
      <c r="I280" s="17"/>
      <c r="J280" s="200">
        <f t="shared" si="72"/>
        <v>0</v>
      </c>
      <c r="K280" s="200">
        <f t="shared" si="72"/>
        <v>0</v>
      </c>
      <c r="L280" s="200">
        <f t="shared" si="72"/>
        <v>0</v>
      </c>
      <c r="M280" s="200">
        <f t="shared" si="72"/>
        <v>0</v>
      </c>
      <c r="N280" s="200">
        <f t="shared" si="72"/>
        <v>0</v>
      </c>
      <c r="O280" s="200">
        <f t="shared" si="72"/>
        <v>0</v>
      </c>
      <c r="P280" s="200">
        <f t="shared" si="72"/>
        <v>0</v>
      </c>
      <c r="Q280" s="200">
        <f t="shared" si="72"/>
        <v>0</v>
      </c>
      <c r="R280" s="200">
        <f t="shared" si="72"/>
        <v>0</v>
      </c>
      <c r="S280" s="200">
        <f t="shared" si="72"/>
        <v>0</v>
      </c>
      <c r="T280" s="200">
        <f t="shared" si="72"/>
        <v>0</v>
      </c>
      <c r="U280" s="200">
        <f t="shared" si="72"/>
        <v>0</v>
      </c>
      <c r="V280" s="200">
        <f t="shared" si="72"/>
        <v>0</v>
      </c>
      <c r="W280" s="200">
        <f t="shared" si="72"/>
        <v>0</v>
      </c>
      <c r="X280" s="200">
        <f t="shared" si="72"/>
        <v>0</v>
      </c>
      <c r="Y280" s="200">
        <f t="shared" si="72"/>
        <v>0</v>
      </c>
      <c r="Z280" s="200">
        <f t="shared" si="72"/>
        <v>0</v>
      </c>
      <c r="AA280" s="200">
        <f t="shared" si="72"/>
        <v>0</v>
      </c>
      <c r="AB280" s="200">
        <f t="shared" si="72"/>
        <v>0</v>
      </c>
      <c r="AC280" s="200">
        <f t="shared" si="72"/>
        <v>0</v>
      </c>
      <c r="AD280" s="200">
        <f t="shared" si="72"/>
        <v>0</v>
      </c>
      <c r="AE280" s="200">
        <f t="shared" si="72"/>
        <v>0</v>
      </c>
      <c r="AF280" s="200">
        <f t="shared" si="72"/>
        <v>0</v>
      </c>
      <c r="AG280" s="200">
        <f t="shared" si="72"/>
        <v>0</v>
      </c>
      <c r="AH280" s="200">
        <f t="shared" si="72"/>
        <v>0</v>
      </c>
      <c r="AI280" s="200">
        <f t="shared" si="72"/>
        <v>0</v>
      </c>
      <c r="AJ280" s="200">
        <f t="shared" si="72"/>
        <v>0</v>
      </c>
      <c r="AK280" s="200">
        <f t="shared" si="72"/>
        <v>0</v>
      </c>
      <c r="AL280" s="200">
        <f t="shared" si="72"/>
        <v>0</v>
      </c>
      <c r="AM280" s="200">
        <f t="shared" si="72"/>
        <v>0</v>
      </c>
      <c r="AN280" s="200">
        <f t="shared" si="72"/>
        <v>0</v>
      </c>
      <c r="AO280" s="200">
        <f t="shared" si="72"/>
        <v>0</v>
      </c>
    </row>
    <row r="281" spans="3:43" x14ac:dyDescent="0.25">
      <c r="C281" s="73"/>
      <c r="J281" s="198"/>
      <c r="K281" s="198"/>
      <c r="L281" s="198"/>
      <c r="M281" s="198"/>
      <c r="N281" s="198"/>
      <c r="O281" s="198"/>
      <c r="P281" s="198"/>
      <c r="Q281" s="198"/>
      <c r="R281" s="198"/>
      <c r="S281" s="198"/>
      <c r="T281" s="198"/>
      <c r="U281" s="198"/>
      <c r="V281" s="198"/>
      <c r="W281" s="198"/>
      <c r="X281" s="198"/>
      <c r="Y281" s="198"/>
      <c r="Z281" s="198"/>
      <c r="AA281" s="198"/>
      <c r="AB281" s="198"/>
      <c r="AC281" s="198"/>
      <c r="AD281" s="198"/>
      <c r="AE281" s="198"/>
      <c r="AF281" s="198"/>
      <c r="AG281" s="198"/>
      <c r="AH281" s="198"/>
      <c r="AI281" s="198"/>
      <c r="AJ281" s="198"/>
      <c r="AK281" s="198"/>
      <c r="AL281" s="198"/>
      <c r="AM281" s="198"/>
      <c r="AN281" s="198"/>
      <c r="AO281" s="198"/>
    </row>
    <row r="282" spans="3:43" x14ac:dyDescent="0.25">
      <c r="C282" s="73"/>
      <c r="E282" s="52" t="s">
        <v>1172</v>
      </c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</row>
    <row r="283" spans="3:43" x14ac:dyDescent="0.25">
      <c r="C283" s="73"/>
      <c r="F283" s="80" t="s">
        <v>1161</v>
      </c>
      <c r="G283" s="80" t="s">
        <v>120</v>
      </c>
      <c r="H283" s="80"/>
      <c r="I283" s="80"/>
      <c r="J283" s="196">
        <f>J278 * J$158</f>
        <v>0</v>
      </c>
      <c r="K283" s="196">
        <f t="shared" ref="K283:AO283" si="73">K278 * K$158</f>
        <v>0</v>
      </c>
      <c r="L283" s="196">
        <f t="shared" si="73"/>
        <v>0</v>
      </c>
      <c r="M283" s="196">
        <f t="shared" si="73"/>
        <v>0</v>
      </c>
      <c r="N283" s="196">
        <f t="shared" si="73"/>
        <v>0</v>
      </c>
      <c r="O283" s="196">
        <f t="shared" si="73"/>
        <v>0</v>
      </c>
      <c r="P283" s="196">
        <f t="shared" si="73"/>
        <v>0</v>
      </c>
      <c r="Q283" s="196">
        <f t="shared" si="73"/>
        <v>0</v>
      </c>
      <c r="R283" s="196">
        <f t="shared" si="73"/>
        <v>0</v>
      </c>
      <c r="S283" s="196">
        <f t="shared" si="73"/>
        <v>0</v>
      </c>
      <c r="T283" s="196">
        <f t="shared" si="73"/>
        <v>0</v>
      </c>
      <c r="U283" s="196">
        <f t="shared" si="73"/>
        <v>0</v>
      </c>
      <c r="V283" s="196">
        <f t="shared" si="73"/>
        <v>0</v>
      </c>
      <c r="W283" s="196">
        <f t="shared" si="73"/>
        <v>0</v>
      </c>
      <c r="X283" s="196">
        <f t="shared" si="73"/>
        <v>0</v>
      </c>
      <c r="Y283" s="196">
        <f t="shared" si="73"/>
        <v>0</v>
      </c>
      <c r="Z283" s="196">
        <f t="shared" si="73"/>
        <v>0</v>
      </c>
      <c r="AA283" s="196">
        <f t="shared" si="73"/>
        <v>0</v>
      </c>
      <c r="AB283" s="196">
        <f t="shared" si="73"/>
        <v>0</v>
      </c>
      <c r="AC283" s="196">
        <f t="shared" si="73"/>
        <v>0</v>
      </c>
      <c r="AD283" s="196">
        <f t="shared" si="73"/>
        <v>0</v>
      </c>
      <c r="AE283" s="196">
        <f t="shared" si="73"/>
        <v>0</v>
      </c>
      <c r="AF283" s="196">
        <f t="shared" si="73"/>
        <v>0</v>
      </c>
      <c r="AG283" s="196">
        <f t="shared" si="73"/>
        <v>0</v>
      </c>
      <c r="AH283" s="196">
        <f t="shared" si="73"/>
        <v>0</v>
      </c>
      <c r="AI283" s="196">
        <f t="shared" si="73"/>
        <v>0</v>
      </c>
      <c r="AJ283" s="196">
        <f t="shared" si="73"/>
        <v>0</v>
      </c>
      <c r="AK283" s="196">
        <f t="shared" si="73"/>
        <v>0</v>
      </c>
      <c r="AL283" s="196">
        <f t="shared" si="73"/>
        <v>0</v>
      </c>
      <c r="AM283" s="196">
        <f t="shared" si="73"/>
        <v>0</v>
      </c>
      <c r="AN283" s="196">
        <f t="shared" si="73"/>
        <v>0</v>
      </c>
      <c r="AO283" s="196">
        <f t="shared" si="73"/>
        <v>0</v>
      </c>
    </row>
    <row r="284" spans="3:43" x14ac:dyDescent="0.25">
      <c r="C284" s="73"/>
      <c r="F284" t="s">
        <v>1162</v>
      </c>
      <c r="G284" t="s">
        <v>120</v>
      </c>
      <c r="J284" s="198">
        <f t="shared" ref="J284:AO285" si="74">J279 * J$158</f>
        <v>0</v>
      </c>
      <c r="K284" s="198">
        <f t="shared" si="74"/>
        <v>0</v>
      </c>
      <c r="L284" s="198">
        <f t="shared" si="74"/>
        <v>0</v>
      </c>
      <c r="M284" s="198">
        <f t="shared" si="74"/>
        <v>0</v>
      </c>
      <c r="N284" s="198">
        <f t="shared" si="74"/>
        <v>0</v>
      </c>
      <c r="O284" s="198">
        <f t="shared" si="74"/>
        <v>0</v>
      </c>
      <c r="P284" s="198">
        <f t="shared" si="74"/>
        <v>0</v>
      </c>
      <c r="Q284" s="198">
        <f t="shared" si="74"/>
        <v>0</v>
      </c>
      <c r="R284" s="198">
        <f t="shared" si="74"/>
        <v>0</v>
      </c>
      <c r="S284" s="198">
        <f t="shared" si="74"/>
        <v>0</v>
      </c>
      <c r="T284" s="198">
        <f t="shared" si="74"/>
        <v>0</v>
      </c>
      <c r="U284" s="198">
        <f t="shared" si="74"/>
        <v>0</v>
      </c>
      <c r="V284" s="198">
        <f t="shared" si="74"/>
        <v>0</v>
      </c>
      <c r="W284" s="198">
        <f t="shared" si="74"/>
        <v>0</v>
      </c>
      <c r="X284" s="198">
        <f t="shared" si="74"/>
        <v>0</v>
      </c>
      <c r="Y284" s="198">
        <f t="shared" si="74"/>
        <v>0</v>
      </c>
      <c r="Z284" s="198">
        <f t="shared" si="74"/>
        <v>0</v>
      </c>
      <c r="AA284" s="198">
        <f t="shared" si="74"/>
        <v>0</v>
      </c>
      <c r="AB284" s="198">
        <f t="shared" si="74"/>
        <v>0</v>
      </c>
      <c r="AC284" s="198">
        <f t="shared" si="74"/>
        <v>0</v>
      </c>
      <c r="AD284" s="198">
        <f t="shared" si="74"/>
        <v>0</v>
      </c>
      <c r="AE284" s="198">
        <f t="shared" si="74"/>
        <v>0</v>
      </c>
      <c r="AF284" s="198">
        <f t="shared" si="74"/>
        <v>0</v>
      </c>
      <c r="AG284" s="198">
        <f t="shared" si="74"/>
        <v>0</v>
      </c>
      <c r="AH284" s="198">
        <f t="shared" si="74"/>
        <v>0</v>
      </c>
      <c r="AI284" s="198">
        <f t="shared" si="74"/>
        <v>0</v>
      </c>
      <c r="AJ284" s="198">
        <f t="shared" si="74"/>
        <v>0</v>
      </c>
      <c r="AK284" s="198">
        <f t="shared" si="74"/>
        <v>0</v>
      </c>
      <c r="AL284" s="198">
        <f t="shared" si="74"/>
        <v>0</v>
      </c>
      <c r="AM284" s="198">
        <f t="shared" si="74"/>
        <v>0</v>
      </c>
      <c r="AN284" s="198">
        <f t="shared" si="74"/>
        <v>0</v>
      </c>
      <c r="AO284" s="198">
        <f t="shared" si="74"/>
        <v>0</v>
      </c>
    </row>
    <row r="285" spans="3:43" x14ac:dyDescent="0.25">
      <c r="C285" s="73"/>
      <c r="F285" s="17" t="s">
        <v>1163</v>
      </c>
      <c r="G285" s="17" t="s">
        <v>120</v>
      </c>
      <c r="H285" s="17"/>
      <c r="I285" s="17"/>
      <c r="J285" s="200">
        <f t="shared" si="74"/>
        <v>0</v>
      </c>
      <c r="K285" s="200">
        <f t="shared" si="74"/>
        <v>0</v>
      </c>
      <c r="L285" s="200">
        <f t="shared" si="74"/>
        <v>0</v>
      </c>
      <c r="M285" s="200">
        <f t="shared" si="74"/>
        <v>0</v>
      </c>
      <c r="N285" s="200">
        <f t="shared" si="74"/>
        <v>0</v>
      </c>
      <c r="O285" s="200">
        <f t="shared" si="74"/>
        <v>0</v>
      </c>
      <c r="P285" s="200">
        <f t="shared" si="74"/>
        <v>0</v>
      </c>
      <c r="Q285" s="200">
        <f t="shared" si="74"/>
        <v>0</v>
      </c>
      <c r="R285" s="200">
        <f t="shared" si="74"/>
        <v>0</v>
      </c>
      <c r="S285" s="200">
        <f t="shared" si="74"/>
        <v>0</v>
      </c>
      <c r="T285" s="200">
        <f t="shared" si="74"/>
        <v>0</v>
      </c>
      <c r="U285" s="200">
        <f t="shared" si="74"/>
        <v>0</v>
      </c>
      <c r="V285" s="200">
        <f t="shared" si="74"/>
        <v>0</v>
      </c>
      <c r="W285" s="200">
        <f t="shared" si="74"/>
        <v>0</v>
      </c>
      <c r="X285" s="200">
        <f t="shared" si="74"/>
        <v>0</v>
      </c>
      <c r="Y285" s="200">
        <f t="shared" si="74"/>
        <v>0</v>
      </c>
      <c r="Z285" s="200">
        <f t="shared" si="74"/>
        <v>0</v>
      </c>
      <c r="AA285" s="200">
        <f t="shared" si="74"/>
        <v>0</v>
      </c>
      <c r="AB285" s="200">
        <f t="shared" si="74"/>
        <v>0</v>
      </c>
      <c r="AC285" s="200">
        <f t="shared" si="74"/>
        <v>0</v>
      </c>
      <c r="AD285" s="200">
        <f t="shared" si="74"/>
        <v>0</v>
      </c>
      <c r="AE285" s="200">
        <f t="shared" si="74"/>
        <v>0</v>
      </c>
      <c r="AF285" s="200">
        <f t="shared" si="74"/>
        <v>0</v>
      </c>
      <c r="AG285" s="200">
        <f t="shared" si="74"/>
        <v>0</v>
      </c>
      <c r="AH285" s="200">
        <f t="shared" si="74"/>
        <v>0</v>
      </c>
      <c r="AI285" s="200">
        <f t="shared" si="74"/>
        <v>0</v>
      </c>
      <c r="AJ285" s="200">
        <f t="shared" si="74"/>
        <v>0</v>
      </c>
      <c r="AK285" s="200">
        <f t="shared" si="74"/>
        <v>0</v>
      </c>
      <c r="AL285" s="200">
        <f t="shared" si="74"/>
        <v>0</v>
      </c>
      <c r="AM285" s="200">
        <f t="shared" si="74"/>
        <v>0</v>
      </c>
      <c r="AN285" s="200">
        <f t="shared" si="74"/>
        <v>0</v>
      </c>
      <c r="AO285" s="200">
        <f t="shared" si="74"/>
        <v>0</v>
      </c>
    </row>
    <row r="286" spans="3:43" x14ac:dyDescent="0.25">
      <c r="C286" s="73"/>
      <c r="E286" s="52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</row>
    <row r="287" spans="3:43" x14ac:dyDescent="0.25">
      <c r="C287" s="5" t="str">
        <f ca="1">INDEX('Version control'!$H$36:$H$62,MATCH($A$1,'Version control'!$F$36:$F$62,0),1)&amp;"-K: Revenue matching for three timebands"</f>
        <v>Section 519-K: Revenue matching for three timebands</v>
      </c>
      <c r="D287" s="5"/>
      <c r="E287" s="5"/>
      <c r="F287" s="5"/>
      <c r="G287" s="5"/>
      <c r="H287" s="5"/>
      <c r="I287" s="5"/>
      <c r="J287" s="143"/>
      <c r="K287" s="143"/>
      <c r="L287" s="143"/>
      <c r="M287" s="143"/>
      <c r="N287" s="143"/>
      <c r="O287" s="143"/>
      <c r="P287" s="143"/>
      <c r="Q287" s="143"/>
      <c r="R287" s="143"/>
      <c r="S287" s="143"/>
      <c r="T287" s="143"/>
      <c r="U287" s="143"/>
      <c r="V287" s="143"/>
      <c r="W287" s="143"/>
      <c r="X287" s="143"/>
      <c r="Y287" s="143"/>
      <c r="Z287" s="143"/>
      <c r="AA287" s="143"/>
      <c r="AB287" s="143"/>
      <c r="AC287" s="143"/>
      <c r="AD287" s="143"/>
      <c r="AE287" s="143"/>
      <c r="AF287" s="143"/>
      <c r="AG287" s="143"/>
      <c r="AH287" s="143"/>
      <c r="AI287" s="143"/>
      <c r="AJ287" s="143"/>
      <c r="AK287" s="143"/>
      <c r="AL287" s="143"/>
      <c r="AM287" s="143"/>
      <c r="AN287" s="143"/>
      <c r="AO287" s="143"/>
      <c r="AP287" s="5"/>
      <c r="AQ287" s="5"/>
    </row>
    <row r="288" spans="3:43" x14ac:dyDescent="0.25">
      <c r="C288" s="73"/>
      <c r="E288" s="52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</row>
    <row r="289" spans="3:44" x14ac:dyDescent="0.25">
      <c r="C289" s="73"/>
      <c r="D289" s="73" t="s">
        <v>1173</v>
      </c>
      <c r="E289" s="52"/>
      <c r="I289" t="s">
        <v>359</v>
      </c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Q289" t="s">
        <v>743</v>
      </c>
    </row>
    <row r="290" spans="3:44" x14ac:dyDescent="0.25">
      <c r="C290" s="73"/>
      <c r="D290" s="73" t="s">
        <v>1174</v>
      </c>
      <c r="E290" s="52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</row>
    <row r="291" spans="3:44" x14ac:dyDescent="0.25">
      <c r="C291" s="73"/>
      <c r="D291" s="73" t="s">
        <v>1175</v>
      </c>
      <c r="E291" s="52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</row>
    <row r="292" spans="3:44" x14ac:dyDescent="0.25">
      <c r="C292" s="73"/>
      <c r="E292" s="52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</row>
    <row r="293" spans="3:44" x14ac:dyDescent="0.25">
      <c r="C293" s="73"/>
      <c r="E293" s="52" t="s">
        <v>1176</v>
      </c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</row>
    <row r="294" spans="3:44" x14ac:dyDescent="0.25">
      <c r="C294" s="73"/>
      <c r="F294" t="s">
        <v>1177</v>
      </c>
      <c r="G294" t="s">
        <v>1138</v>
      </c>
      <c r="J294" s="198">
        <f t="shared" ref="J294:AO294" si="75">SUMIF($J150:$AO150,J150,$J229:$AO229)</f>
        <v>0</v>
      </c>
      <c r="K294" s="198">
        <f t="shared" si="75"/>
        <v>0</v>
      </c>
      <c r="L294" s="198">
        <f t="shared" si="75"/>
        <v>0</v>
      </c>
      <c r="M294" s="198">
        <f t="shared" si="75"/>
        <v>0</v>
      </c>
      <c r="N294" s="198">
        <f t="shared" si="75"/>
        <v>0</v>
      </c>
      <c r="O294" s="198">
        <f t="shared" si="75"/>
        <v>0</v>
      </c>
      <c r="P294" s="198">
        <f t="shared" si="75"/>
        <v>0</v>
      </c>
      <c r="Q294" s="198">
        <f t="shared" si="75"/>
        <v>0</v>
      </c>
      <c r="R294" s="198">
        <f t="shared" si="75"/>
        <v>0</v>
      </c>
      <c r="S294" s="198">
        <f t="shared" si="75"/>
        <v>0</v>
      </c>
      <c r="T294" s="198">
        <f t="shared" si="75"/>
        <v>0</v>
      </c>
      <c r="U294" s="198">
        <f t="shared" si="75"/>
        <v>0</v>
      </c>
      <c r="V294" s="198">
        <f t="shared" si="75"/>
        <v>0</v>
      </c>
      <c r="W294" s="198">
        <f t="shared" si="75"/>
        <v>0</v>
      </c>
      <c r="X294" s="198">
        <f t="shared" si="75"/>
        <v>0</v>
      </c>
      <c r="Y294" s="198">
        <f t="shared" si="75"/>
        <v>0</v>
      </c>
      <c r="Z294" s="198">
        <f t="shared" si="75"/>
        <v>0</v>
      </c>
      <c r="AA294" s="198">
        <f t="shared" si="75"/>
        <v>0</v>
      </c>
      <c r="AB294" s="198">
        <f t="shared" si="75"/>
        <v>0</v>
      </c>
      <c r="AC294" s="198">
        <f t="shared" si="75"/>
        <v>0</v>
      </c>
      <c r="AD294" s="198">
        <f t="shared" si="75"/>
        <v>0</v>
      </c>
      <c r="AE294" s="198">
        <f t="shared" si="75"/>
        <v>0</v>
      </c>
      <c r="AF294" s="198">
        <f t="shared" si="75"/>
        <v>0</v>
      </c>
      <c r="AG294" s="198">
        <f t="shared" si="75"/>
        <v>0</v>
      </c>
      <c r="AH294" s="198">
        <f t="shared" si="75"/>
        <v>0</v>
      </c>
      <c r="AI294" s="198">
        <f t="shared" si="75"/>
        <v>0</v>
      </c>
      <c r="AJ294" s="198">
        <f t="shared" si="75"/>
        <v>0</v>
      </c>
      <c r="AK294" s="198">
        <f t="shared" si="75"/>
        <v>0</v>
      </c>
      <c r="AL294" s="198">
        <f t="shared" si="75"/>
        <v>0</v>
      </c>
      <c r="AM294" s="198">
        <f t="shared" si="75"/>
        <v>0</v>
      </c>
      <c r="AN294" s="198">
        <f t="shared" si="75"/>
        <v>0</v>
      </c>
      <c r="AO294" s="198">
        <f t="shared" si="75"/>
        <v>0</v>
      </c>
    </row>
    <row r="295" spans="3:44" x14ac:dyDescent="0.25">
      <c r="C295" s="73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</row>
    <row r="296" spans="3:44" x14ac:dyDescent="0.25">
      <c r="C296" s="73"/>
      <c r="F296" t="s">
        <v>1178</v>
      </c>
      <c r="G296" t="s">
        <v>1138</v>
      </c>
      <c r="J296" s="198">
        <f t="shared" ref="J296:AO296" si="76" xml:space="preserve"> J294 * J158</f>
        <v>0</v>
      </c>
      <c r="K296" s="198">
        <f t="shared" si="76"/>
        <v>0</v>
      </c>
      <c r="L296" s="198">
        <f t="shared" si="76"/>
        <v>0</v>
      </c>
      <c r="M296" s="198">
        <f t="shared" si="76"/>
        <v>0</v>
      </c>
      <c r="N296" s="198">
        <f t="shared" si="76"/>
        <v>0</v>
      </c>
      <c r="O296" s="198">
        <f t="shared" si="76"/>
        <v>0</v>
      </c>
      <c r="P296" s="198">
        <f t="shared" si="76"/>
        <v>0</v>
      </c>
      <c r="Q296" s="198">
        <f t="shared" si="76"/>
        <v>0</v>
      </c>
      <c r="R296" s="198">
        <f t="shared" si="76"/>
        <v>0</v>
      </c>
      <c r="S296" s="198">
        <f t="shared" si="76"/>
        <v>0</v>
      </c>
      <c r="T296" s="198">
        <f t="shared" si="76"/>
        <v>0</v>
      </c>
      <c r="U296" s="198">
        <f t="shared" si="76"/>
        <v>0</v>
      </c>
      <c r="V296" s="198">
        <f t="shared" si="76"/>
        <v>0</v>
      </c>
      <c r="W296" s="198">
        <f t="shared" si="76"/>
        <v>0</v>
      </c>
      <c r="X296" s="198">
        <f t="shared" si="76"/>
        <v>0</v>
      </c>
      <c r="Y296" s="198">
        <f t="shared" si="76"/>
        <v>0</v>
      </c>
      <c r="Z296" s="198">
        <f t="shared" si="76"/>
        <v>0</v>
      </c>
      <c r="AA296" s="198">
        <f t="shared" si="76"/>
        <v>0</v>
      </c>
      <c r="AB296" s="198">
        <f t="shared" si="76"/>
        <v>0</v>
      </c>
      <c r="AC296" s="198">
        <f t="shared" si="76"/>
        <v>0</v>
      </c>
      <c r="AD296" s="198">
        <f t="shared" si="76"/>
        <v>0</v>
      </c>
      <c r="AE296" s="198">
        <f t="shared" si="76"/>
        <v>0</v>
      </c>
      <c r="AF296" s="198">
        <f t="shared" si="76"/>
        <v>0</v>
      </c>
      <c r="AG296" s="198">
        <f t="shared" si="76"/>
        <v>0</v>
      </c>
      <c r="AH296" s="198">
        <f t="shared" si="76"/>
        <v>0</v>
      </c>
      <c r="AI296" s="198">
        <f t="shared" si="76"/>
        <v>0</v>
      </c>
      <c r="AJ296" s="198">
        <f t="shared" si="76"/>
        <v>0</v>
      </c>
      <c r="AK296" s="198">
        <f t="shared" si="76"/>
        <v>0</v>
      </c>
      <c r="AL296" s="198">
        <f t="shared" si="76"/>
        <v>0</v>
      </c>
      <c r="AM296" s="198">
        <f t="shared" si="76"/>
        <v>0</v>
      </c>
      <c r="AN296" s="198">
        <f t="shared" si="76"/>
        <v>0</v>
      </c>
      <c r="AO296" s="198">
        <f t="shared" si="76"/>
        <v>0</v>
      </c>
    </row>
    <row r="297" spans="3:44" x14ac:dyDescent="0.25">
      <c r="C297" s="73"/>
      <c r="F297" s="84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</row>
    <row r="298" spans="3:44" x14ac:dyDescent="0.25">
      <c r="C298" s="73"/>
      <c r="E298" s="52" t="s">
        <v>1129</v>
      </c>
      <c r="F298" s="84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</row>
    <row r="299" spans="3:44" x14ac:dyDescent="0.25">
      <c r="C299" s="73"/>
      <c r="F299" s="450" t="s">
        <v>1179</v>
      </c>
      <c r="G299" t="s">
        <v>120</v>
      </c>
      <c r="J299" s="198">
        <f t="shared" ref="J299:AO299" si="77">SUM(J283:J285)</f>
        <v>0</v>
      </c>
      <c r="K299" s="198">
        <f t="shared" si="77"/>
        <v>0</v>
      </c>
      <c r="L299" s="198">
        <f t="shared" si="77"/>
        <v>0</v>
      </c>
      <c r="M299" s="198">
        <f t="shared" si="77"/>
        <v>0</v>
      </c>
      <c r="N299" s="198">
        <f t="shared" si="77"/>
        <v>0</v>
      </c>
      <c r="O299" s="198">
        <f t="shared" si="77"/>
        <v>0</v>
      </c>
      <c r="P299" s="198">
        <f t="shared" si="77"/>
        <v>0</v>
      </c>
      <c r="Q299" s="198">
        <f t="shared" si="77"/>
        <v>0</v>
      </c>
      <c r="R299" s="198">
        <f t="shared" si="77"/>
        <v>0</v>
      </c>
      <c r="S299" s="198">
        <f t="shared" si="77"/>
        <v>0</v>
      </c>
      <c r="T299" s="198">
        <f t="shared" si="77"/>
        <v>0</v>
      </c>
      <c r="U299" s="198">
        <f t="shared" si="77"/>
        <v>0</v>
      </c>
      <c r="V299" s="198">
        <f t="shared" si="77"/>
        <v>0</v>
      </c>
      <c r="W299" s="198">
        <f t="shared" si="77"/>
        <v>0</v>
      </c>
      <c r="X299" s="198">
        <f t="shared" si="77"/>
        <v>0</v>
      </c>
      <c r="Y299" s="198">
        <f t="shared" si="77"/>
        <v>0</v>
      </c>
      <c r="Z299" s="198">
        <f t="shared" si="77"/>
        <v>0</v>
      </c>
      <c r="AA299" s="198">
        <f t="shared" si="77"/>
        <v>0</v>
      </c>
      <c r="AB299" s="198">
        <f t="shared" si="77"/>
        <v>0</v>
      </c>
      <c r="AC299" s="198">
        <f t="shared" si="77"/>
        <v>0</v>
      </c>
      <c r="AD299" s="198">
        <f t="shared" si="77"/>
        <v>0</v>
      </c>
      <c r="AE299" s="198">
        <f t="shared" si="77"/>
        <v>0</v>
      </c>
      <c r="AF299" s="198">
        <f t="shared" si="77"/>
        <v>0</v>
      </c>
      <c r="AG299" s="198">
        <f t="shared" si="77"/>
        <v>0</v>
      </c>
      <c r="AH299" s="198">
        <f t="shared" si="77"/>
        <v>0</v>
      </c>
      <c r="AI299" s="198">
        <f t="shared" si="77"/>
        <v>0</v>
      </c>
      <c r="AJ299" s="198">
        <f t="shared" si="77"/>
        <v>0</v>
      </c>
      <c r="AK299" s="198">
        <f t="shared" si="77"/>
        <v>0</v>
      </c>
      <c r="AL299" s="198">
        <f t="shared" si="77"/>
        <v>0</v>
      </c>
      <c r="AM299" s="198">
        <f t="shared" si="77"/>
        <v>0</v>
      </c>
      <c r="AN299" s="198">
        <f t="shared" si="77"/>
        <v>0</v>
      </c>
      <c r="AO299" s="198">
        <f t="shared" si="77"/>
        <v>0</v>
      </c>
    </row>
    <row r="300" spans="3:44" x14ac:dyDescent="0.25">
      <c r="C300" s="73"/>
      <c r="F300" s="84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</row>
    <row r="301" spans="3:44" x14ac:dyDescent="0.25">
      <c r="C301" s="73"/>
      <c r="F301" t="s">
        <v>1133</v>
      </c>
      <c r="G301" t="s">
        <v>120</v>
      </c>
      <c r="J301" s="198">
        <f t="shared" ref="J301:AO301" si="78">SUMIF($J150:$AO150,J150,$J299:$AOJ299)</f>
        <v>0</v>
      </c>
      <c r="K301" s="198">
        <f t="shared" si="78"/>
        <v>0</v>
      </c>
      <c r="L301" s="198">
        <f t="shared" si="78"/>
        <v>0</v>
      </c>
      <c r="M301" s="198">
        <f t="shared" si="78"/>
        <v>0</v>
      </c>
      <c r="N301" s="198">
        <f t="shared" si="78"/>
        <v>0</v>
      </c>
      <c r="O301" s="198">
        <f t="shared" si="78"/>
        <v>0</v>
      </c>
      <c r="P301" s="198">
        <f t="shared" si="78"/>
        <v>0</v>
      </c>
      <c r="Q301" s="198">
        <f t="shared" si="78"/>
        <v>0</v>
      </c>
      <c r="R301" s="198">
        <f t="shared" si="78"/>
        <v>0</v>
      </c>
      <c r="S301" s="198">
        <f t="shared" si="78"/>
        <v>0</v>
      </c>
      <c r="T301" s="198">
        <f t="shared" si="78"/>
        <v>0</v>
      </c>
      <c r="U301" s="198">
        <f t="shared" si="78"/>
        <v>0</v>
      </c>
      <c r="V301" s="198">
        <f t="shared" si="78"/>
        <v>0</v>
      </c>
      <c r="W301" s="198">
        <f t="shared" si="78"/>
        <v>0</v>
      </c>
      <c r="X301" s="198">
        <f t="shared" si="78"/>
        <v>0</v>
      </c>
      <c r="Y301" s="198">
        <f t="shared" si="78"/>
        <v>0</v>
      </c>
      <c r="Z301" s="198">
        <f t="shared" si="78"/>
        <v>0</v>
      </c>
      <c r="AA301" s="198">
        <f t="shared" si="78"/>
        <v>0</v>
      </c>
      <c r="AB301" s="198">
        <f t="shared" si="78"/>
        <v>0</v>
      </c>
      <c r="AC301" s="198">
        <f t="shared" si="78"/>
        <v>0</v>
      </c>
      <c r="AD301" s="198">
        <f t="shared" si="78"/>
        <v>0</v>
      </c>
      <c r="AE301" s="198">
        <f t="shared" si="78"/>
        <v>0</v>
      </c>
      <c r="AF301" s="198">
        <f t="shared" si="78"/>
        <v>0</v>
      </c>
      <c r="AG301" s="198">
        <f t="shared" si="78"/>
        <v>0</v>
      </c>
      <c r="AH301" s="198">
        <f t="shared" si="78"/>
        <v>0</v>
      </c>
      <c r="AI301" s="198">
        <f t="shared" si="78"/>
        <v>0</v>
      </c>
      <c r="AJ301" s="198">
        <f t="shared" si="78"/>
        <v>0</v>
      </c>
      <c r="AK301" s="198">
        <f t="shared" si="78"/>
        <v>0</v>
      </c>
      <c r="AL301" s="198">
        <f t="shared" si="78"/>
        <v>0</v>
      </c>
      <c r="AM301" s="198">
        <f t="shared" si="78"/>
        <v>0</v>
      </c>
      <c r="AN301" s="198">
        <f t="shared" si="78"/>
        <v>0</v>
      </c>
      <c r="AO301" s="198">
        <f t="shared" si="78"/>
        <v>0</v>
      </c>
    </row>
    <row r="302" spans="3:44" x14ac:dyDescent="0.25">
      <c r="C302" s="73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</row>
    <row r="303" spans="3:44" x14ac:dyDescent="0.25">
      <c r="C303" s="73"/>
      <c r="F303" t="s">
        <v>1134</v>
      </c>
      <c r="G303" t="s">
        <v>120</v>
      </c>
      <c r="J303" s="198">
        <f t="shared" ref="J303:AO303" si="79" xml:space="preserve"> J301 * J158</f>
        <v>0</v>
      </c>
      <c r="K303" s="198">
        <f t="shared" si="79"/>
        <v>0</v>
      </c>
      <c r="L303" s="198">
        <f t="shared" si="79"/>
        <v>0</v>
      </c>
      <c r="M303" s="198">
        <f t="shared" si="79"/>
        <v>0</v>
      </c>
      <c r="N303" s="198">
        <f t="shared" si="79"/>
        <v>0</v>
      </c>
      <c r="O303" s="198">
        <f t="shared" si="79"/>
        <v>0</v>
      </c>
      <c r="P303" s="198">
        <f t="shared" si="79"/>
        <v>0</v>
      </c>
      <c r="Q303" s="198">
        <f t="shared" si="79"/>
        <v>0</v>
      </c>
      <c r="R303" s="198">
        <f t="shared" si="79"/>
        <v>0</v>
      </c>
      <c r="S303" s="198">
        <f t="shared" si="79"/>
        <v>0</v>
      </c>
      <c r="T303" s="198">
        <f t="shared" si="79"/>
        <v>0</v>
      </c>
      <c r="U303" s="198">
        <f t="shared" si="79"/>
        <v>0</v>
      </c>
      <c r="V303" s="198">
        <f t="shared" si="79"/>
        <v>0</v>
      </c>
      <c r="W303" s="198">
        <f t="shared" si="79"/>
        <v>0</v>
      </c>
      <c r="X303" s="198">
        <f t="shared" si="79"/>
        <v>0</v>
      </c>
      <c r="Y303" s="198">
        <f t="shared" si="79"/>
        <v>0</v>
      </c>
      <c r="Z303" s="198">
        <f t="shared" si="79"/>
        <v>0</v>
      </c>
      <c r="AA303" s="198">
        <f t="shared" si="79"/>
        <v>0</v>
      </c>
      <c r="AB303" s="198">
        <f t="shared" si="79"/>
        <v>0</v>
      </c>
      <c r="AC303" s="198">
        <f t="shared" si="79"/>
        <v>0</v>
      </c>
      <c r="AD303" s="198">
        <f t="shared" si="79"/>
        <v>0</v>
      </c>
      <c r="AE303" s="198">
        <f t="shared" si="79"/>
        <v>0</v>
      </c>
      <c r="AF303" s="198">
        <f t="shared" si="79"/>
        <v>0</v>
      </c>
      <c r="AG303" s="198">
        <f t="shared" si="79"/>
        <v>0</v>
      </c>
      <c r="AH303" s="198">
        <f t="shared" si="79"/>
        <v>0</v>
      </c>
      <c r="AI303" s="198">
        <f t="shared" si="79"/>
        <v>0</v>
      </c>
      <c r="AJ303" s="198">
        <f t="shared" si="79"/>
        <v>0</v>
      </c>
      <c r="AK303" s="198">
        <f t="shared" si="79"/>
        <v>0</v>
      </c>
      <c r="AL303" s="198">
        <f t="shared" si="79"/>
        <v>0</v>
      </c>
      <c r="AM303" s="198">
        <f t="shared" si="79"/>
        <v>0</v>
      </c>
      <c r="AN303" s="198">
        <f t="shared" si="79"/>
        <v>0</v>
      </c>
      <c r="AO303" s="198">
        <f t="shared" si="79"/>
        <v>0</v>
      </c>
      <c r="AP303" s="59"/>
      <c r="AQ303" s="59"/>
      <c r="AR303" s="59"/>
    </row>
    <row r="304" spans="3:44" x14ac:dyDescent="0.25">
      <c r="C304" s="73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</row>
    <row r="305" spans="3:43" x14ac:dyDescent="0.25">
      <c r="C305" s="73"/>
      <c r="E305" s="12" t="s">
        <v>1180</v>
      </c>
      <c r="G305" t="s">
        <v>183</v>
      </c>
      <c r="J305" s="388">
        <f t="shared" ref="J305:AO305" si="80">IF( J299&lt;&gt;0, J296/J303, 0)*hundred/thousand</f>
        <v>0</v>
      </c>
      <c r="K305" s="388">
        <f t="shared" si="80"/>
        <v>0</v>
      </c>
      <c r="L305" s="388">
        <f t="shared" si="80"/>
        <v>0</v>
      </c>
      <c r="M305" s="388">
        <f t="shared" si="80"/>
        <v>0</v>
      </c>
      <c r="N305" s="388">
        <f t="shared" si="80"/>
        <v>0</v>
      </c>
      <c r="O305" s="388">
        <f t="shared" si="80"/>
        <v>0</v>
      </c>
      <c r="P305" s="388">
        <f t="shared" si="80"/>
        <v>0</v>
      </c>
      <c r="Q305" s="388">
        <f t="shared" si="80"/>
        <v>0</v>
      </c>
      <c r="R305" s="388">
        <f t="shared" si="80"/>
        <v>0</v>
      </c>
      <c r="S305" s="388">
        <f t="shared" si="80"/>
        <v>0</v>
      </c>
      <c r="T305" s="388">
        <f t="shared" si="80"/>
        <v>0</v>
      </c>
      <c r="U305" s="388">
        <f t="shared" si="80"/>
        <v>0</v>
      </c>
      <c r="V305" s="388">
        <f t="shared" si="80"/>
        <v>0</v>
      </c>
      <c r="W305" s="388">
        <f t="shared" si="80"/>
        <v>0</v>
      </c>
      <c r="X305" s="388">
        <f t="shared" si="80"/>
        <v>0</v>
      </c>
      <c r="Y305" s="388">
        <f t="shared" si="80"/>
        <v>0</v>
      </c>
      <c r="Z305" s="388">
        <f t="shared" si="80"/>
        <v>0</v>
      </c>
      <c r="AA305" s="388">
        <f t="shared" si="80"/>
        <v>0</v>
      </c>
      <c r="AB305" s="388">
        <f t="shared" si="80"/>
        <v>0</v>
      </c>
      <c r="AC305" s="388">
        <f t="shared" si="80"/>
        <v>0</v>
      </c>
      <c r="AD305" s="388">
        <f t="shared" si="80"/>
        <v>0</v>
      </c>
      <c r="AE305" s="388">
        <f t="shared" si="80"/>
        <v>0</v>
      </c>
      <c r="AF305" s="388">
        <f t="shared" si="80"/>
        <v>0</v>
      </c>
      <c r="AG305" s="388">
        <f t="shared" si="80"/>
        <v>0</v>
      </c>
      <c r="AH305" s="388">
        <f t="shared" si="80"/>
        <v>0</v>
      </c>
      <c r="AI305" s="388">
        <f t="shared" si="80"/>
        <v>0</v>
      </c>
      <c r="AJ305" s="388">
        <f t="shared" si="80"/>
        <v>0</v>
      </c>
      <c r="AK305" s="388">
        <f t="shared" si="80"/>
        <v>0</v>
      </c>
      <c r="AL305" s="388">
        <f t="shared" si="80"/>
        <v>0</v>
      </c>
      <c r="AM305" s="388">
        <f t="shared" si="80"/>
        <v>0</v>
      </c>
      <c r="AN305" s="388">
        <f t="shared" si="80"/>
        <v>0</v>
      </c>
      <c r="AO305" s="388">
        <f t="shared" si="80"/>
        <v>0</v>
      </c>
    </row>
    <row r="306" spans="3:43" x14ac:dyDescent="0.25">
      <c r="C306" s="73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</row>
    <row r="307" spans="3:43" x14ac:dyDescent="0.25">
      <c r="C307" s="73"/>
      <c r="E307" s="52" t="s">
        <v>1181</v>
      </c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</row>
    <row r="308" spans="3:43" x14ac:dyDescent="0.25">
      <c r="C308" s="73"/>
      <c r="F308" s="80" t="s">
        <v>1161</v>
      </c>
      <c r="G308" s="80" t="s">
        <v>1023</v>
      </c>
      <c r="H308" s="80"/>
      <c r="I308" s="80"/>
      <c r="J308" s="94" t="b">
        <f t="shared" ref="J308:AO308" si="81">IF(J$32, - J263+J$305&gt;=0, TRUE)</f>
        <v>1</v>
      </c>
      <c r="K308" s="94" t="b">
        <f t="shared" si="81"/>
        <v>1</v>
      </c>
      <c r="L308" s="94" t="b">
        <f t="shared" si="81"/>
        <v>1</v>
      </c>
      <c r="M308" s="94" t="b">
        <f t="shared" si="81"/>
        <v>1</v>
      </c>
      <c r="N308" s="94" t="b">
        <f t="shared" si="81"/>
        <v>1</v>
      </c>
      <c r="O308" s="94" t="b">
        <f t="shared" si="81"/>
        <v>1</v>
      </c>
      <c r="P308" s="94" t="b">
        <f t="shared" si="81"/>
        <v>1</v>
      </c>
      <c r="Q308" s="94" t="b">
        <f t="shared" si="81"/>
        <v>1</v>
      </c>
      <c r="R308" s="94" t="b">
        <f t="shared" si="81"/>
        <v>1</v>
      </c>
      <c r="S308" s="94" t="b">
        <f t="shared" si="81"/>
        <v>1</v>
      </c>
      <c r="T308" s="94" t="b">
        <f t="shared" si="81"/>
        <v>1</v>
      </c>
      <c r="U308" s="94" t="b">
        <f t="shared" si="81"/>
        <v>1</v>
      </c>
      <c r="V308" s="94" t="b">
        <f t="shared" si="81"/>
        <v>1</v>
      </c>
      <c r="W308" s="94" t="b">
        <f t="shared" si="81"/>
        <v>1</v>
      </c>
      <c r="X308" s="94" t="b">
        <f t="shared" si="81"/>
        <v>1</v>
      </c>
      <c r="Y308" s="94" t="b">
        <f t="shared" si="81"/>
        <v>1</v>
      </c>
      <c r="Z308" s="94" t="b">
        <f t="shared" si="81"/>
        <v>1</v>
      </c>
      <c r="AA308" s="94" t="b">
        <f t="shared" si="81"/>
        <v>1</v>
      </c>
      <c r="AB308" s="94" t="b">
        <f t="shared" si="81"/>
        <v>1</v>
      </c>
      <c r="AC308" s="94" t="b">
        <f t="shared" si="81"/>
        <v>1</v>
      </c>
      <c r="AD308" s="94" t="b">
        <f t="shared" si="81"/>
        <v>1</v>
      </c>
      <c r="AE308" s="94" t="b">
        <f t="shared" si="81"/>
        <v>1</v>
      </c>
      <c r="AF308" s="94" t="b">
        <f t="shared" si="81"/>
        <v>1</v>
      </c>
      <c r="AG308" s="94" t="b">
        <f t="shared" si="81"/>
        <v>1</v>
      </c>
      <c r="AH308" s="94" t="b">
        <f t="shared" si="81"/>
        <v>1</v>
      </c>
      <c r="AI308" s="94" t="b">
        <f t="shared" si="81"/>
        <v>1</v>
      </c>
      <c r="AJ308" s="94" t="b">
        <f t="shared" si="81"/>
        <v>1</v>
      </c>
      <c r="AK308" s="94" t="b">
        <f t="shared" si="81"/>
        <v>1</v>
      </c>
      <c r="AL308" s="94" t="b">
        <f t="shared" si="81"/>
        <v>1</v>
      </c>
      <c r="AM308" s="94" t="b">
        <f t="shared" si="81"/>
        <v>1</v>
      </c>
      <c r="AN308" s="94" t="b">
        <f t="shared" si="81"/>
        <v>1</v>
      </c>
      <c r="AO308" s="94" t="b">
        <f t="shared" si="81"/>
        <v>1</v>
      </c>
    </row>
    <row r="309" spans="3:43" x14ac:dyDescent="0.25">
      <c r="C309" s="73"/>
      <c r="F309" t="s">
        <v>1162</v>
      </c>
      <c r="G309" t="s">
        <v>1023</v>
      </c>
      <c r="J309" s="59" t="b">
        <f t="shared" ref="J309:AO309" si="82">IF(J$32, - J264+J$305&gt;=0, TRUE)</f>
        <v>1</v>
      </c>
      <c r="K309" s="59" t="b">
        <f t="shared" si="82"/>
        <v>1</v>
      </c>
      <c r="L309" s="59" t="b">
        <f t="shared" si="82"/>
        <v>1</v>
      </c>
      <c r="M309" s="59" t="b">
        <f t="shared" si="82"/>
        <v>1</v>
      </c>
      <c r="N309" s="59" t="b">
        <f t="shared" si="82"/>
        <v>1</v>
      </c>
      <c r="O309" s="59" t="b">
        <f t="shared" si="82"/>
        <v>1</v>
      </c>
      <c r="P309" s="59" t="b">
        <f t="shared" si="82"/>
        <v>1</v>
      </c>
      <c r="Q309" s="59" t="b">
        <f t="shared" si="82"/>
        <v>1</v>
      </c>
      <c r="R309" s="59" t="b">
        <f t="shared" si="82"/>
        <v>1</v>
      </c>
      <c r="S309" s="59" t="b">
        <f t="shared" si="82"/>
        <v>1</v>
      </c>
      <c r="T309" s="59" t="b">
        <f t="shared" si="82"/>
        <v>1</v>
      </c>
      <c r="U309" s="59" t="b">
        <f t="shared" si="82"/>
        <v>1</v>
      </c>
      <c r="V309" s="59" t="b">
        <f t="shared" si="82"/>
        <v>1</v>
      </c>
      <c r="W309" s="59" t="b">
        <f t="shared" si="82"/>
        <v>1</v>
      </c>
      <c r="X309" s="59" t="b">
        <f t="shared" si="82"/>
        <v>1</v>
      </c>
      <c r="Y309" s="59" t="b">
        <f t="shared" si="82"/>
        <v>1</v>
      </c>
      <c r="Z309" s="59" t="b">
        <f t="shared" si="82"/>
        <v>1</v>
      </c>
      <c r="AA309" s="59" t="b">
        <f t="shared" si="82"/>
        <v>1</v>
      </c>
      <c r="AB309" s="59" t="b">
        <f t="shared" si="82"/>
        <v>1</v>
      </c>
      <c r="AC309" s="59" t="b">
        <f t="shared" si="82"/>
        <v>1</v>
      </c>
      <c r="AD309" s="59" t="b">
        <f t="shared" si="82"/>
        <v>1</v>
      </c>
      <c r="AE309" s="59" t="b">
        <f t="shared" si="82"/>
        <v>1</v>
      </c>
      <c r="AF309" s="59" t="b">
        <f t="shared" si="82"/>
        <v>1</v>
      </c>
      <c r="AG309" s="59" t="b">
        <f t="shared" si="82"/>
        <v>1</v>
      </c>
      <c r="AH309" s="59" t="b">
        <f t="shared" si="82"/>
        <v>1</v>
      </c>
      <c r="AI309" s="59" t="b">
        <f t="shared" si="82"/>
        <v>1</v>
      </c>
      <c r="AJ309" s="59" t="b">
        <f t="shared" si="82"/>
        <v>1</v>
      </c>
      <c r="AK309" s="59" t="b">
        <f t="shared" si="82"/>
        <v>1</v>
      </c>
      <c r="AL309" s="59" t="b">
        <f t="shared" si="82"/>
        <v>1</v>
      </c>
      <c r="AM309" s="59" t="b">
        <f t="shared" si="82"/>
        <v>1</v>
      </c>
      <c r="AN309" s="59" t="b">
        <f t="shared" si="82"/>
        <v>1</v>
      </c>
      <c r="AO309" s="59" t="b">
        <f t="shared" si="82"/>
        <v>1</v>
      </c>
    </row>
    <row r="310" spans="3:43" x14ac:dyDescent="0.25">
      <c r="C310" s="73"/>
      <c r="F310" s="17" t="s">
        <v>1163</v>
      </c>
      <c r="G310" s="17" t="s">
        <v>1023</v>
      </c>
      <c r="H310" s="17"/>
      <c r="I310" s="17"/>
      <c r="J310" s="122" t="b">
        <f t="shared" ref="J310:AO310" si="83">IF(J$32, - J265+J$305&gt;=0, TRUE)</f>
        <v>1</v>
      </c>
      <c r="K310" s="122" t="b">
        <f t="shared" si="83"/>
        <v>1</v>
      </c>
      <c r="L310" s="122" t="b">
        <f t="shared" si="83"/>
        <v>1</v>
      </c>
      <c r="M310" s="122" t="b">
        <f t="shared" si="83"/>
        <v>1</v>
      </c>
      <c r="N310" s="122" t="b">
        <f t="shared" si="83"/>
        <v>1</v>
      </c>
      <c r="O310" s="122" t="b">
        <f t="shared" si="83"/>
        <v>1</v>
      </c>
      <c r="P310" s="122" t="b">
        <f t="shared" si="83"/>
        <v>1</v>
      </c>
      <c r="Q310" s="122" t="b">
        <f t="shared" si="83"/>
        <v>1</v>
      </c>
      <c r="R310" s="122" t="b">
        <f t="shared" si="83"/>
        <v>1</v>
      </c>
      <c r="S310" s="122" t="b">
        <f t="shared" si="83"/>
        <v>1</v>
      </c>
      <c r="T310" s="122" t="b">
        <f t="shared" si="83"/>
        <v>1</v>
      </c>
      <c r="U310" s="122" t="b">
        <f t="shared" si="83"/>
        <v>1</v>
      </c>
      <c r="V310" s="122" t="b">
        <f t="shared" si="83"/>
        <v>1</v>
      </c>
      <c r="W310" s="122" t="b">
        <f t="shared" si="83"/>
        <v>1</v>
      </c>
      <c r="X310" s="122" t="b">
        <f t="shared" si="83"/>
        <v>1</v>
      </c>
      <c r="Y310" s="122" t="b">
        <f t="shared" si="83"/>
        <v>1</v>
      </c>
      <c r="Z310" s="122" t="b">
        <f t="shared" si="83"/>
        <v>1</v>
      </c>
      <c r="AA310" s="122" t="b">
        <f t="shared" si="83"/>
        <v>1</v>
      </c>
      <c r="AB310" s="122" t="b">
        <f t="shared" si="83"/>
        <v>1</v>
      </c>
      <c r="AC310" s="122" t="b">
        <f t="shared" si="83"/>
        <v>1</v>
      </c>
      <c r="AD310" s="122" t="b">
        <f t="shared" si="83"/>
        <v>1</v>
      </c>
      <c r="AE310" s="122" t="b">
        <f t="shared" si="83"/>
        <v>1</v>
      </c>
      <c r="AF310" s="122" t="b">
        <f t="shared" si="83"/>
        <v>1</v>
      </c>
      <c r="AG310" s="122" t="b">
        <f t="shared" si="83"/>
        <v>1</v>
      </c>
      <c r="AH310" s="122" t="b">
        <f t="shared" si="83"/>
        <v>1</v>
      </c>
      <c r="AI310" s="122" t="b">
        <f t="shared" si="83"/>
        <v>1</v>
      </c>
      <c r="AJ310" s="122" t="b">
        <f t="shared" si="83"/>
        <v>1</v>
      </c>
      <c r="AK310" s="122" t="b">
        <f t="shared" si="83"/>
        <v>1</v>
      </c>
      <c r="AL310" s="122" t="b">
        <f t="shared" si="83"/>
        <v>1</v>
      </c>
      <c r="AM310" s="122" t="b">
        <f t="shared" si="83"/>
        <v>1</v>
      </c>
      <c r="AN310" s="122" t="b">
        <f t="shared" si="83"/>
        <v>1</v>
      </c>
      <c r="AO310" s="122" t="b">
        <f t="shared" si="83"/>
        <v>1</v>
      </c>
    </row>
    <row r="311" spans="3:43" x14ac:dyDescent="0.25">
      <c r="C311" s="73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</row>
    <row r="312" spans="3:43" x14ac:dyDescent="0.25">
      <c r="C312" s="73"/>
      <c r="E312" t="s">
        <v>1182</v>
      </c>
      <c r="G312" t="s">
        <v>1023</v>
      </c>
      <c r="J312" s="59" t="b">
        <f>COUNTIF(J308:J310,TRUE)=3</f>
        <v>1</v>
      </c>
      <c r="K312" s="59" t="b">
        <f t="shared" ref="K312:AO312" si="84">COUNTIF(K308:K310,TRUE)=3</f>
        <v>1</v>
      </c>
      <c r="L312" s="59" t="b">
        <f t="shared" si="84"/>
        <v>1</v>
      </c>
      <c r="M312" s="59" t="b">
        <f t="shared" si="84"/>
        <v>1</v>
      </c>
      <c r="N312" s="59" t="b">
        <f t="shared" si="84"/>
        <v>1</v>
      </c>
      <c r="O312" s="59" t="b">
        <f t="shared" si="84"/>
        <v>1</v>
      </c>
      <c r="P312" s="59" t="b">
        <f t="shared" si="84"/>
        <v>1</v>
      </c>
      <c r="Q312" s="59" t="b">
        <f t="shared" si="84"/>
        <v>1</v>
      </c>
      <c r="R312" s="59" t="b">
        <f t="shared" si="84"/>
        <v>1</v>
      </c>
      <c r="S312" s="59" t="b">
        <f t="shared" si="84"/>
        <v>1</v>
      </c>
      <c r="T312" s="59" t="b">
        <f t="shared" si="84"/>
        <v>1</v>
      </c>
      <c r="U312" s="59" t="b">
        <f t="shared" si="84"/>
        <v>1</v>
      </c>
      <c r="V312" s="59" t="b">
        <f t="shared" si="84"/>
        <v>1</v>
      </c>
      <c r="W312" s="59" t="b">
        <f t="shared" si="84"/>
        <v>1</v>
      </c>
      <c r="X312" s="59" t="b">
        <f t="shared" si="84"/>
        <v>1</v>
      </c>
      <c r="Y312" s="59" t="b">
        <f t="shared" si="84"/>
        <v>1</v>
      </c>
      <c r="Z312" s="59" t="b">
        <f t="shared" si="84"/>
        <v>1</v>
      </c>
      <c r="AA312" s="59" t="b">
        <f t="shared" si="84"/>
        <v>1</v>
      </c>
      <c r="AB312" s="59" t="b">
        <f t="shared" si="84"/>
        <v>1</v>
      </c>
      <c r="AC312" s="59" t="b">
        <f t="shared" si="84"/>
        <v>1</v>
      </c>
      <c r="AD312" s="59" t="b">
        <f t="shared" si="84"/>
        <v>1</v>
      </c>
      <c r="AE312" s="59" t="b">
        <f t="shared" si="84"/>
        <v>1</v>
      </c>
      <c r="AF312" s="59" t="b">
        <f t="shared" si="84"/>
        <v>1</v>
      </c>
      <c r="AG312" s="59" t="b">
        <f t="shared" si="84"/>
        <v>1</v>
      </c>
      <c r="AH312" s="59" t="b">
        <f t="shared" si="84"/>
        <v>1</v>
      </c>
      <c r="AI312" s="59" t="b">
        <f t="shared" si="84"/>
        <v>1</v>
      </c>
      <c r="AJ312" s="59" t="b">
        <f t="shared" si="84"/>
        <v>1</v>
      </c>
      <c r="AK312" s="59" t="b">
        <f t="shared" si="84"/>
        <v>1</v>
      </c>
      <c r="AL312" s="59" t="b">
        <f t="shared" si="84"/>
        <v>1</v>
      </c>
      <c r="AM312" s="59" t="b">
        <f t="shared" si="84"/>
        <v>1</v>
      </c>
      <c r="AN312" s="59" t="b">
        <f t="shared" si="84"/>
        <v>1</v>
      </c>
      <c r="AO312" s="59" t="b">
        <f t="shared" si="84"/>
        <v>1</v>
      </c>
    </row>
    <row r="313" spans="3:43" x14ac:dyDescent="0.25">
      <c r="C313" s="73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</row>
    <row r="314" spans="3:43" x14ac:dyDescent="0.25">
      <c r="C314" s="5" t="str">
        <f ca="1">INDEX('Version control'!$H$36:$H$62,MATCH($A$1,'Version control'!$F$36:$F$62,0),1)&amp;"-L: Revenue matching for two timebands"</f>
        <v>Section 519-L: Revenue matching for two timebands</v>
      </c>
      <c r="D314" s="5"/>
      <c r="E314" s="5"/>
      <c r="F314" s="5"/>
      <c r="G314" s="5"/>
      <c r="H314" s="5"/>
      <c r="I314" s="5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3"/>
      <c r="Y314" s="143"/>
      <c r="Z314" s="143"/>
      <c r="AA314" s="143"/>
      <c r="AB314" s="143"/>
      <c r="AC314" s="143"/>
      <c r="AD314" s="143"/>
      <c r="AE314" s="143"/>
      <c r="AF314" s="143"/>
      <c r="AG314" s="143"/>
      <c r="AH314" s="143"/>
      <c r="AI314" s="143"/>
      <c r="AJ314" s="143"/>
      <c r="AK314" s="143"/>
      <c r="AL314" s="143"/>
      <c r="AM314" s="143"/>
      <c r="AN314" s="143"/>
      <c r="AO314" s="143"/>
      <c r="AP314" s="5"/>
      <c r="AQ314" s="5"/>
    </row>
    <row r="315" spans="3:43" x14ac:dyDescent="0.25">
      <c r="C315" s="73"/>
      <c r="E315" s="52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</row>
    <row r="316" spans="3:43" x14ac:dyDescent="0.25">
      <c r="C316" s="73"/>
      <c r="D316" s="73" t="s">
        <v>1240</v>
      </c>
      <c r="E316" s="52"/>
      <c r="I316" t="s">
        <v>359</v>
      </c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Q316" t="s">
        <v>743</v>
      </c>
    </row>
    <row r="317" spans="3:43" x14ac:dyDescent="0.25">
      <c r="C317" s="73"/>
      <c r="D317" s="73" t="s">
        <v>1183</v>
      </c>
      <c r="E317" s="52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</row>
    <row r="318" spans="3:43" x14ac:dyDescent="0.25">
      <c r="C318" s="73"/>
      <c r="D318" s="73" t="s">
        <v>1184</v>
      </c>
      <c r="E318" s="52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</row>
    <row r="319" spans="3:43" x14ac:dyDescent="0.25">
      <c r="C319" s="73"/>
      <c r="D319" s="73" t="s">
        <v>1185</v>
      </c>
      <c r="E319" s="52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</row>
    <row r="320" spans="3:43" x14ac:dyDescent="0.25">
      <c r="C320" s="73"/>
      <c r="E320" s="52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</row>
    <row r="321" spans="3:44" x14ac:dyDescent="0.25">
      <c r="C321" s="73"/>
      <c r="E321" s="52" t="s">
        <v>1186</v>
      </c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</row>
    <row r="322" spans="3:44" x14ac:dyDescent="0.25">
      <c r="C322" s="73"/>
      <c r="F322" s="320" t="s">
        <v>1187</v>
      </c>
      <c r="G322" t="s">
        <v>1138</v>
      </c>
      <c r="J322" s="198">
        <f t="shared" ref="J322:AO322" si="85">J263*J283*thousand/hundred</f>
        <v>0</v>
      </c>
      <c r="K322" s="198">
        <f t="shared" si="85"/>
        <v>0</v>
      </c>
      <c r="L322" s="198">
        <f t="shared" si="85"/>
        <v>0</v>
      </c>
      <c r="M322" s="198">
        <f t="shared" si="85"/>
        <v>0</v>
      </c>
      <c r="N322" s="198">
        <f t="shared" si="85"/>
        <v>0</v>
      </c>
      <c r="O322" s="198">
        <f t="shared" si="85"/>
        <v>0</v>
      </c>
      <c r="P322" s="198">
        <f t="shared" si="85"/>
        <v>0</v>
      </c>
      <c r="Q322" s="198">
        <f t="shared" si="85"/>
        <v>0</v>
      </c>
      <c r="R322" s="198">
        <f t="shared" si="85"/>
        <v>0</v>
      </c>
      <c r="S322" s="198">
        <f t="shared" si="85"/>
        <v>0</v>
      </c>
      <c r="T322" s="198">
        <f t="shared" si="85"/>
        <v>0</v>
      </c>
      <c r="U322" s="198">
        <f t="shared" si="85"/>
        <v>0</v>
      </c>
      <c r="V322" s="198">
        <f t="shared" si="85"/>
        <v>0</v>
      </c>
      <c r="W322" s="198">
        <f t="shared" si="85"/>
        <v>0</v>
      </c>
      <c r="X322" s="198">
        <f t="shared" si="85"/>
        <v>0</v>
      </c>
      <c r="Y322" s="198">
        <f t="shared" si="85"/>
        <v>0</v>
      </c>
      <c r="Z322" s="198">
        <f t="shared" si="85"/>
        <v>0</v>
      </c>
      <c r="AA322" s="198">
        <f t="shared" si="85"/>
        <v>0</v>
      </c>
      <c r="AB322" s="198">
        <f t="shared" si="85"/>
        <v>0</v>
      </c>
      <c r="AC322" s="198">
        <f t="shared" si="85"/>
        <v>0</v>
      </c>
      <c r="AD322" s="198">
        <f t="shared" si="85"/>
        <v>0</v>
      </c>
      <c r="AE322" s="198">
        <f t="shared" si="85"/>
        <v>0</v>
      </c>
      <c r="AF322" s="198">
        <f t="shared" si="85"/>
        <v>0</v>
      </c>
      <c r="AG322" s="198">
        <f t="shared" si="85"/>
        <v>0</v>
      </c>
      <c r="AH322" s="198">
        <f t="shared" si="85"/>
        <v>0</v>
      </c>
      <c r="AI322" s="198">
        <f t="shared" si="85"/>
        <v>0</v>
      </c>
      <c r="AJ322" s="198">
        <f t="shared" si="85"/>
        <v>0</v>
      </c>
      <c r="AK322" s="198">
        <f t="shared" si="85"/>
        <v>0</v>
      </c>
      <c r="AL322" s="198">
        <f t="shared" si="85"/>
        <v>0</v>
      </c>
      <c r="AM322" s="198">
        <f t="shared" si="85"/>
        <v>0</v>
      </c>
      <c r="AN322" s="198">
        <f t="shared" si="85"/>
        <v>0</v>
      </c>
      <c r="AO322" s="198">
        <f t="shared" si="85"/>
        <v>0</v>
      </c>
    </row>
    <row r="323" spans="3:44" x14ac:dyDescent="0.25">
      <c r="C323" s="73"/>
      <c r="F323" s="52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</row>
    <row r="324" spans="3:44" x14ac:dyDescent="0.25">
      <c r="C324" s="73"/>
      <c r="F324" s="453" t="s">
        <v>1188</v>
      </c>
      <c r="G324" t="s">
        <v>1138</v>
      </c>
      <c r="J324" s="198">
        <f t="shared" ref="J324:AO324" si="86">J229 - J322</f>
        <v>0</v>
      </c>
      <c r="K324" s="198">
        <f t="shared" si="86"/>
        <v>0</v>
      </c>
      <c r="L324" s="198">
        <f t="shared" si="86"/>
        <v>0</v>
      </c>
      <c r="M324" s="198">
        <f t="shared" si="86"/>
        <v>0</v>
      </c>
      <c r="N324" s="198">
        <f t="shared" si="86"/>
        <v>0</v>
      </c>
      <c r="O324" s="198">
        <f t="shared" si="86"/>
        <v>0</v>
      </c>
      <c r="P324" s="198">
        <f t="shared" si="86"/>
        <v>0</v>
      </c>
      <c r="Q324" s="198">
        <f t="shared" si="86"/>
        <v>0</v>
      </c>
      <c r="R324" s="198">
        <f t="shared" si="86"/>
        <v>0</v>
      </c>
      <c r="S324" s="198">
        <f t="shared" si="86"/>
        <v>0</v>
      </c>
      <c r="T324" s="198">
        <f t="shared" si="86"/>
        <v>0</v>
      </c>
      <c r="U324" s="198">
        <f t="shared" si="86"/>
        <v>0</v>
      </c>
      <c r="V324" s="198">
        <f t="shared" si="86"/>
        <v>0</v>
      </c>
      <c r="W324" s="198">
        <f t="shared" si="86"/>
        <v>0</v>
      </c>
      <c r="X324" s="198">
        <f t="shared" si="86"/>
        <v>0</v>
      </c>
      <c r="Y324" s="198">
        <f t="shared" si="86"/>
        <v>0</v>
      </c>
      <c r="Z324" s="198">
        <f t="shared" si="86"/>
        <v>0</v>
      </c>
      <c r="AA324" s="198">
        <f t="shared" si="86"/>
        <v>0</v>
      </c>
      <c r="AB324" s="198">
        <f t="shared" si="86"/>
        <v>0</v>
      </c>
      <c r="AC324" s="198">
        <f t="shared" si="86"/>
        <v>0</v>
      </c>
      <c r="AD324" s="198">
        <f t="shared" si="86"/>
        <v>0</v>
      </c>
      <c r="AE324" s="198">
        <f t="shared" si="86"/>
        <v>0</v>
      </c>
      <c r="AF324" s="198">
        <f t="shared" si="86"/>
        <v>0</v>
      </c>
      <c r="AG324" s="198">
        <f t="shared" si="86"/>
        <v>0</v>
      </c>
      <c r="AH324" s="198">
        <f t="shared" si="86"/>
        <v>0</v>
      </c>
      <c r="AI324" s="198">
        <f t="shared" si="86"/>
        <v>0</v>
      </c>
      <c r="AJ324" s="198">
        <f t="shared" si="86"/>
        <v>0</v>
      </c>
      <c r="AK324" s="198">
        <f t="shared" si="86"/>
        <v>0</v>
      </c>
      <c r="AL324" s="198">
        <f t="shared" si="86"/>
        <v>0</v>
      </c>
      <c r="AM324" s="198">
        <f t="shared" si="86"/>
        <v>0</v>
      </c>
      <c r="AN324" s="198">
        <f t="shared" si="86"/>
        <v>0</v>
      </c>
      <c r="AO324" s="198">
        <f t="shared" si="86"/>
        <v>0</v>
      </c>
    </row>
    <row r="325" spans="3:44" x14ac:dyDescent="0.25">
      <c r="C325" s="73"/>
      <c r="F325" s="52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</row>
    <row r="326" spans="3:44" x14ac:dyDescent="0.25">
      <c r="C326" s="73"/>
      <c r="F326" t="s">
        <v>1177</v>
      </c>
      <c r="G326" t="s">
        <v>1138</v>
      </c>
      <c r="J326" s="198">
        <f>SUMIF($J$150:$AO$150,J$150,$J324:$AO324)</f>
        <v>0</v>
      </c>
      <c r="K326" s="198">
        <f t="shared" ref="K326:AO326" si="87">SUMIF($J$150:$AO$150,K$150,$J324:$AO324)</f>
        <v>0</v>
      </c>
      <c r="L326" s="198">
        <f t="shared" si="87"/>
        <v>0</v>
      </c>
      <c r="M326" s="198">
        <f t="shared" si="87"/>
        <v>0</v>
      </c>
      <c r="N326" s="198">
        <f t="shared" si="87"/>
        <v>0</v>
      </c>
      <c r="O326" s="198">
        <f t="shared" si="87"/>
        <v>0</v>
      </c>
      <c r="P326" s="198">
        <f t="shared" si="87"/>
        <v>0</v>
      </c>
      <c r="Q326" s="198">
        <f t="shared" si="87"/>
        <v>0</v>
      </c>
      <c r="R326" s="198">
        <f t="shared" si="87"/>
        <v>0</v>
      </c>
      <c r="S326" s="198">
        <f t="shared" si="87"/>
        <v>0</v>
      </c>
      <c r="T326" s="198">
        <f t="shared" si="87"/>
        <v>0</v>
      </c>
      <c r="U326" s="198">
        <f t="shared" si="87"/>
        <v>0</v>
      </c>
      <c r="V326" s="198">
        <f t="shared" si="87"/>
        <v>0</v>
      </c>
      <c r="W326" s="198">
        <f t="shared" si="87"/>
        <v>0</v>
      </c>
      <c r="X326" s="198">
        <f t="shared" si="87"/>
        <v>0</v>
      </c>
      <c r="Y326" s="198">
        <f t="shared" si="87"/>
        <v>0</v>
      </c>
      <c r="Z326" s="198">
        <f t="shared" si="87"/>
        <v>0</v>
      </c>
      <c r="AA326" s="198">
        <f t="shared" si="87"/>
        <v>0</v>
      </c>
      <c r="AB326" s="198">
        <f t="shared" si="87"/>
        <v>0</v>
      </c>
      <c r="AC326" s="198">
        <f t="shared" si="87"/>
        <v>0</v>
      </c>
      <c r="AD326" s="198">
        <f t="shared" si="87"/>
        <v>0</v>
      </c>
      <c r="AE326" s="198">
        <f t="shared" si="87"/>
        <v>0</v>
      </c>
      <c r="AF326" s="198">
        <f t="shared" si="87"/>
        <v>0</v>
      </c>
      <c r="AG326" s="198">
        <f t="shared" si="87"/>
        <v>0</v>
      </c>
      <c r="AH326" s="198">
        <f t="shared" si="87"/>
        <v>0</v>
      </c>
      <c r="AI326" s="198">
        <f t="shared" si="87"/>
        <v>0</v>
      </c>
      <c r="AJ326" s="198">
        <f t="shared" si="87"/>
        <v>0</v>
      </c>
      <c r="AK326" s="198">
        <f t="shared" si="87"/>
        <v>0</v>
      </c>
      <c r="AL326" s="198">
        <f t="shared" si="87"/>
        <v>0</v>
      </c>
      <c r="AM326" s="198">
        <f t="shared" si="87"/>
        <v>0</v>
      </c>
      <c r="AN326" s="198">
        <f t="shared" si="87"/>
        <v>0</v>
      </c>
      <c r="AO326" s="198">
        <f t="shared" si="87"/>
        <v>0</v>
      </c>
    </row>
    <row r="327" spans="3:44" x14ac:dyDescent="0.25">
      <c r="C327" s="73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</row>
    <row r="328" spans="3:44" x14ac:dyDescent="0.25">
      <c r="C328" s="73"/>
      <c r="F328" t="s">
        <v>1178</v>
      </c>
      <c r="G328" t="s">
        <v>1138</v>
      </c>
      <c r="J328" s="198">
        <f t="shared" ref="J328:AO328" si="88" xml:space="preserve"> J326 * J158</f>
        <v>0</v>
      </c>
      <c r="K328" s="198">
        <f t="shared" si="88"/>
        <v>0</v>
      </c>
      <c r="L328" s="198">
        <f t="shared" si="88"/>
        <v>0</v>
      </c>
      <c r="M328" s="198">
        <f t="shared" si="88"/>
        <v>0</v>
      </c>
      <c r="N328" s="198">
        <f t="shared" si="88"/>
        <v>0</v>
      </c>
      <c r="O328" s="198">
        <f t="shared" si="88"/>
        <v>0</v>
      </c>
      <c r="P328" s="198">
        <f t="shared" si="88"/>
        <v>0</v>
      </c>
      <c r="Q328" s="198">
        <f t="shared" si="88"/>
        <v>0</v>
      </c>
      <c r="R328" s="198">
        <f t="shared" si="88"/>
        <v>0</v>
      </c>
      <c r="S328" s="198">
        <f t="shared" si="88"/>
        <v>0</v>
      </c>
      <c r="T328" s="198">
        <f t="shared" si="88"/>
        <v>0</v>
      </c>
      <c r="U328" s="198">
        <f t="shared" si="88"/>
        <v>0</v>
      </c>
      <c r="V328" s="198">
        <f t="shared" si="88"/>
        <v>0</v>
      </c>
      <c r="W328" s="198">
        <f t="shared" si="88"/>
        <v>0</v>
      </c>
      <c r="X328" s="198">
        <f t="shared" si="88"/>
        <v>0</v>
      </c>
      <c r="Y328" s="198">
        <f t="shared" si="88"/>
        <v>0</v>
      </c>
      <c r="Z328" s="198">
        <f t="shared" si="88"/>
        <v>0</v>
      </c>
      <c r="AA328" s="198">
        <f t="shared" si="88"/>
        <v>0</v>
      </c>
      <c r="AB328" s="198">
        <f t="shared" si="88"/>
        <v>0</v>
      </c>
      <c r="AC328" s="198">
        <f t="shared" si="88"/>
        <v>0</v>
      </c>
      <c r="AD328" s="198">
        <f t="shared" si="88"/>
        <v>0</v>
      </c>
      <c r="AE328" s="198">
        <f t="shared" si="88"/>
        <v>0</v>
      </c>
      <c r="AF328" s="198">
        <f t="shared" si="88"/>
        <v>0</v>
      </c>
      <c r="AG328" s="198">
        <f t="shared" si="88"/>
        <v>0</v>
      </c>
      <c r="AH328" s="198">
        <f t="shared" si="88"/>
        <v>0</v>
      </c>
      <c r="AI328" s="198">
        <f t="shared" si="88"/>
        <v>0</v>
      </c>
      <c r="AJ328" s="198">
        <f t="shared" si="88"/>
        <v>0</v>
      </c>
      <c r="AK328" s="198">
        <f t="shared" si="88"/>
        <v>0</v>
      </c>
      <c r="AL328" s="198">
        <f t="shared" si="88"/>
        <v>0</v>
      </c>
      <c r="AM328" s="198">
        <f t="shared" si="88"/>
        <v>0</v>
      </c>
      <c r="AN328" s="198">
        <f t="shared" si="88"/>
        <v>0</v>
      </c>
      <c r="AO328" s="198">
        <f t="shared" si="88"/>
        <v>0</v>
      </c>
    </row>
    <row r="329" spans="3:44" x14ac:dyDescent="0.25">
      <c r="C329" s="73"/>
      <c r="F329" s="84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</row>
    <row r="330" spans="3:44" x14ac:dyDescent="0.25">
      <c r="C330" s="73"/>
      <c r="E330" s="52" t="s">
        <v>1129</v>
      </c>
      <c r="F330" s="84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</row>
    <row r="331" spans="3:44" x14ac:dyDescent="0.25">
      <c r="C331" s="73"/>
      <c r="F331" s="450" t="s">
        <v>1189</v>
      </c>
      <c r="G331" t="s">
        <v>120</v>
      </c>
      <c r="J331" s="198">
        <f t="shared" ref="J331:AO331" si="89">SUM(J284:J285)</f>
        <v>0</v>
      </c>
      <c r="K331" s="198">
        <f t="shared" si="89"/>
        <v>0</v>
      </c>
      <c r="L331" s="198">
        <f t="shared" si="89"/>
        <v>0</v>
      </c>
      <c r="M331" s="198">
        <f t="shared" si="89"/>
        <v>0</v>
      </c>
      <c r="N331" s="198">
        <f t="shared" si="89"/>
        <v>0</v>
      </c>
      <c r="O331" s="198">
        <f t="shared" si="89"/>
        <v>0</v>
      </c>
      <c r="P331" s="198">
        <f t="shared" si="89"/>
        <v>0</v>
      </c>
      <c r="Q331" s="198">
        <f t="shared" si="89"/>
        <v>0</v>
      </c>
      <c r="R331" s="198">
        <f t="shared" si="89"/>
        <v>0</v>
      </c>
      <c r="S331" s="198">
        <f t="shared" si="89"/>
        <v>0</v>
      </c>
      <c r="T331" s="198">
        <f t="shared" si="89"/>
        <v>0</v>
      </c>
      <c r="U331" s="198">
        <f t="shared" si="89"/>
        <v>0</v>
      </c>
      <c r="V331" s="198">
        <f t="shared" si="89"/>
        <v>0</v>
      </c>
      <c r="W331" s="198">
        <f t="shared" si="89"/>
        <v>0</v>
      </c>
      <c r="X331" s="198">
        <f t="shared" si="89"/>
        <v>0</v>
      </c>
      <c r="Y331" s="198">
        <f t="shared" si="89"/>
        <v>0</v>
      </c>
      <c r="Z331" s="198">
        <f t="shared" si="89"/>
        <v>0</v>
      </c>
      <c r="AA331" s="198">
        <f t="shared" si="89"/>
        <v>0</v>
      </c>
      <c r="AB331" s="198">
        <f t="shared" si="89"/>
        <v>0</v>
      </c>
      <c r="AC331" s="198">
        <f t="shared" si="89"/>
        <v>0</v>
      </c>
      <c r="AD331" s="198">
        <f t="shared" si="89"/>
        <v>0</v>
      </c>
      <c r="AE331" s="198">
        <f t="shared" si="89"/>
        <v>0</v>
      </c>
      <c r="AF331" s="198">
        <f t="shared" si="89"/>
        <v>0</v>
      </c>
      <c r="AG331" s="198">
        <f t="shared" si="89"/>
        <v>0</v>
      </c>
      <c r="AH331" s="198">
        <f t="shared" si="89"/>
        <v>0</v>
      </c>
      <c r="AI331" s="198">
        <f t="shared" si="89"/>
        <v>0</v>
      </c>
      <c r="AJ331" s="198">
        <f t="shared" si="89"/>
        <v>0</v>
      </c>
      <c r="AK331" s="198">
        <f t="shared" si="89"/>
        <v>0</v>
      </c>
      <c r="AL331" s="198">
        <f t="shared" si="89"/>
        <v>0</v>
      </c>
      <c r="AM331" s="198">
        <f t="shared" si="89"/>
        <v>0</v>
      </c>
      <c r="AN331" s="198">
        <f t="shared" si="89"/>
        <v>0</v>
      </c>
      <c r="AO331" s="198">
        <f t="shared" si="89"/>
        <v>0</v>
      </c>
    </row>
    <row r="332" spans="3:44" x14ac:dyDescent="0.25">
      <c r="C332" s="73"/>
      <c r="F332" s="84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</row>
    <row r="333" spans="3:44" x14ac:dyDescent="0.25">
      <c r="C333" s="73"/>
      <c r="F333" t="s">
        <v>1133</v>
      </c>
      <c r="G333" t="s">
        <v>120</v>
      </c>
      <c r="J333" s="198">
        <f>SUMIF($J$150:$AO$150,J$150,$J331:$AO331)</f>
        <v>0</v>
      </c>
      <c r="K333" s="198">
        <f t="shared" ref="K333:AO333" si="90">SUMIF($J$150:$AO$150,K$150,$J331:$AO331)</f>
        <v>0</v>
      </c>
      <c r="L333" s="198">
        <f t="shared" si="90"/>
        <v>0</v>
      </c>
      <c r="M333" s="198">
        <f t="shared" si="90"/>
        <v>0</v>
      </c>
      <c r="N333" s="198">
        <f t="shared" si="90"/>
        <v>0</v>
      </c>
      <c r="O333" s="198">
        <f t="shared" si="90"/>
        <v>0</v>
      </c>
      <c r="P333" s="198">
        <f t="shared" si="90"/>
        <v>0</v>
      </c>
      <c r="Q333" s="198">
        <f t="shared" si="90"/>
        <v>0</v>
      </c>
      <c r="R333" s="198">
        <f t="shared" si="90"/>
        <v>0</v>
      </c>
      <c r="S333" s="198">
        <f t="shared" si="90"/>
        <v>0</v>
      </c>
      <c r="T333" s="198">
        <f t="shared" si="90"/>
        <v>0</v>
      </c>
      <c r="U333" s="198">
        <f t="shared" si="90"/>
        <v>0</v>
      </c>
      <c r="V333" s="198">
        <f t="shared" si="90"/>
        <v>0</v>
      </c>
      <c r="W333" s="198">
        <f t="shared" si="90"/>
        <v>0</v>
      </c>
      <c r="X333" s="198">
        <f t="shared" si="90"/>
        <v>0</v>
      </c>
      <c r="Y333" s="198">
        <f t="shared" si="90"/>
        <v>0</v>
      </c>
      <c r="Z333" s="198">
        <f t="shared" si="90"/>
        <v>0</v>
      </c>
      <c r="AA333" s="198">
        <f t="shared" si="90"/>
        <v>0</v>
      </c>
      <c r="AB333" s="198">
        <f t="shared" si="90"/>
        <v>0</v>
      </c>
      <c r="AC333" s="198">
        <f t="shared" si="90"/>
        <v>0</v>
      </c>
      <c r="AD333" s="198">
        <f t="shared" si="90"/>
        <v>0</v>
      </c>
      <c r="AE333" s="198">
        <f t="shared" si="90"/>
        <v>0</v>
      </c>
      <c r="AF333" s="198">
        <f t="shared" si="90"/>
        <v>0</v>
      </c>
      <c r="AG333" s="198">
        <f t="shared" si="90"/>
        <v>0</v>
      </c>
      <c r="AH333" s="198">
        <f t="shared" si="90"/>
        <v>0</v>
      </c>
      <c r="AI333" s="198">
        <f t="shared" si="90"/>
        <v>0</v>
      </c>
      <c r="AJ333" s="198">
        <f t="shared" si="90"/>
        <v>0</v>
      </c>
      <c r="AK333" s="198">
        <f t="shared" si="90"/>
        <v>0</v>
      </c>
      <c r="AL333" s="198">
        <f t="shared" si="90"/>
        <v>0</v>
      </c>
      <c r="AM333" s="198">
        <f t="shared" si="90"/>
        <v>0</v>
      </c>
      <c r="AN333" s="198">
        <f t="shared" si="90"/>
        <v>0</v>
      </c>
      <c r="AO333" s="198">
        <f t="shared" si="90"/>
        <v>0</v>
      </c>
    </row>
    <row r="334" spans="3:44" x14ac:dyDescent="0.25">
      <c r="C334" s="73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</row>
    <row r="335" spans="3:44" x14ac:dyDescent="0.25">
      <c r="C335" s="73"/>
      <c r="F335" t="s">
        <v>1134</v>
      </c>
      <c r="G335" t="s">
        <v>120</v>
      </c>
      <c r="J335" s="198">
        <f xml:space="preserve"> J333 * J$158</f>
        <v>0</v>
      </c>
      <c r="K335" s="198">
        <f t="shared" ref="K335:AO335" si="91" xml:space="preserve"> K333 * K$158</f>
        <v>0</v>
      </c>
      <c r="L335" s="198">
        <f t="shared" si="91"/>
        <v>0</v>
      </c>
      <c r="M335" s="198">
        <f t="shared" si="91"/>
        <v>0</v>
      </c>
      <c r="N335" s="198">
        <f t="shared" si="91"/>
        <v>0</v>
      </c>
      <c r="O335" s="198">
        <f t="shared" si="91"/>
        <v>0</v>
      </c>
      <c r="P335" s="198">
        <f t="shared" si="91"/>
        <v>0</v>
      </c>
      <c r="Q335" s="198">
        <f t="shared" si="91"/>
        <v>0</v>
      </c>
      <c r="R335" s="198">
        <f t="shared" si="91"/>
        <v>0</v>
      </c>
      <c r="S335" s="198">
        <f t="shared" si="91"/>
        <v>0</v>
      </c>
      <c r="T335" s="198">
        <f t="shared" si="91"/>
        <v>0</v>
      </c>
      <c r="U335" s="198">
        <f t="shared" si="91"/>
        <v>0</v>
      </c>
      <c r="V335" s="198">
        <f t="shared" si="91"/>
        <v>0</v>
      </c>
      <c r="W335" s="198">
        <f t="shared" si="91"/>
        <v>0</v>
      </c>
      <c r="X335" s="198">
        <f t="shared" si="91"/>
        <v>0</v>
      </c>
      <c r="Y335" s="198">
        <f t="shared" si="91"/>
        <v>0</v>
      </c>
      <c r="Z335" s="198">
        <f t="shared" si="91"/>
        <v>0</v>
      </c>
      <c r="AA335" s="198">
        <f t="shared" si="91"/>
        <v>0</v>
      </c>
      <c r="AB335" s="198">
        <f t="shared" si="91"/>
        <v>0</v>
      </c>
      <c r="AC335" s="198">
        <f t="shared" si="91"/>
        <v>0</v>
      </c>
      <c r="AD335" s="198">
        <f t="shared" si="91"/>
        <v>0</v>
      </c>
      <c r="AE335" s="198">
        <f t="shared" si="91"/>
        <v>0</v>
      </c>
      <c r="AF335" s="198">
        <f t="shared" si="91"/>
        <v>0</v>
      </c>
      <c r="AG335" s="198">
        <f t="shared" si="91"/>
        <v>0</v>
      </c>
      <c r="AH335" s="198">
        <f t="shared" si="91"/>
        <v>0</v>
      </c>
      <c r="AI335" s="198">
        <f t="shared" si="91"/>
        <v>0</v>
      </c>
      <c r="AJ335" s="198">
        <f t="shared" si="91"/>
        <v>0</v>
      </c>
      <c r="AK335" s="198">
        <f t="shared" si="91"/>
        <v>0</v>
      </c>
      <c r="AL335" s="198">
        <f t="shared" si="91"/>
        <v>0</v>
      </c>
      <c r="AM335" s="198">
        <f t="shared" si="91"/>
        <v>0</v>
      </c>
      <c r="AN335" s="198">
        <f t="shared" si="91"/>
        <v>0</v>
      </c>
      <c r="AO335" s="198">
        <f t="shared" si="91"/>
        <v>0</v>
      </c>
      <c r="AP335" s="59"/>
      <c r="AQ335" s="59"/>
      <c r="AR335" s="59"/>
    </row>
    <row r="336" spans="3:44" x14ac:dyDescent="0.25">
      <c r="C336" s="73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</row>
    <row r="337" spans="3:43" x14ac:dyDescent="0.25">
      <c r="C337" s="73"/>
      <c r="E337" s="450" t="s">
        <v>1190</v>
      </c>
      <c r="G337" t="s">
        <v>183</v>
      </c>
      <c r="J337" s="388">
        <f t="shared" ref="J337:AO337" si="92">IF( J335&lt;&gt;0, J328/J335, 0)*hundred/thousand</f>
        <v>0</v>
      </c>
      <c r="K337" s="388">
        <f t="shared" si="92"/>
        <v>0</v>
      </c>
      <c r="L337" s="388">
        <f t="shared" si="92"/>
        <v>0</v>
      </c>
      <c r="M337" s="388">
        <f t="shared" si="92"/>
        <v>0</v>
      </c>
      <c r="N337" s="388">
        <f t="shared" si="92"/>
        <v>0</v>
      </c>
      <c r="O337" s="388">
        <f t="shared" si="92"/>
        <v>0</v>
      </c>
      <c r="P337" s="388">
        <f t="shared" si="92"/>
        <v>0</v>
      </c>
      <c r="Q337" s="388">
        <f t="shared" si="92"/>
        <v>0</v>
      </c>
      <c r="R337" s="388">
        <f t="shared" si="92"/>
        <v>0</v>
      </c>
      <c r="S337" s="388">
        <f t="shared" si="92"/>
        <v>0</v>
      </c>
      <c r="T337" s="388">
        <f t="shared" si="92"/>
        <v>0</v>
      </c>
      <c r="U337" s="388">
        <f t="shared" si="92"/>
        <v>0</v>
      </c>
      <c r="V337" s="388">
        <f t="shared" si="92"/>
        <v>0</v>
      </c>
      <c r="W337" s="388">
        <f t="shared" si="92"/>
        <v>0</v>
      </c>
      <c r="X337" s="388">
        <f t="shared" si="92"/>
        <v>0</v>
      </c>
      <c r="Y337" s="388">
        <f t="shared" si="92"/>
        <v>0</v>
      </c>
      <c r="Z337" s="388">
        <f t="shared" si="92"/>
        <v>0</v>
      </c>
      <c r="AA337" s="388">
        <f t="shared" si="92"/>
        <v>0</v>
      </c>
      <c r="AB337" s="388">
        <f t="shared" si="92"/>
        <v>0</v>
      </c>
      <c r="AC337" s="388">
        <f t="shared" si="92"/>
        <v>0</v>
      </c>
      <c r="AD337" s="388">
        <f t="shared" si="92"/>
        <v>0</v>
      </c>
      <c r="AE337" s="388">
        <f t="shared" si="92"/>
        <v>0</v>
      </c>
      <c r="AF337" s="388">
        <f t="shared" si="92"/>
        <v>0</v>
      </c>
      <c r="AG337" s="388">
        <f t="shared" si="92"/>
        <v>0</v>
      </c>
      <c r="AH337" s="388">
        <f t="shared" si="92"/>
        <v>0</v>
      </c>
      <c r="AI337" s="388">
        <f t="shared" si="92"/>
        <v>0</v>
      </c>
      <c r="AJ337" s="388">
        <f t="shared" si="92"/>
        <v>0</v>
      </c>
      <c r="AK337" s="388">
        <f t="shared" si="92"/>
        <v>0</v>
      </c>
      <c r="AL337" s="388">
        <f t="shared" si="92"/>
        <v>0</v>
      </c>
      <c r="AM337" s="388">
        <f t="shared" si="92"/>
        <v>0</v>
      </c>
      <c r="AN337" s="388">
        <f t="shared" si="92"/>
        <v>0</v>
      </c>
      <c r="AO337" s="388">
        <f t="shared" si="92"/>
        <v>0</v>
      </c>
    </row>
    <row r="338" spans="3:43" x14ac:dyDescent="0.25">
      <c r="C338" s="73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</row>
    <row r="339" spans="3:43" x14ac:dyDescent="0.25">
      <c r="C339" s="73"/>
      <c r="E339" s="52" t="s">
        <v>1191</v>
      </c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</row>
    <row r="340" spans="3:43" x14ac:dyDescent="0.25">
      <c r="C340" s="73"/>
      <c r="F340" s="80" t="s">
        <v>1161</v>
      </c>
      <c r="G340" s="80" t="s">
        <v>1023</v>
      </c>
      <c r="H340" s="80"/>
      <c r="I340" s="80"/>
      <c r="J340" s="454"/>
      <c r="K340" s="454"/>
      <c r="L340" s="454"/>
      <c r="M340" s="454"/>
      <c r="N340" s="454"/>
      <c r="O340" s="454"/>
      <c r="P340" s="454"/>
      <c r="Q340" s="454"/>
      <c r="R340" s="454"/>
      <c r="S340" s="454"/>
      <c r="T340" s="454"/>
      <c r="U340" s="454"/>
      <c r="V340" s="454"/>
      <c r="W340" s="454"/>
      <c r="X340" s="454"/>
      <c r="Y340" s="454"/>
      <c r="Z340" s="454"/>
      <c r="AA340" s="454"/>
      <c r="AB340" s="454"/>
      <c r="AC340" s="454"/>
      <c r="AD340" s="454"/>
      <c r="AE340" s="454"/>
      <c r="AF340" s="454"/>
      <c r="AG340" s="454"/>
      <c r="AH340" s="454"/>
      <c r="AI340" s="454"/>
      <c r="AJ340" s="454"/>
      <c r="AK340" s="454"/>
      <c r="AL340" s="454"/>
      <c r="AM340" s="454"/>
      <c r="AN340" s="454"/>
      <c r="AO340" s="454"/>
    </row>
    <row r="341" spans="3:43" x14ac:dyDescent="0.25">
      <c r="C341" s="73"/>
      <c r="F341" t="s">
        <v>1162</v>
      </c>
      <c r="G341" t="s">
        <v>1023</v>
      </c>
      <c r="J341" s="59" t="b">
        <f t="shared" ref="J341:AO341" si="93">IF(J$32, -J264+J$337&gt;=0, TRUE)</f>
        <v>1</v>
      </c>
      <c r="K341" s="59" t="b">
        <f t="shared" si="93"/>
        <v>1</v>
      </c>
      <c r="L341" s="59" t="b">
        <f t="shared" si="93"/>
        <v>1</v>
      </c>
      <c r="M341" s="59" t="b">
        <f t="shared" si="93"/>
        <v>1</v>
      </c>
      <c r="N341" s="59" t="b">
        <f t="shared" si="93"/>
        <v>1</v>
      </c>
      <c r="O341" s="59" t="b">
        <f t="shared" si="93"/>
        <v>1</v>
      </c>
      <c r="P341" s="59" t="b">
        <f t="shared" si="93"/>
        <v>1</v>
      </c>
      <c r="Q341" s="59" t="b">
        <f t="shared" si="93"/>
        <v>1</v>
      </c>
      <c r="R341" s="59" t="b">
        <f t="shared" si="93"/>
        <v>1</v>
      </c>
      <c r="S341" s="59" t="b">
        <f t="shared" si="93"/>
        <v>1</v>
      </c>
      <c r="T341" s="59" t="b">
        <f t="shared" si="93"/>
        <v>1</v>
      </c>
      <c r="U341" s="59" t="b">
        <f t="shared" si="93"/>
        <v>1</v>
      </c>
      <c r="V341" s="59" t="b">
        <f t="shared" si="93"/>
        <v>1</v>
      </c>
      <c r="W341" s="59" t="b">
        <f t="shared" si="93"/>
        <v>1</v>
      </c>
      <c r="X341" s="59" t="b">
        <f t="shared" si="93"/>
        <v>1</v>
      </c>
      <c r="Y341" s="59" t="b">
        <f t="shared" si="93"/>
        <v>1</v>
      </c>
      <c r="Z341" s="59" t="b">
        <f t="shared" si="93"/>
        <v>1</v>
      </c>
      <c r="AA341" s="59" t="b">
        <f t="shared" si="93"/>
        <v>1</v>
      </c>
      <c r="AB341" s="59" t="b">
        <f t="shared" si="93"/>
        <v>1</v>
      </c>
      <c r="AC341" s="59" t="b">
        <f t="shared" si="93"/>
        <v>1</v>
      </c>
      <c r="AD341" s="59" t="b">
        <f t="shared" si="93"/>
        <v>1</v>
      </c>
      <c r="AE341" s="59" t="b">
        <f t="shared" si="93"/>
        <v>1</v>
      </c>
      <c r="AF341" s="59" t="b">
        <f t="shared" si="93"/>
        <v>1</v>
      </c>
      <c r="AG341" s="59" t="b">
        <f t="shared" si="93"/>
        <v>1</v>
      </c>
      <c r="AH341" s="59" t="b">
        <f t="shared" si="93"/>
        <v>1</v>
      </c>
      <c r="AI341" s="59" t="b">
        <f t="shared" si="93"/>
        <v>1</v>
      </c>
      <c r="AJ341" s="59" t="b">
        <f t="shared" si="93"/>
        <v>1</v>
      </c>
      <c r="AK341" s="59" t="b">
        <f t="shared" si="93"/>
        <v>1</v>
      </c>
      <c r="AL341" s="59" t="b">
        <f t="shared" si="93"/>
        <v>1</v>
      </c>
      <c r="AM341" s="59" t="b">
        <f t="shared" si="93"/>
        <v>1</v>
      </c>
      <c r="AN341" s="59" t="b">
        <f t="shared" si="93"/>
        <v>1</v>
      </c>
      <c r="AO341" s="59" t="b">
        <f t="shared" si="93"/>
        <v>1</v>
      </c>
    </row>
    <row r="342" spans="3:43" x14ac:dyDescent="0.25">
      <c r="C342" s="73"/>
      <c r="F342" s="17" t="s">
        <v>1163</v>
      </c>
      <c r="G342" s="17" t="s">
        <v>1023</v>
      </c>
      <c r="H342" s="17"/>
      <c r="I342" s="17"/>
      <c r="J342" s="122" t="b">
        <f t="shared" ref="J342:AO342" si="94">IF(J$32, -J265+J$337&gt;=0, TRUE)</f>
        <v>1</v>
      </c>
      <c r="K342" s="122" t="b">
        <f t="shared" si="94"/>
        <v>1</v>
      </c>
      <c r="L342" s="122" t="b">
        <f t="shared" si="94"/>
        <v>1</v>
      </c>
      <c r="M342" s="122" t="b">
        <f t="shared" si="94"/>
        <v>1</v>
      </c>
      <c r="N342" s="122" t="b">
        <f t="shared" si="94"/>
        <v>1</v>
      </c>
      <c r="O342" s="122" t="b">
        <f t="shared" si="94"/>
        <v>1</v>
      </c>
      <c r="P342" s="122" t="b">
        <f t="shared" si="94"/>
        <v>1</v>
      </c>
      <c r="Q342" s="122" t="b">
        <f t="shared" si="94"/>
        <v>1</v>
      </c>
      <c r="R342" s="122" t="b">
        <f t="shared" si="94"/>
        <v>1</v>
      </c>
      <c r="S342" s="122" t="b">
        <f t="shared" si="94"/>
        <v>1</v>
      </c>
      <c r="T342" s="122" t="b">
        <f t="shared" si="94"/>
        <v>1</v>
      </c>
      <c r="U342" s="122" t="b">
        <f t="shared" si="94"/>
        <v>1</v>
      </c>
      <c r="V342" s="122" t="b">
        <f t="shared" si="94"/>
        <v>1</v>
      </c>
      <c r="W342" s="122" t="b">
        <f t="shared" si="94"/>
        <v>1</v>
      </c>
      <c r="X342" s="122" t="b">
        <f t="shared" si="94"/>
        <v>1</v>
      </c>
      <c r="Y342" s="122" t="b">
        <f t="shared" si="94"/>
        <v>1</v>
      </c>
      <c r="Z342" s="122" t="b">
        <f t="shared" si="94"/>
        <v>1</v>
      </c>
      <c r="AA342" s="122" t="b">
        <f t="shared" si="94"/>
        <v>1</v>
      </c>
      <c r="AB342" s="122" t="b">
        <f t="shared" si="94"/>
        <v>1</v>
      </c>
      <c r="AC342" s="122" t="b">
        <f t="shared" si="94"/>
        <v>1</v>
      </c>
      <c r="AD342" s="122" t="b">
        <f t="shared" si="94"/>
        <v>1</v>
      </c>
      <c r="AE342" s="122" t="b">
        <f t="shared" si="94"/>
        <v>1</v>
      </c>
      <c r="AF342" s="122" t="b">
        <f t="shared" si="94"/>
        <v>1</v>
      </c>
      <c r="AG342" s="122" t="b">
        <f t="shared" si="94"/>
        <v>1</v>
      </c>
      <c r="AH342" s="122" t="b">
        <f t="shared" si="94"/>
        <v>1</v>
      </c>
      <c r="AI342" s="122" t="b">
        <f t="shared" si="94"/>
        <v>1</v>
      </c>
      <c r="AJ342" s="122" t="b">
        <f t="shared" si="94"/>
        <v>1</v>
      </c>
      <c r="AK342" s="122" t="b">
        <f t="shared" si="94"/>
        <v>1</v>
      </c>
      <c r="AL342" s="122" t="b">
        <f t="shared" si="94"/>
        <v>1</v>
      </c>
      <c r="AM342" s="122" t="b">
        <f t="shared" si="94"/>
        <v>1</v>
      </c>
      <c r="AN342" s="122" t="b">
        <f t="shared" si="94"/>
        <v>1</v>
      </c>
      <c r="AO342" s="122" t="b">
        <f t="shared" si="94"/>
        <v>1</v>
      </c>
    </row>
    <row r="343" spans="3:43" x14ac:dyDescent="0.25">
      <c r="C343" s="73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</row>
    <row r="344" spans="3:43" x14ac:dyDescent="0.25">
      <c r="C344" s="73"/>
      <c r="E344" t="s">
        <v>1192</v>
      </c>
      <c r="G344" t="s">
        <v>1023</v>
      </c>
      <c r="J344" s="59" t="b">
        <f>COUNTIF(J341:J342, TRUE) = 2</f>
        <v>1</v>
      </c>
      <c r="K344" s="59" t="b">
        <f t="shared" ref="K344:AO344" si="95">COUNTIF(K341:K342, TRUE) = 2</f>
        <v>1</v>
      </c>
      <c r="L344" s="59" t="b">
        <f t="shared" si="95"/>
        <v>1</v>
      </c>
      <c r="M344" s="59" t="b">
        <f t="shared" si="95"/>
        <v>1</v>
      </c>
      <c r="N344" s="59" t="b">
        <f t="shared" si="95"/>
        <v>1</v>
      </c>
      <c r="O344" s="59" t="b">
        <f t="shared" si="95"/>
        <v>1</v>
      </c>
      <c r="P344" s="59" t="b">
        <f t="shared" si="95"/>
        <v>1</v>
      </c>
      <c r="Q344" s="59" t="b">
        <f t="shared" si="95"/>
        <v>1</v>
      </c>
      <c r="R344" s="59" t="b">
        <f t="shared" si="95"/>
        <v>1</v>
      </c>
      <c r="S344" s="59" t="b">
        <f t="shared" si="95"/>
        <v>1</v>
      </c>
      <c r="T344" s="59" t="b">
        <f t="shared" si="95"/>
        <v>1</v>
      </c>
      <c r="U344" s="59" t="b">
        <f t="shared" si="95"/>
        <v>1</v>
      </c>
      <c r="V344" s="59" t="b">
        <f t="shared" si="95"/>
        <v>1</v>
      </c>
      <c r="W344" s="59" t="b">
        <f t="shared" si="95"/>
        <v>1</v>
      </c>
      <c r="X344" s="59" t="b">
        <f t="shared" si="95"/>
        <v>1</v>
      </c>
      <c r="Y344" s="59" t="b">
        <f t="shared" si="95"/>
        <v>1</v>
      </c>
      <c r="Z344" s="59" t="b">
        <f t="shared" si="95"/>
        <v>1</v>
      </c>
      <c r="AA344" s="59" t="b">
        <f t="shared" si="95"/>
        <v>1</v>
      </c>
      <c r="AB344" s="59" t="b">
        <f t="shared" si="95"/>
        <v>1</v>
      </c>
      <c r="AC344" s="59" t="b">
        <f t="shared" si="95"/>
        <v>1</v>
      </c>
      <c r="AD344" s="59" t="b">
        <f t="shared" si="95"/>
        <v>1</v>
      </c>
      <c r="AE344" s="59" t="b">
        <f t="shared" si="95"/>
        <v>1</v>
      </c>
      <c r="AF344" s="59" t="b">
        <f t="shared" si="95"/>
        <v>1</v>
      </c>
      <c r="AG344" s="59" t="b">
        <f t="shared" si="95"/>
        <v>1</v>
      </c>
      <c r="AH344" s="59" t="b">
        <f t="shared" si="95"/>
        <v>1</v>
      </c>
      <c r="AI344" s="59" t="b">
        <f t="shared" si="95"/>
        <v>1</v>
      </c>
      <c r="AJ344" s="59" t="b">
        <f t="shared" si="95"/>
        <v>1</v>
      </c>
      <c r="AK344" s="59" t="b">
        <f t="shared" si="95"/>
        <v>1</v>
      </c>
      <c r="AL344" s="59" t="b">
        <f t="shared" si="95"/>
        <v>1</v>
      </c>
      <c r="AM344" s="59" t="b">
        <f t="shared" si="95"/>
        <v>1</v>
      </c>
      <c r="AN344" s="59" t="b">
        <f t="shared" si="95"/>
        <v>1</v>
      </c>
      <c r="AO344" s="59" t="b">
        <f t="shared" si="95"/>
        <v>1</v>
      </c>
    </row>
    <row r="345" spans="3:43" x14ac:dyDescent="0.25">
      <c r="C345" s="73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</row>
    <row r="346" spans="3:43" x14ac:dyDescent="0.25">
      <c r="C346" s="5" t="str">
        <f ca="1">INDEX('Version control'!$H$36:$H$62,MATCH($A$1,'Version control'!$F$36:$F$62,0),1)&amp;"-M: Revenue matching for one timeband"</f>
        <v>Section 519-M: Revenue matching for one timeband</v>
      </c>
      <c r="D346" s="5"/>
      <c r="E346" s="5"/>
      <c r="F346" s="5"/>
      <c r="G346" s="5"/>
      <c r="H346" s="5"/>
      <c r="I346" s="5"/>
      <c r="J346" s="143"/>
      <c r="K346" s="143"/>
      <c r="L346" s="143"/>
      <c r="M346" s="143"/>
      <c r="N346" s="143"/>
      <c r="O346" s="143"/>
      <c r="P346" s="143"/>
      <c r="Q346" s="143"/>
      <c r="R346" s="143"/>
      <c r="S346" s="143"/>
      <c r="T346" s="143"/>
      <c r="U346" s="143"/>
      <c r="V346" s="143"/>
      <c r="W346" s="143"/>
      <c r="X346" s="143"/>
      <c r="Y346" s="143"/>
      <c r="Z346" s="143"/>
      <c r="AA346" s="143"/>
      <c r="AB346" s="143"/>
      <c r="AC346" s="143"/>
      <c r="AD346" s="143"/>
      <c r="AE346" s="143"/>
      <c r="AF346" s="143"/>
      <c r="AG346" s="143"/>
      <c r="AH346" s="143"/>
      <c r="AI346" s="143"/>
      <c r="AJ346" s="143"/>
      <c r="AK346" s="143"/>
      <c r="AL346" s="143"/>
      <c r="AM346" s="143"/>
      <c r="AN346" s="143"/>
      <c r="AO346" s="143"/>
      <c r="AP346" s="5"/>
      <c r="AQ346" s="5"/>
    </row>
    <row r="347" spans="3:43" x14ac:dyDescent="0.25">
      <c r="C347" s="73"/>
      <c r="E347" s="52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</row>
    <row r="348" spans="3:43" x14ac:dyDescent="0.25">
      <c r="C348" s="73"/>
      <c r="D348" s="73" t="s">
        <v>1240</v>
      </c>
      <c r="E348" s="52"/>
      <c r="I348" t="s">
        <v>359</v>
      </c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Q348" t="s">
        <v>743</v>
      </c>
    </row>
    <row r="349" spans="3:43" x14ac:dyDescent="0.25">
      <c r="C349" s="73"/>
      <c r="D349" s="73" t="s">
        <v>1193</v>
      </c>
      <c r="E349" s="52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</row>
    <row r="350" spans="3:43" x14ac:dyDescent="0.25">
      <c r="C350" s="73"/>
      <c r="D350" s="73" t="s">
        <v>1184</v>
      </c>
      <c r="E350" s="52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</row>
    <row r="351" spans="3:43" x14ac:dyDescent="0.25">
      <c r="C351" s="73"/>
      <c r="D351" s="73" t="s">
        <v>1185</v>
      </c>
      <c r="E351" s="52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</row>
    <row r="352" spans="3:43" x14ac:dyDescent="0.25">
      <c r="C352" s="73"/>
      <c r="E352" s="52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</row>
    <row r="353" spans="3:44" x14ac:dyDescent="0.25">
      <c r="C353" s="73"/>
      <c r="E353" s="52" t="s">
        <v>1194</v>
      </c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</row>
    <row r="354" spans="3:44" x14ac:dyDescent="0.25">
      <c r="C354" s="73"/>
      <c r="F354" s="320" t="s">
        <v>1195</v>
      </c>
      <c r="G354" t="s">
        <v>1138</v>
      </c>
      <c r="J354" s="198">
        <f t="shared" ref="J354:AO354" si="96">SUMPRODUCT(J263:J264, J283:J284)*thousand/hundred</f>
        <v>0</v>
      </c>
      <c r="K354" s="198">
        <f t="shared" si="96"/>
        <v>0</v>
      </c>
      <c r="L354" s="198">
        <f t="shared" si="96"/>
        <v>0</v>
      </c>
      <c r="M354" s="198">
        <f t="shared" si="96"/>
        <v>0</v>
      </c>
      <c r="N354" s="198">
        <f t="shared" si="96"/>
        <v>0</v>
      </c>
      <c r="O354" s="198">
        <f t="shared" si="96"/>
        <v>0</v>
      </c>
      <c r="P354" s="198">
        <f t="shared" si="96"/>
        <v>0</v>
      </c>
      <c r="Q354" s="198">
        <f t="shared" si="96"/>
        <v>0</v>
      </c>
      <c r="R354" s="198">
        <f t="shared" si="96"/>
        <v>0</v>
      </c>
      <c r="S354" s="198">
        <f t="shared" si="96"/>
        <v>0</v>
      </c>
      <c r="T354" s="198">
        <f t="shared" si="96"/>
        <v>0</v>
      </c>
      <c r="U354" s="198">
        <f t="shared" si="96"/>
        <v>0</v>
      </c>
      <c r="V354" s="198">
        <f t="shared" si="96"/>
        <v>0</v>
      </c>
      <c r="W354" s="198">
        <f t="shared" si="96"/>
        <v>0</v>
      </c>
      <c r="X354" s="198">
        <f t="shared" si="96"/>
        <v>0</v>
      </c>
      <c r="Y354" s="198">
        <f t="shared" si="96"/>
        <v>0</v>
      </c>
      <c r="Z354" s="198">
        <f t="shared" si="96"/>
        <v>0</v>
      </c>
      <c r="AA354" s="198">
        <f t="shared" si="96"/>
        <v>0</v>
      </c>
      <c r="AB354" s="198">
        <f t="shared" si="96"/>
        <v>0</v>
      </c>
      <c r="AC354" s="198">
        <f t="shared" si="96"/>
        <v>0</v>
      </c>
      <c r="AD354" s="198">
        <f t="shared" si="96"/>
        <v>0</v>
      </c>
      <c r="AE354" s="198">
        <f t="shared" si="96"/>
        <v>0</v>
      </c>
      <c r="AF354" s="198">
        <f t="shared" si="96"/>
        <v>0</v>
      </c>
      <c r="AG354" s="198">
        <f t="shared" si="96"/>
        <v>0</v>
      </c>
      <c r="AH354" s="198">
        <f t="shared" si="96"/>
        <v>0</v>
      </c>
      <c r="AI354" s="198">
        <f t="shared" si="96"/>
        <v>0</v>
      </c>
      <c r="AJ354" s="198">
        <f t="shared" si="96"/>
        <v>0</v>
      </c>
      <c r="AK354" s="198">
        <f t="shared" si="96"/>
        <v>0</v>
      </c>
      <c r="AL354" s="198">
        <f t="shared" si="96"/>
        <v>0</v>
      </c>
      <c r="AM354" s="198">
        <f t="shared" si="96"/>
        <v>0</v>
      </c>
      <c r="AN354" s="198">
        <f t="shared" si="96"/>
        <v>0</v>
      </c>
      <c r="AO354" s="198">
        <f t="shared" si="96"/>
        <v>0</v>
      </c>
    </row>
    <row r="355" spans="3:44" x14ac:dyDescent="0.25">
      <c r="C355" s="73"/>
      <c r="F355" s="52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</row>
    <row r="356" spans="3:44" x14ac:dyDescent="0.25">
      <c r="C356" s="73"/>
      <c r="F356" s="453" t="s">
        <v>1188</v>
      </c>
      <c r="G356" t="s">
        <v>1138</v>
      </c>
      <c r="J356" s="198">
        <f t="shared" ref="J356:AO356" si="97">J229 - J354</f>
        <v>0</v>
      </c>
      <c r="K356" s="198">
        <f t="shared" si="97"/>
        <v>0</v>
      </c>
      <c r="L356" s="198">
        <f t="shared" si="97"/>
        <v>0</v>
      </c>
      <c r="M356" s="198">
        <f t="shared" si="97"/>
        <v>0</v>
      </c>
      <c r="N356" s="198">
        <f t="shared" si="97"/>
        <v>0</v>
      </c>
      <c r="O356" s="198">
        <f t="shared" si="97"/>
        <v>0</v>
      </c>
      <c r="P356" s="198">
        <f t="shared" si="97"/>
        <v>0</v>
      </c>
      <c r="Q356" s="198">
        <f t="shared" si="97"/>
        <v>0</v>
      </c>
      <c r="R356" s="198">
        <f t="shared" si="97"/>
        <v>0</v>
      </c>
      <c r="S356" s="198">
        <f t="shared" si="97"/>
        <v>0</v>
      </c>
      <c r="T356" s="198">
        <f t="shared" si="97"/>
        <v>0</v>
      </c>
      <c r="U356" s="198">
        <f t="shared" si="97"/>
        <v>0</v>
      </c>
      <c r="V356" s="198">
        <f t="shared" si="97"/>
        <v>0</v>
      </c>
      <c r="W356" s="198">
        <f t="shared" si="97"/>
        <v>0</v>
      </c>
      <c r="X356" s="198">
        <f t="shared" si="97"/>
        <v>0</v>
      </c>
      <c r="Y356" s="198">
        <f t="shared" si="97"/>
        <v>0</v>
      </c>
      <c r="Z356" s="198">
        <f t="shared" si="97"/>
        <v>0</v>
      </c>
      <c r="AA356" s="198">
        <f t="shared" si="97"/>
        <v>0</v>
      </c>
      <c r="AB356" s="198">
        <f t="shared" si="97"/>
        <v>0</v>
      </c>
      <c r="AC356" s="198">
        <f t="shared" si="97"/>
        <v>0</v>
      </c>
      <c r="AD356" s="198">
        <f t="shared" si="97"/>
        <v>0</v>
      </c>
      <c r="AE356" s="198">
        <f t="shared" si="97"/>
        <v>0</v>
      </c>
      <c r="AF356" s="198">
        <f t="shared" si="97"/>
        <v>0</v>
      </c>
      <c r="AG356" s="198">
        <f t="shared" si="97"/>
        <v>0</v>
      </c>
      <c r="AH356" s="198">
        <f t="shared" si="97"/>
        <v>0</v>
      </c>
      <c r="AI356" s="198">
        <f t="shared" si="97"/>
        <v>0</v>
      </c>
      <c r="AJ356" s="198">
        <f t="shared" si="97"/>
        <v>0</v>
      </c>
      <c r="AK356" s="198">
        <f t="shared" si="97"/>
        <v>0</v>
      </c>
      <c r="AL356" s="198">
        <f t="shared" si="97"/>
        <v>0</v>
      </c>
      <c r="AM356" s="198">
        <f t="shared" si="97"/>
        <v>0</v>
      </c>
      <c r="AN356" s="198">
        <f t="shared" si="97"/>
        <v>0</v>
      </c>
      <c r="AO356" s="198">
        <f t="shared" si="97"/>
        <v>0</v>
      </c>
    </row>
    <row r="357" spans="3:44" x14ac:dyDescent="0.25">
      <c r="C357" s="73"/>
      <c r="F357" s="52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</row>
    <row r="358" spans="3:44" x14ac:dyDescent="0.25">
      <c r="C358" s="73"/>
      <c r="F358" t="s">
        <v>1177</v>
      </c>
      <c r="G358" t="s">
        <v>1138</v>
      </c>
      <c r="J358" s="198">
        <f>SUMIF($J$150:$AO$150,J$150,$J356:$AO356)</f>
        <v>0</v>
      </c>
      <c r="K358" s="198">
        <f t="shared" ref="K358:AO358" si="98">SUMIF($J$150:$AO$150,K$150,$J356:$AO356)</f>
        <v>0</v>
      </c>
      <c r="L358" s="198">
        <f t="shared" si="98"/>
        <v>0</v>
      </c>
      <c r="M358" s="198">
        <f t="shared" si="98"/>
        <v>0</v>
      </c>
      <c r="N358" s="198">
        <f t="shared" si="98"/>
        <v>0</v>
      </c>
      <c r="O358" s="198">
        <f t="shared" si="98"/>
        <v>0</v>
      </c>
      <c r="P358" s="198">
        <f t="shared" si="98"/>
        <v>0</v>
      </c>
      <c r="Q358" s="198">
        <f t="shared" si="98"/>
        <v>0</v>
      </c>
      <c r="R358" s="198">
        <f t="shared" si="98"/>
        <v>0</v>
      </c>
      <c r="S358" s="198">
        <f t="shared" si="98"/>
        <v>0</v>
      </c>
      <c r="T358" s="198">
        <f t="shared" si="98"/>
        <v>0</v>
      </c>
      <c r="U358" s="198">
        <f t="shared" si="98"/>
        <v>0</v>
      </c>
      <c r="V358" s="198">
        <f t="shared" si="98"/>
        <v>0</v>
      </c>
      <c r="W358" s="198">
        <f t="shared" si="98"/>
        <v>0</v>
      </c>
      <c r="X358" s="198">
        <f t="shared" si="98"/>
        <v>0</v>
      </c>
      <c r="Y358" s="198">
        <f t="shared" si="98"/>
        <v>0</v>
      </c>
      <c r="Z358" s="198">
        <f t="shared" si="98"/>
        <v>0</v>
      </c>
      <c r="AA358" s="198">
        <f t="shared" si="98"/>
        <v>0</v>
      </c>
      <c r="AB358" s="198">
        <f t="shared" si="98"/>
        <v>0</v>
      </c>
      <c r="AC358" s="198">
        <f t="shared" si="98"/>
        <v>0</v>
      </c>
      <c r="AD358" s="198">
        <f t="shared" si="98"/>
        <v>0</v>
      </c>
      <c r="AE358" s="198">
        <f t="shared" si="98"/>
        <v>0</v>
      </c>
      <c r="AF358" s="198">
        <f t="shared" si="98"/>
        <v>0</v>
      </c>
      <c r="AG358" s="198">
        <f t="shared" si="98"/>
        <v>0</v>
      </c>
      <c r="AH358" s="198">
        <f t="shared" si="98"/>
        <v>0</v>
      </c>
      <c r="AI358" s="198">
        <f t="shared" si="98"/>
        <v>0</v>
      </c>
      <c r="AJ358" s="198">
        <f t="shared" si="98"/>
        <v>0</v>
      </c>
      <c r="AK358" s="198">
        <f t="shared" si="98"/>
        <v>0</v>
      </c>
      <c r="AL358" s="198">
        <f t="shared" si="98"/>
        <v>0</v>
      </c>
      <c r="AM358" s="198">
        <f t="shared" si="98"/>
        <v>0</v>
      </c>
      <c r="AN358" s="198">
        <f t="shared" si="98"/>
        <v>0</v>
      </c>
      <c r="AO358" s="198">
        <f t="shared" si="98"/>
        <v>0</v>
      </c>
    </row>
    <row r="359" spans="3:44" x14ac:dyDescent="0.25">
      <c r="C359" s="73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</row>
    <row r="360" spans="3:44" x14ac:dyDescent="0.25">
      <c r="C360" s="73"/>
      <c r="F360" t="s">
        <v>1178</v>
      </c>
      <c r="G360" t="s">
        <v>1138</v>
      </c>
      <c r="J360" s="198">
        <f xml:space="preserve"> J358 * J$158</f>
        <v>0</v>
      </c>
      <c r="K360" s="198">
        <f t="shared" ref="K360:AO360" si="99" xml:space="preserve"> K358 * K$158</f>
        <v>0</v>
      </c>
      <c r="L360" s="198">
        <f t="shared" si="99"/>
        <v>0</v>
      </c>
      <c r="M360" s="198">
        <f t="shared" si="99"/>
        <v>0</v>
      </c>
      <c r="N360" s="198">
        <f t="shared" si="99"/>
        <v>0</v>
      </c>
      <c r="O360" s="198">
        <f t="shared" si="99"/>
        <v>0</v>
      </c>
      <c r="P360" s="198">
        <f t="shared" si="99"/>
        <v>0</v>
      </c>
      <c r="Q360" s="198">
        <f t="shared" si="99"/>
        <v>0</v>
      </c>
      <c r="R360" s="198">
        <f t="shared" si="99"/>
        <v>0</v>
      </c>
      <c r="S360" s="198">
        <f t="shared" si="99"/>
        <v>0</v>
      </c>
      <c r="T360" s="198">
        <f t="shared" si="99"/>
        <v>0</v>
      </c>
      <c r="U360" s="198">
        <f t="shared" si="99"/>
        <v>0</v>
      </c>
      <c r="V360" s="198">
        <f t="shared" si="99"/>
        <v>0</v>
      </c>
      <c r="W360" s="198">
        <f t="shared" si="99"/>
        <v>0</v>
      </c>
      <c r="X360" s="198">
        <f t="shared" si="99"/>
        <v>0</v>
      </c>
      <c r="Y360" s="198">
        <f t="shared" si="99"/>
        <v>0</v>
      </c>
      <c r="Z360" s="198">
        <f t="shared" si="99"/>
        <v>0</v>
      </c>
      <c r="AA360" s="198">
        <f t="shared" si="99"/>
        <v>0</v>
      </c>
      <c r="AB360" s="198">
        <f t="shared" si="99"/>
        <v>0</v>
      </c>
      <c r="AC360" s="198">
        <f t="shared" si="99"/>
        <v>0</v>
      </c>
      <c r="AD360" s="198">
        <f t="shared" si="99"/>
        <v>0</v>
      </c>
      <c r="AE360" s="198">
        <f t="shared" si="99"/>
        <v>0</v>
      </c>
      <c r="AF360" s="198">
        <f t="shared" si="99"/>
        <v>0</v>
      </c>
      <c r="AG360" s="198">
        <f t="shared" si="99"/>
        <v>0</v>
      </c>
      <c r="AH360" s="198">
        <f t="shared" si="99"/>
        <v>0</v>
      </c>
      <c r="AI360" s="198">
        <f t="shared" si="99"/>
        <v>0</v>
      </c>
      <c r="AJ360" s="198">
        <f t="shared" si="99"/>
        <v>0</v>
      </c>
      <c r="AK360" s="198">
        <f t="shared" si="99"/>
        <v>0</v>
      </c>
      <c r="AL360" s="198">
        <f t="shared" si="99"/>
        <v>0</v>
      </c>
      <c r="AM360" s="198">
        <f t="shared" si="99"/>
        <v>0</v>
      </c>
      <c r="AN360" s="198">
        <f t="shared" si="99"/>
        <v>0</v>
      </c>
      <c r="AO360" s="198">
        <f t="shared" si="99"/>
        <v>0</v>
      </c>
    </row>
    <row r="361" spans="3:44" x14ac:dyDescent="0.25">
      <c r="C361" s="73"/>
      <c r="F361" s="84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</row>
    <row r="362" spans="3:44" x14ac:dyDescent="0.25">
      <c r="C362" s="73"/>
      <c r="E362" s="52" t="s">
        <v>1129</v>
      </c>
      <c r="F362" s="84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</row>
    <row r="363" spans="3:44" x14ac:dyDescent="0.25">
      <c r="C363" s="73"/>
      <c r="F363" s="450" t="s">
        <v>1189</v>
      </c>
      <c r="G363" t="s">
        <v>120</v>
      </c>
      <c r="J363" s="198">
        <f t="shared" ref="J363:AO363" si="100">J285</f>
        <v>0</v>
      </c>
      <c r="K363" s="198">
        <f t="shared" si="100"/>
        <v>0</v>
      </c>
      <c r="L363" s="198">
        <f t="shared" si="100"/>
        <v>0</v>
      </c>
      <c r="M363" s="198">
        <f t="shared" si="100"/>
        <v>0</v>
      </c>
      <c r="N363" s="198">
        <f t="shared" si="100"/>
        <v>0</v>
      </c>
      <c r="O363" s="198">
        <f t="shared" si="100"/>
        <v>0</v>
      </c>
      <c r="P363" s="198">
        <f t="shared" si="100"/>
        <v>0</v>
      </c>
      <c r="Q363" s="198">
        <f t="shared" si="100"/>
        <v>0</v>
      </c>
      <c r="R363" s="198">
        <f t="shared" si="100"/>
        <v>0</v>
      </c>
      <c r="S363" s="198">
        <f t="shared" si="100"/>
        <v>0</v>
      </c>
      <c r="T363" s="198">
        <f t="shared" si="100"/>
        <v>0</v>
      </c>
      <c r="U363" s="198">
        <f t="shared" si="100"/>
        <v>0</v>
      </c>
      <c r="V363" s="198">
        <f t="shared" si="100"/>
        <v>0</v>
      </c>
      <c r="W363" s="198">
        <f t="shared" si="100"/>
        <v>0</v>
      </c>
      <c r="X363" s="198">
        <f t="shared" si="100"/>
        <v>0</v>
      </c>
      <c r="Y363" s="198">
        <f t="shared" si="100"/>
        <v>0</v>
      </c>
      <c r="Z363" s="198">
        <f t="shared" si="100"/>
        <v>0</v>
      </c>
      <c r="AA363" s="198">
        <f t="shared" si="100"/>
        <v>0</v>
      </c>
      <c r="AB363" s="198">
        <f t="shared" si="100"/>
        <v>0</v>
      </c>
      <c r="AC363" s="198">
        <f t="shared" si="100"/>
        <v>0</v>
      </c>
      <c r="AD363" s="198">
        <f t="shared" si="100"/>
        <v>0</v>
      </c>
      <c r="AE363" s="198">
        <f t="shared" si="100"/>
        <v>0</v>
      </c>
      <c r="AF363" s="198">
        <f t="shared" si="100"/>
        <v>0</v>
      </c>
      <c r="AG363" s="198">
        <f t="shared" si="100"/>
        <v>0</v>
      </c>
      <c r="AH363" s="198">
        <f t="shared" si="100"/>
        <v>0</v>
      </c>
      <c r="AI363" s="198">
        <f t="shared" si="100"/>
        <v>0</v>
      </c>
      <c r="AJ363" s="198">
        <f t="shared" si="100"/>
        <v>0</v>
      </c>
      <c r="AK363" s="198">
        <f t="shared" si="100"/>
        <v>0</v>
      </c>
      <c r="AL363" s="198">
        <f t="shared" si="100"/>
        <v>0</v>
      </c>
      <c r="AM363" s="198">
        <f t="shared" si="100"/>
        <v>0</v>
      </c>
      <c r="AN363" s="198">
        <f t="shared" si="100"/>
        <v>0</v>
      </c>
      <c r="AO363" s="198">
        <f t="shared" si="100"/>
        <v>0</v>
      </c>
    </row>
    <row r="364" spans="3:44" x14ac:dyDescent="0.25">
      <c r="C364" s="73"/>
      <c r="F364" s="84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</row>
    <row r="365" spans="3:44" x14ac:dyDescent="0.25">
      <c r="C365" s="73"/>
      <c r="F365" t="s">
        <v>1133</v>
      </c>
      <c r="G365" t="s">
        <v>120</v>
      </c>
      <c r="J365" s="198">
        <f>SUMIF($J$150:$AO$150,J$150,$J363:$AO363)</f>
        <v>0</v>
      </c>
      <c r="K365" s="198">
        <f t="shared" ref="K365:AO365" si="101">SUMIF($J$150:$AO$150,K$150,$J363:$AO363)</f>
        <v>0</v>
      </c>
      <c r="L365" s="198">
        <f t="shared" si="101"/>
        <v>0</v>
      </c>
      <c r="M365" s="198">
        <f t="shared" si="101"/>
        <v>0</v>
      </c>
      <c r="N365" s="198">
        <f t="shared" si="101"/>
        <v>0</v>
      </c>
      <c r="O365" s="198">
        <f t="shared" si="101"/>
        <v>0</v>
      </c>
      <c r="P365" s="198">
        <f t="shared" si="101"/>
        <v>0</v>
      </c>
      <c r="Q365" s="198">
        <f t="shared" si="101"/>
        <v>0</v>
      </c>
      <c r="R365" s="198">
        <f t="shared" si="101"/>
        <v>0</v>
      </c>
      <c r="S365" s="198">
        <f t="shared" si="101"/>
        <v>0</v>
      </c>
      <c r="T365" s="198">
        <f t="shared" si="101"/>
        <v>0</v>
      </c>
      <c r="U365" s="198">
        <f t="shared" si="101"/>
        <v>0</v>
      </c>
      <c r="V365" s="198">
        <f t="shared" si="101"/>
        <v>0</v>
      </c>
      <c r="W365" s="198">
        <f t="shared" si="101"/>
        <v>0</v>
      </c>
      <c r="X365" s="198">
        <f t="shared" si="101"/>
        <v>0</v>
      </c>
      <c r="Y365" s="198">
        <f t="shared" si="101"/>
        <v>0</v>
      </c>
      <c r="Z365" s="198">
        <f t="shared" si="101"/>
        <v>0</v>
      </c>
      <c r="AA365" s="198">
        <f t="shared" si="101"/>
        <v>0</v>
      </c>
      <c r="AB365" s="198">
        <f t="shared" si="101"/>
        <v>0</v>
      </c>
      <c r="AC365" s="198">
        <f t="shared" si="101"/>
        <v>0</v>
      </c>
      <c r="AD365" s="198">
        <f t="shared" si="101"/>
        <v>0</v>
      </c>
      <c r="AE365" s="198">
        <f t="shared" si="101"/>
        <v>0</v>
      </c>
      <c r="AF365" s="198">
        <f t="shared" si="101"/>
        <v>0</v>
      </c>
      <c r="AG365" s="198">
        <f t="shared" si="101"/>
        <v>0</v>
      </c>
      <c r="AH365" s="198">
        <f t="shared" si="101"/>
        <v>0</v>
      </c>
      <c r="AI365" s="198">
        <f t="shared" si="101"/>
        <v>0</v>
      </c>
      <c r="AJ365" s="198">
        <f t="shared" si="101"/>
        <v>0</v>
      </c>
      <c r="AK365" s="198">
        <f t="shared" si="101"/>
        <v>0</v>
      </c>
      <c r="AL365" s="198">
        <f t="shared" si="101"/>
        <v>0</v>
      </c>
      <c r="AM365" s="198">
        <f t="shared" si="101"/>
        <v>0</v>
      </c>
      <c r="AN365" s="198">
        <f t="shared" si="101"/>
        <v>0</v>
      </c>
      <c r="AO365" s="198">
        <f t="shared" si="101"/>
        <v>0</v>
      </c>
    </row>
    <row r="366" spans="3:44" x14ac:dyDescent="0.25">
      <c r="C366" s="73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</row>
    <row r="367" spans="3:44" x14ac:dyDescent="0.25">
      <c r="C367" s="73"/>
      <c r="F367" t="s">
        <v>1134</v>
      </c>
      <c r="G367" t="s">
        <v>120</v>
      </c>
      <c r="J367" s="198">
        <f xml:space="preserve"> J365 * J$158</f>
        <v>0</v>
      </c>
      <c r="K367" s="198">
        <f t="shared" ref="K367:AO367" si="102" xml:space="preserve"> K365 * K$158</f>
        <v>0</v>
      </c>
      <c r="L367" s="198">
        <f t="shared" si="102"/>
        <v>0</v>
      </c>
      <c r="M367" s="198">
        <f t="shared" si="102"/>
        <v>0</v>
      </c>
      <c r="N367" s="198">
        <f t="shared" si="102"/>
        <v>0</v>
      </c>
      <c r="O367" s="198">
        <f t="shared" si="102"/>
        <v>0</v>
      </c>
      <c r="P367" s="198">
        <f t="shared" si="102"/>
        <v>0</v>
      </c>
      <c r="Q367" s="198">
        <f t="shared" si="102"/>
        <v>0</v>
      </c>
      <c r="R367" s="198">
        <f t="shared" si="102"/>
        <v>0</v>
      </c>
      <c r="S367" s="198">
        <f t="shared" si="102"/>
        <v>0</v>
      </c>
      <c r="T367" s="198">
        <f t="shared" si="102"/>
        <v>0</v>
      </c>
      <c r="U367" s="198">
        <f t="shared" si="102"/>
        <v>0</v>
      </c>
      <c r="V367" s="198">
        <f t="shared" si="102"/>
        <v>0</v>
      </c>
      <c r="W367" s="198">
        <f t="shared" si="102"/>
        <v>0</v>
      </c>
      <c r="X367" s="198">
        <f t="shared" si="102"/>
        <v>0</v>
      </c>
      <c r="Y367" s="198">
        <f t="shared" si="102"/>
        <v>0</v>
      </c>
      <c r="Z367" s="198">
        <f t="shared" si="102"/>
        <v>0</v>
      </c>
      <c r="AA367" s="198">
        <f t="shared" si="102"/>
        <v>0</v>
      </c>
      <c r="AB367" s="198">
        <f t="shared" si="102"/>
        <v>0</v>
      </c>
      <c r="AC367" s="198">
        <f t="shared" si="102"/>
        <v>0</v>
      </c>
      <c r="AD367" s="198">
        <f t="shared" si="102"/>
        <v>0</v>
      </c>
      <c r="AE367" s="198">
        <f t="shared" si="102"/>
        <v>0</v>
      </c>
      <c r="AF367" s="198">
        <f t="shared" si="102"/>
        <v>0</v>
      </c>
      <c r="AG367" s="198">
        <f t="shared" si="102"/>
        <v>0</v>
      </c>
      <c r="AH367" s="198">
        <f t="shared" si="102"/>
        <v>0</v>
      </c>
      <c r="AI367" s="198">
        <f t="shared" si="102"/>
        <v>0</v>
      </c>
      <c r="AJ367" s="198">
        <f t="shared" si="102"/>
        <v>0</v>
      </c>
      <c r="AK367" s="198">
        <f t="shared" si="102"/>
        <v>0</v>
      </c>
      <c r="AL367" s="198">
        <f t="shared" si="102"/>
        <v>0</v>
      </c>
      <c r="AM367" s="198">
        <f t="shared" si="102"/>
        <v>0</v>
      </c>
      <c r="AN367" s="198">
        <f t="shared" si="102"/>
        <v>0</v>
      </c>
      <c r="AO367" s="198">
        <f t="shared" si="102"/>
        <v>0</v>
      </c>
      <c r="AP367" s="59"/>
      <c r="AQ367" s="59"/>
      <c r="AR367" s="59"/>
    </row>
    <row r="368" spans="3:44" x14ac:dyDescent="0.25">
      <c r="C368" s="73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</row>
    <row r="369" spans="3:43" x14ac:dyDescent="0.25">
      <c r="C369" s="73"/>
      <c r="E369" s="12" t="s">
        <v>1196</v>
      </c>
      <c r="G369" t="s">
        <v>183</v>
      </c>
      <c r="J369" s="388">
        <f t="shared" ref="J369:AO369" si="103">IF( J367&lt;&gt;0, J360/J367, 0)*hundred/thousand</f>
        <v>0</v>
      </c>
      <c r="K369" s="388">
        <f t="shared" si="103"/>
        <v>0</v>
      </c>
      <c r="L369" s="388">
        <f t="shared" si="103"/>
        <v>0</v>
      </c>
      <c r="M369" s="388">
        <f t="shared" si="103"/>
        <v>0</v>
      </c>
      <c r="N369" s="388">
        <f t="shared" si="103"/>
        <v>0</v>
      </c>
      <c r="O369" s="388">
        <f t="shared" si="103"/>
        <v>0</v>
      </c>
      <c r="P369" s="388">
        <f t="shared" si="103"/>
        <v>0</v>
      </c>
      <c r="Q369" s="388">
        <f t="shared" si="103"/>
        <v>0</v>
      </c>
      <c r="R369" s="388">
        <f t="shared" si="103"/>
        <v>0</v>
      </c>
      <c r="S369" s="388">
        <f t="shared" si="103"/>
        <v>0</v>
      </c>
      <c r="T369" s="388">
        <f t="shared" si="103"/>
        <v>0</v>
      </c>
      <c r="U369" s="388">
        <f t="shared" si="103"/>
        <v>0</v>
      </c>
      <c r="V369" s="388">
        <f t="shared" si="103"/>
        <v>0</v>
      </c>
      <c r="W369" s="388">
        <f t="shared" si="103"/>
        <v>0</v>
      </c>
      <c r="X369" s="388">
        <f t="shared" si="103"/>
        <v>0</v>
      </c>
      <c r="Y369" s="388">
        <f t="shared" si="103"/>
        <v>0</v>
      </c>
      <c r="Z369" s="388">
        <f t="shared" si="103"/>
        <v>0</v>
      </c>
      <c r="AA369" s="388">
        <f t="shared" si="103"/>
        <v>0</v>
      </c>
      <c r="AB369" s="388">
        <f t="shared" si="103"/>
        <v>0</v>
      </c>
      <c r="AC369" s="388">
        <f t="shared" si="103"/>
        <v>0</v>
      </c>
      <c r="AD369" s="388">
        <f t="shared" si="103"/>
        <v>0</v>
      </c>
      <c r="AE369" s="388">
        <f t="shared" si="103"/>
        <v>0</v>
      </c>
      <c r="AF369" s="388">
        <f t="shared" si="103"/>
        <v>0</v>
      </c>
      <c r="AG369" s="388">
        <f t="shared" si="103"/>
        <v>0</v>
      </c>
      <c r="AH369" s="388">
        <f t="shared" si="103"/>
        <v>0</v>
      </c>
      <c r="AI369" s="388">
        <f t="shared" si="103"/>
        <v>0</v>
      </c>
      <c r="AJ369" s="388">
        <f t="shared" si="103"/>
        <v>0</v>
      </c>
      <c r="AK369" s="388">
        <f t="shared" si="103"/>
        <v>0</v>
      </c>
      <c r="AL369" s="388">
        <f t="shared" si="103"/>
        <v>0</v>
      </c>
      <c r="AM369" s="388">
        <f t="shared" si="103"/>
        <v>0</v>
      </c>
      <c r="AN369" s="388">
        <f t="shared" si="103"/>
        <v>0</v>
      </c>
      <c r="AO369" s="388">
        <f t="shared" si="103"/>
        <v>0</v>
      </c>
    </row>
    <row r="370" spans="3:43" x14ac:dyDescent="0.25">
      <c r="C370" s="73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</row>
    <row r="371" spans="3:43" x14ac:dyDescent="0.25">
      <c r="C371" s="73"/>
      <c r="E371" s="52" t="s">
        <v>1197</v>
      </c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</row>
    <row r="372" spans="3:43" x14ac:dyDescent="0.25">
      <c r="C372" s="73"/>
      <c r="F372" s="80" t="s">
        <v>1161</v>
      </c>
      <c r="G372" s="80" t="s">
        <v>1023</v>
      </c>
      <c r="H372" s="80"/>
      <c r="I372" s="80"/>
      <c r="J372" s="454"/>
      <c r="K372" s="454"/>
      <c r="L372" s="454"/>
      <c r="M372" s="454"/>
      <c r="N372" s="454"/>
      <c r="O372" s="454"/>
      <c r="P372" s="454"/>
      <c r="Q372" s="454"/>
      <c r="R372" s="454"/>
      <c r="S372" s="454"/>
      <c r="T372" s="454"/>
      <c r="U372" s="454"/>
      <c r="V372" s="454"/>
      <c r="W372" s="454"/>
      <c r="X372" s="454"/>
      <c r="Y372" s="454"/>
      <c r="Z372" s="454"/>
      <c r="AA372" s="454"/>
      <c r="AB372" s="454"/>
      <c r="AC372" s="454"/>
      <c r="AD372" s="454"/>
      <c r="AE372" s="454"/>
      <c r="AF372" s="454"/>
      <c r="AG372" s="454"/>
      <c r="AH372" s="454"/>
      <c r="AI372" s="454"/>
      <c r="AJ372" s="454"/>
      <c r="AK372" s="454"/>
      <c r="AL372" s="454"/>
      <c r="AM372" s="454"/>
      <c r="AN372" s="454"/>
      <c r="AO372" s="454"/>
    </row>
    <row r="373" spans="3:43" x14ac:dyDescent="0.25">
      <c r="C373" s="73"/>
      <c r="F373" t="s">
        <v>1162</v>
      </c>
      <c r="G373" t="s">
        <v>1023</v>
      </c>
      <c r="J373" s="455"/>
      <c r="K373" s="455"/>
      <c r="L373" s="455"/>
      <c r="M373" s="455"/>
      <c r="N373" s="455"/>
      <c r="O373" s="455"/>
      <c r="P373" s="455"/>
      <c r="Q373" s="455"/>
      <c r="R373" s="455"/>
      <c r="S373" s="455"/>
      <c r="T373" s="455"/>
      <c r="U373" s="455"/>
      <c r="V373" s="455"/>
      <c r="W373" s="455"/>
      <c r="X373" s="455"/>
      <c r="Y373" s="455"/>
      <c r="Z373" s="455"/>
      <c r="AA373" s="455"/>
      <c r="AB373" s="455"/>
      <c r="AC373" s="455"/>
      <c r="AD373" s="455"/>
      <c r="AE373" s="455"/>
      <c r="AF373" s="455"/>
      <c r="AG373" s="455"/>
      <c r="AH373" s="455"/>
      <c r="AI373" s="455"/>
      <c r="AJ373" s="455"/>
      <c r="AK373" s="455"/>
      <c r="AL373" s="455"/>
      <c r="AM373" s="455"/>
      <c r="AN373" s="455"/>
      <c r="AO373" s="455"/>
    </row>
    <row r="374" spans="3:43" x14ac:dyDescent="0.25">
      <c r="C374" s="73"/>
      <c r="F374" s="17" t="s">
        <v>1163</v>
      </c>
      <c r="G374" s="17" t="s">
        <v>1023</v>
      </c>
      <c r="H374" s="17"/>
      <c r="I374" s="17"/>
      <c r="J374" s="122" t="b">
        <f t="shared" ref="J374:AO374" si="104">IF(J$32, -J265+J$369&gt;=0, TRUE)</f>
        <v>1</v>
      </c>
      <c r="K374" s="122" t="b">
        <f t="shared" si="104"/>
        <v>1</v>
      </c>
      <c r="L374" s="122" t="b">
        <f t="shared" si="104"/>
        <v>1</v>
      </c>
      <c r="M374" s="122" t="b">
        <f t="shared" si="104"/>
        <v>1</v>
      </c>
      <c r="N374" s="122" t="b">
        <f t="shared" si="104"/>
        <v>1</v>
      </c>
      <c r="O374" s="122" t="b">
        <f t="shared" si="104"/>
        <v>1</v>
      </c>
      <c r="P374" s="122" t="b">
        <f t="shared" si="104"/>
        <v>1</v>
      </c>
      <c r="Q374" s="122" t="b">
        <f t="shared" si="104"/>
        <v>1</v>
      </c>
      <c r="R374" s="122" t="b">
        <f t="shared" si="104"/>
        <v>1</v>
      </c>
      <c r="S374" s="122" t="b">
        <f t="shared" si="104"/>
        <v>1</v>
      </c>
      <c r="T374" s="122" t="b">
        <f t="shared" si="104"/>
        <v>1</v>
      </c>
      <c r="U374" s="122" t="b">
        <f t="shared" si="104"/>
        <v>1</v>
      </c>
      <c r="V374" s="122" t="b">
        <f t="shared" si="104"/>
        <v>1</v>
      </c>
      <c r="W374" s="122" t="b">
        <f t="shared" si="104"/>
        <v>1</v>
      </c>
      <c r="X374" s="122" t="b">
        <f t="shared" si="104"/>
        <v>1</v>
      </c>
      <c r="Y374" s="122" t="b">
        <f t="shared" si="104"/>
        <v>1</v>
      </c>
      <c r="Z374" s="122" t="b">
        <f t="shared" si="104"/>
        <v>1</v>
      </c>
      <c r="AA374" s="122" t="b">
        <f t="shared" si="104"/>
        <v>1</v>
      </c>
      <c r="AB374" s="122" t="b">
        <f t="shared" si="104"/>
        <v>1</v>
      </c>
      <c r="AC374" s="122" t="b">
        <f t="shared" si="104"/>
        <v>1</v>
      </c>
      <c r="AD374" s="122" t="b">
        <f t="shared" si="104"/>
        <v>1</v>
      </c>
      <c r="AE374" s="122" t="b">
        <f t="shared" si="104"/>
        <v>1</v>
      </c>
      <c r="AF374" s="122" t="b">
        <f t="shared" si="104"/>
        <v>1</v>
      </c>
      <c r="AG374" s="122" t="b">
        <f t="shared" si="104"/>
        <v>1</v>
      </c>
      <c r="AH374" s="122" t="b">
        <f t="shared" si="104"/>
        <v>1</v>
      </c>
      <c r="AI374" s="122" t="b">
        <f t="shared" si="104"/>
        <v>1</v>
      </c>
      <c r="AJ374" s="122" t="b">
        <f t="shared" si="104"/>
        <v>1</v>
      </c>
      <c r="AK374" s="122" t="b">
        <f t="shared" si="104"/>
        <v>1</v>
      </c>
      <c r="AL374" s="122" t="b">
        <f t="shared" si="104"/>
        <v>1</v>
      </c>
      <c r="AM374" s="122" t="b">
        <f t="shared" si="104"/>
        <v>1</v>
      </c>
      <c r="AN374" s="122" t="b">
        <f t="shared" si="104"/>
        <v>1</v>
      </c>
      <c r="AO374" s="122" t="b">
        <f t="shared" si="104"/>
        <v>1</v>
      </c>
    </row>
    <row r="375" spans="3:43" x14ac:dyDescent="0.25">
      <c r="C375" s="73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</row>
    <row r="376" spans="3:43" x14ac:dyDescent="0.25">
      <c r="C376" s="73"/>
      <c r="E376" t="s">
        <v>1198</v>
      </c>
      <c r="G376" t="s">
        <v>1023</v>
      </c>
      <c r="J376" s="59" t="b">
        <f>J374</f>
        <v>1</v>
      </c>
      <c r="K376" s="59" t="b">
        <f t="shared" ref="K376:AO376" si="105">K374</f>
        <v>1</v>
      </c>
      <c r="L376" s="59" t="b">
        <f t="shared" si="105"/>
        <v>1</v>
      </c>
      <c r="M376" s="59" t="b">
        <f t="shared" si="105"/>
        <v>1</v>
      </c>
      <c r="N376" s="59" t="b">
        <f t="shared" si="105"/>
        <v>1</v>
      </c>
      <c r="O376" s="59" t="b">
        <f t="shared" si="105"/>
        <v>1</v>
      </c>
      <c r="P376" s="59" t="b">
        <f t="shared" si="105"/>
        <v>1</v>
      </c>
      <c r="Q376" s="59" t="b">
        <f t="shared" si="105"/>
        <v>1</v>
      </c>
      <c r="R376" s="59" t="b">
        <f t="shared" si="105"/>
        <v>1</v>
      </c>
      <c r="S376" s="59" t="b">
        <f t="shared" si="105"/>
        <v>1</v>
      </c>
      <c r="T376" s="59" t="b">
        <f t="shared" si="105"/>
        <v>1</v>
      </c>
      <c r="U376" s="59" t="b">
        <f t="shared" si="105"/>
        <v>1</v>
      </c>
      <c r="V376" s="59" t="b">
        <f t="shared" si="105"/>
        <v>1</v>
      </c>
      <c r="W376" s="59" t="b">
        <f t="shared" si="105"/>
        <v>1</v>
      </c>
      <c r="X376" s="59" t="b">
        <f t="shared" si="105"/>
        <v>1</v>
      </c>
      <c r="Y376" s="59" t="b">
        <f t="shared" si="105"/>
        <v>1</v>
      </c>
      <c r="Z376" s="59" t="b">
        <f t="shared" si="105"/>
        <v>1</v>
      </c>
      <c r="AA376" s="59" t="b">
        <f t="shared" si="105"/>
        <v>1</v>
      </c>
      <c r="AB376" s="59" t="b">
        <f t="shared" si="105"/>
        <v>1</v>
      </c>
      <c r="AC376" s="59" t="b">
        <f t="shared" si="105"/>
        <v>1</v>
      </c>
      <c r="AD376" s="59" t="b">
        <f t="shared" si="105"/>
        <v>1</v>
      </c>
      <c r="AE376" s="59" t="b">
        <f t="shared" si="105"/>
        <v>1</v>
      </c>
      <c r="AF376" s="59" t="b">
        <f t="shared" si="105"/>
        <v>1</v>
      </c>
      <c r="AG376" s="59" t="b">
        <f t="shared" si="105"/>
        <v>1</v>
      </c>
      <c r="AH376" s="59" t="b">
        <f t="shared" si="105"/>
        <v>1</v>
      </c>
      <c r="AI376" s="59" t="b">
        <f t="shared" si="105"/>
        <v>1</v>
      </c>
      <c r="AJ376" s="59" t="b">
        <f t="shared" si="105"/>
        <v>1</v>
      </c>
      <c r="AK376" s="59" t="b">
        <f t="shared" si="105"/>
        <v>1</v>
      </c>
      <c r="AL376" s="59" t="b">
        <f t="shared" si="105"/>
        <v>1</v>
      </c>
      <c r="AM376" s="59" t="b">
        <f t="shared" si="105"/>
        <v>1</v>
      </c>
      <c r="AN376" s="59" t="b">
        <f t="shared" si="105"/>
        <v>1</v>
      </c>
      <c r="AO376" s="59" t="b">
        <f t="shared" si="105"/>
        <v>1</v>
      </c>
    </row>
    <row r="377" spans="3:43" x14ac:dyDescent="0.25">
      <c r="C377" s="73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</row>
    <row r="378" spans="3:43" x14ac:dyDescent="0.25">
      <c r="C378" s="5" t="str">
        <f ca="1">INDEX('Version control'!$H$36:$H$62,MATCH($A$1,'Version control'!$F$36:$F$62,0),1)&amp;"-N: Revenue matching adders by timeband"</f>
        <v>Section 519-N: Revenue matching adders by timeband</v>
      </c>
      <c r="D378" s="5"/>
      <c r="E378" s="5"/>
      <c r="F378" s="5"/>
      <c r="G378" s="5"/>
      <c r="H378" s="5"/>
      <c r="I378" s="5"/>
      <c r="J378" s="143"/>
      <c r="K378" s="143"/>
      <c r="L378" s="143"/>
      <c r="M378" s="143"/>
      <c r="N378" s="143"/>
      <c r="O378" s="143"/>
      <c r="P378" s="143"/>
      <c r="Q378" s="143"/>
      <c r="R378" s="143"/>
      <c r="S378" s="143"/>
      <c r="T378" s="143"/>
      <c r="U378" s="143"/>
      <c r="V378" s="143"/>
      <c r="W378" s="143"/>
      <c r="X378" s="143"/>
      <c r="Y378" s="143"/>
      <c r="Z378" s="143"/>
      <c r="AA378" s="143"/>
      <c r="AB378" s="143"/>
      <c r="AC378" s="143"/>
      <c r="AD378" s="143"/>
      <c r="AE378" s="143"/>
      <c r="AF378" s="143"/>
      <c r="AG378" s="143"/>
      <c r="AH378" s="143"/>
      <c r="AI378" s="143"/>
      <c r="AJ378" s="143"/>
      <c r="AK378" s="143"/>
      <c r="AL378" s="143"/>
      <c r="AM378" s="143"/>
      <c r="AN378" s="143"/>
      <c r="AO378" s="143"/>
      <c r="AP378" s="5"/>
      <c r="AQ378" s="5"/>
    </row>
    <row r="379" spans="3:43" x14ac:dyDescent="0.25">
      <c r="C379" s="73"/>
      <c r="E379" s="52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</row>
    <row r="380" spans="3:43" x14ac:dyDescent="0.25">
      <c r="C380" s="73"/>
      <c r="D380" s="73" t="s">
        <v>1237</v>
      </c>
      <c r="E380" s="52"/>
      <c r="I380" t="s">
        <v>359</v>
      </c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Q380" t="s">
        <v>743</v>
      </c>
    </row>
    <row r="381" spans="3:43" x14ac:dyDescent="0.25">
      <c r="C381" s="73"/>
      <c r="D381" s="73" t="s">
        <v>1199</v>
      </c>
      <c r="E381" s="52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</row>
    <row r="382" spans="3:43" x14ac:dyDescent="0.25">
      <c r="C382" s="73"/>
      <c r="D382" s="73" t="s">
        <v>1200</v>
      </c>
      <c r="E382" s="52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</row>
    <row r="383" spans="3:43" x14ac:dyDescent="0.25">
      <c r="C383" s="73"/>
      <c r="E383" s="52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</row>
    <row r="384" spans="3:43" x14ac:dyDescent="0.25">
      <c r="C384" s="73"/>
      <c r="E384" s="52" t="s">
        <v>1201</v>
      </c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</row>
    <row r="385" spans="3:41" x14ac:dyDescent="0.25">
      <c r="C385" s="73"/>
      <c r="F385" s="80" t="s">
        <v>1202</v>
      </c>
      <c r="G385" s="80" t="s">
        <v>1023</v>
      </c>
      <c r="H385" s="80"/>
      <c r="I385" s="80"/>
      <c r="J385" s="258" t="b">
        <f t="shared" ref="J385:AO385" si="106">J312</f>
        <v>1</v>
      </c>
      <c r="K385" s="258" t="b">
        <f t="shared" si="106"/>
        <v>1</v>
      </c>
      <c r="L385" s="258" t="b">
        <f t="shared" si="106"/>
        <v>1</v>
      </c>
      <c r="M385" s="258" t="b">
        <f t="shared" si="106"/>
        <v>1</v>
      </c>
      <c r="N385" s="258" t="b">
        <f t="shared" si="106"/>
        <v>1</v>
      </c>
      <c r="O385" s="258" t="b">
        <f t="shared" si="106"/>
        <v>1</v>
      </c>
      <c r="P385" s="258" t="b">
        <f t="shared" si="106"/>
        <v>1</v>
      </c>
      <c r="Q385" s="258" t="b">
        <f t="shared" si="106"/>
        <v>1</v>
      </c>
      <c r="R385" s="258" t="b">
        <f t="shared" si="106"/>
        <v>1</v>
      </c>
      <c r="S385" s="258" t="b">
        <f t="shared" si="106"/>
        <v>1</v>
      </c>
      <c r="T385" s="258" t="b">
        <f t="shared" si="106"/>
        <v>1</v>
      </c>
      <c r="U385" s="258" t="b">
        <f t="shared" si="106"/>
        <v>1</v>
      </c>
      <c r="V385" s="258" t="b">
        <f t="shared" si="106"/>
        <v>1</v>
      </c>
      <c r="W385" s="258" t="b">
        <f t="shared" si="106"/>
        <v>1</v>
      </c>
      <c r="X385" s="258" t="b">
        <f t="shared" si="106"/>
        <v>1</v>
      </c>
      <c r="Y385" s="258" t="b">
        <f t="shared" si="106"/>
        <v>1</v>
      </c>
      <c r="Z385" s="258" t="b">
        <f t="shared" si="106"/>
        <v>1</v>
      </c>
      <c r="AA385" s="258" t="b">
        <f t="shared" si="106"/>
        <v>1</v>
      </c>
      <c r="AB385" s="258" t="b">
        <f t="shared" si="106"/>
        <v>1</v>
      </c>
      <c r="AC385" s="258" t="b">
        <f t="shared" si="106"/>
        <v>1</v>
      </c>
      <c r="AD385" s="258" t="b">
        <f t="shared" si="106"/>
        <v>1</v>
      </c>
      <c r="AE385" s="258" t="b">
        <f t="shared" si="106"/>
        <v>1</v>
      </c>
      <c r="AF385" s="258" t="b">
        <f t="shared" si="106"/>
        <v>1</v>
      </c>
      <c r="AG385" s="258" t="b">
        <f t="shared" si="106"/>
        <v>1</v>
      </c>
      <c r="AH385" s="258" t="b">
        <f t="shared" si="106"/>
        <v>1</v>
      </c>
      <c r="AI385" s="258" t="b">
        <f t="shared" si="106"/>
        <v>1</v>
      </c>
      <c r="AJ385" s="258" t="b">
        <f t="shared" si="106"/>
        <v>1</v>
      </c>
      <c r="AK385" s="258" t="b">
        <f t="shared" si="106"/>
        <v>1</v>
      </c>
      <c r="AL385" s="258" t="b">
        <f t="shared" si="106"/>
        <v>1</v>
      </c>
      <c r="AM385" s="258" t="b">
        <f t="shared" si="106"/>
        <v>1</v>
      </c>
      <c r="AN385" s="258" t="b">
        <f t="shared" si="106"/>
        <v>1</v>
      </c>
      <c r="AO385" s="258" t="b">
        <f t="shared" si="106"/>
        <v>1</v>
      </c>
    </row>
    <row r="386" spans="3:41" x14ac:dyDescent="0.25">
      <c r="C386" s="73"/>
      <c r="F386" t="s">
        <v>1203</v>
      </c>
      <c r="G386" t="s">
        <v>1023</v>
      </c>
      <c r="J386" s="258" t="b">
        <f t="shared" ref="J386:AO386" si="107">J344</f>
        <v>1</v>
      </c>
      <c r="K386" s="258" t="b">
        <f t="shared" si="107"/>
        <v>1</v>
      </c>
      <c r="L386" s="258" t="b">
        <f t="shared" si="107"/>
        <v>1</v>
      </c>
      <c r="M386" s="258" t="b">
        <f t="shared" si="107"/>
        <v>1</v>
      </c>
      <c r="N386" s="258" t="b">
        <f t="shared" si="107"/>
        <v>1</v>
      </c>
      <c r="O386" s="258" t="b">
        <f t="shared" si="107"/>
        <v>1</v>
      </c>
      <c r="P386" s="258" t="b">
        <f t="shared" si="107"/>
        <v>1</v>
      </c>
      <c r="Q386" s="258" t="b">
        <f t="shared" si="107"/>
        <v>1</v>
      </c>
      <c r="R386" s="258" t="b">
        <f t="shared" si="107"/>
        <v>1</v>
      </c>
      <c r="S386" s="258" t="b">
        <f t="shared" si="107"/>
        <v>1</v>
      </c>
      <c r="T386" s="258" t="b">
        <f t="shared" si="107"/>
        <v>1</v>
      </c>
      <c r="U386" s="258" t="b">
        <f t="shared" si="107"/>
        <v>1</v>
      </c>
      <c r="V386" s="258" t="b">
        <f t="shared" si="107"/>
        <v>1</v>
      </c>
      <c r="W386" s="258" t="b">
        <f t="shared" si="107"/>
        <v>1</v>
      </c>
      <c r="X386" s="258" t="b">
        <f t="shared" si="107"/>
        <v>1</v>
      </c>
      <c r="Y386" s="258" t="b">
        <f t="shared" si="107"/>
        <v>1</v>
      </c>
      <c r="Z386" s="258" t="b">
        <f t="shared" si="107"/>
        <v>1</v>
      </c>
      <c r="AA386" s="258" t="b">
        <f t="shared" si="107"/>
        <v>1</v>
      </c>
      <c r="AB386" s="258" t="b">
        <f t="shared" si="107"/>
        <v>1</v>
      </c>
      <c r="AC386" s="258" t="b">
        <f t="shared" si="107"/>
        <v>1</v>
      </c>
      <c r="AD386" s="258" t="b">
        <f t="shared" si="107"/>
        <v>1</v>
      </c>
      <c r="AE386" s="258" t="b">
        <f t="shared" si="107"/>
        <v>1</v>
      </c>
      <c r="AF386" s="258" t="b">
        <f t="shared" si="107"/>
        <v>1</v>
      </c>
      <c r="AG386" s="258" t="b">
        <f t="shared" si="107"/>
        <v>1</v>
      </c>
      <c r="AH386" s="258" t="b">
        <f t="shared" si="107"/>
        <v>1</v>
      </c>
      <c r="AI386" s="258" t="b">
        <f t="shared" si="107"/>
        <v>1</v>
      </c>
      <c r="AJ386" s="258" t="b">
        <f t="shared" si="107"/>
        <v>1</v>
      </c>
      <c r="AK386" s="258" t="b">
        <f t="shared" si="107"/>
        <v>1</v>
      </c>
      <c r="AL386" s="258" t="b">
        <f t="shared" si="107"/>
        <v>1</v>
      </c>
      <c r="AM386" s="258" t="b">
        <f t="shared" si="107"/>
        <v>1</v>
      </c>
      <c r="AN386" s="258" t="b">
        <f t="shared" si="107"/>
        <v>1</v>
      </c>
      <c r="AO386" s="258" t="b">
        <f t="shared" si="107"/>
        <v>1</v>
      </c>
    </row>
    <row r="387" spans="3:41" x14ac:dyDescent="0.25">
      <c r="C387" s="73"/>
      <c r="F387" s="17" t="s">
        <v>1204</v>
      </c>
      <c r="G387" s="17" t="s">
        <v>1023</v>
      </c>
      <c r="H387" s="17"/>
      <c r="I387" s="17"/>
      <c r="J387" s="122" t="b">
        <f>J376</f>
        <v>1</v>
      </c>
      <c r="K387" s="122" t="b">
        <f t="shared" ref="K387:AO387" si="108">K376</f>
        <v>1</v>
      </c>
      <c r="L387" s="122" t="b">
        <f t="shared" si="108"/>
        <v>1</v>
      </c>
      <c r="M387" s="122" t="b">
        <f t="shared" si="108"/>
        <v>1</v>
      </c>
      <c r="N387" s="122" t="b">
        <f t="shared" si="108"/>
        <v>1</v>
      </c>
      <c r="O387" s="122" t="b">
        <f t="shared" si="108"/>
        <v>1</v>
      </c>
      <c r="P387" s="122" t="b">
        <f t="shared" si="108"/>
        <v>1</v>
      </c>
      <c r="Q387" s="122" t="b">
        <f t="shared" si="108"/>
        <v>1</v>
      </c>
      <c r="R387" s="122" t="b">
        <f t="shared" si="108"/>
        <v>1</v>
      </c>
      <c r="S387" s="122" t="b">
        <f t="shared" si="108"/>
        <v>1</v>
      </c>
      <c r="T387" s="122" t="b">
        <f t="shared" si="108"/>
        <v>1</v>
      </c>
      <c r="U387" s="122" t="b">
        <f t="shared" si="108"/>
        <v>1</v>
      </c>
      <c r="V387" s="122" t="b">
        <f t="shared" si="108"/>
        <v>1</v>
      </c>
      <c r="W387" s="122" t="b">
        <f t="shared" si="108"/>
        <v>1</v>
      </c>
      <c r="X387" s="122" t="b">
        <f t="shared" si="108"/>
        <v>1</v>
      </c>
      <c r="Y387" s="122" t="b">
        <f t="shared" si="108"/>
        <v>1</v>
      </c>
      <c r="Z387" s="122" t="b">
        <f t="shared" si="108"/>
        <v>1</v>
      </c>
      <c r="AA387" s="122" t="b">
        <f t="shared" si="108"/>
        <v>1</v>
      </c>
      <c r="AB387" s="122" t="b">
        <f t="shared" si="108"/>
        <v>1</v>
      </c>
      <c r="AC387" s="122" t="b">
        <f t="shared" si="108"/>
        <v>1</v>
      </c>
      <c r="AD387" s="122" t="b">
        <f t="shared" si="108"/>
        <v>1</v>
      </c>
      <c r="AE387" s="122" t="b">
        <f t="shared" si="108"/>
        <v>1</v>
      </c>
      <c r="AF387" s="122" t="b">
        <f t="shared" si="108"/>
        <v>1</v>
      </c>
      <c r="AG387" s="122" t="b">
        <f t="shared" si="108"/>
        <v>1</v>
      </c>
      <c r="AH387" s="122" t="b">
        <f t="shared" si="108"/>
        <v>1</v>
      </c>
      <c r="AI387" s="122" t="b">
        <f t="shared" si="108"/>
        <v>1</v>
      </c>
      <c r="AJ387" s="122" t="b">
        <f t="shared" si="108"/>
        <v>1</v>
      </c>
      <c r="AK387" s="122" t="b">
        <f t="shared" si="108"/>
        <v>1</v>
      </c>
      <c r="AL387" s="122" t="b">
        <f t="shared" si="108"/>
        <v>1</v>
      </c>
      <c r="AM387" s="122" t="b">
        <f t="shared" si="108"/>
        <v>1</v>
      </c>
      <c r="AN387" s="122" t="b">
        <f t="shared" si="108"/>
        <v>1</v>
      </c>
      <c r="AO387" s="122" t="b">
        <f t="shared" si="108"/>
        <v>1</v>
      </c>
    </row>
    <row r="388" spans="3:41" x14ac:dyDescent="0.25">
      <c r="C388" s="73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</row>
    <row r="389" spans="3:41" x14ac:dyDescent="0.25">
      <c r="C389" s="73"/>
      <c r="E389" s="52" t="s">
        <v>1205</v>
      </c>
      <c r="G389" t="s">
        <v>426</v>
      </c>
      <c r="J389" s="59">
        <f>COUNTIF(J385:J387, FALSE)+1</f>
        <v>1</v>
      </c>
      <c r="K389" s="59">
        <f t="shared" ref="K389:AO389" si="109">COUNTIF(K385:K387, FALSE)+1</f>
        <v>1</v>
      </c>
      <c r="L389" s="59">
        <f t="shared" si="109"/>
        <v>1</v>
      </c>
      <c r="M389" s="59">
        <f t="shared" si="109"/>
        <v>1</v>
      </c>
      <c r="N389" s="59">
        <f t="shared" si="109"/>
        <v>1</v>
      </c>
      <c r="O389" s="59">
        <f t="shared" si="109"/>
        <v>1</v>
      </c>
      <c r="P389" s="59">
        <f t="shared" si="109"/>
        <v>1</v>
      </c>
      <c r="Q389" s="59">
        <f t="shared" si="109"/>
        <v>1</v>
      </c>
      <c r="R389" s="59">
        <f t="shared" si="109"/>
        <v>1</v>
      </c>
      <c r="S389" s="59">
        <f t="shared" si="109"/>
        <v>1</v>
      </c>
      <c r="T389" s="59">
        <f t="shared" si="109"/>
        <v>1</v>
      </c>
      <c r="U389" s="59">
        <f t="shared" si="109"/>
        <v>1</v>
      </c>
      <c r="V389" s="59">
        <f t="shared" si="109"/>
        <v>1</v>
      </c>
      <c r="W389" s="59">
        <f t="shared" si="109"/>
        <v>1</v>
      </c>
      <c r="X389" s="59">
        <f t="shared" si="109"/>
        <v>1</v>
      </c>
      <c r="Y389" s="59">
        <f t="shared" si="109"/>
        <v>1</v>
      </c>
      <c r="Z389" s="59">
        <f t="shared" si="109"/>
        <v>1</v>
      </c>
      <c r="AA389" s="59">
        <f t="shared" si="109"/>
        <v>1</v>
      </c>
      <c r="AB389" s="59">
        <f t="shared" si="109"/>
        <v>1</v>
      </c>
      <c r="AC389" s="59">
        <f t="shared" si="109"/>
        <v>1</v>
      </c>
      <c r="AD389" s="59">
        <f t="shared" si="109"/>
        <v>1</v>
      </c>
      <c r="AE389" s="59">
        <f t="shared" si="109"/>
        <v>1</v>
      </c>
      <c r="AF389" s="59">
        <f t="shared" si="109"/>
        <v>1</v>
      </c>
      <c r="AG389" s="59">
        <f t="shared" si="109"/>
        <v>1</v>
      </c>
      <c r="AH389" s="59">
        <f t="shared" si="109"/>
        <v>1</v>
      </c>
      <c r="AI389" s="59">
        <f t="shared" si="109"/>
        <v>1</v>
      </c>
      <c r="AJ389" s="59">
        <f t="shared" si="109"/>
        <v>1</v>
      </c>
      <c r="AK389" s="59">
        <f t="shared" si="109"/>
        <v>1</v>
      </c>
      <c r="AL389" s="59">
        <f t="shared" si="109"/>
        <v>1</v>
      </c>
      <c r="AM389" s="59">
        <f t="shared" si="109"/>
        <v>1</v>
      </c>
      <c r="AN389" s="59">
        <f t="shared" si="109"/>
        <v>1</v>
      </c>
      <c r="AO389" s="59">
        <f t="shared" si="109"/>
        <v>1</v>
      </c>
    </row>
    <row r="390" spans="3:41" x14ac:dyDescent="0.25">
      <c r="C390" s="73"/>
      <c r="E390" s="12"/>
      <c r="J390" s="388"/>
      <c r="K390" s="388"/>
      <c r="L390" s="388"/>
      <c r="M390" s="388"/>
      <c r="N390" s="388"/>
      <c r="O390" s="388"/>
      <c r="P390" s="388"/>
      <c r="Q390" s="388"/>
      <c r="R390" s="388"/>
      <c r="S390" s="388"/>
      <c r="T390" s="388"/>
      <c r="U390" s="388"/>
      <c r="V390" s="388"/>
      <c r="W390" s="388"/>
      <c r="X390" s="388"/>
      <c r="Y390" s="388"/>
      <c r="Z390" s="388"/>
      <c r="AA390" s="388"/>
      <c r="AB390" s="388"/>
      <c r="AC390" s="388"/>
      <c r="AD390" s="388"/>
      <c r="AE390" s="388"/>
      <c r="AF390" s="388"/>
      <c r="AG390" s="388"/>
      <c r="AH390" s="388"/>
      <c r="AI390" s="388"/>
      <c r="AJ390" s="388"/>
      <c r="AK390" s="388"/>
      <c r="AL390" s="388"/>
      <c r="AM390" s="388"/>
      <c r="AN390" s="388"/>
      <c r="AO390" s="388"/>
    </row>
    <row r="391" spans="3:41" x14ac:dyDescent="0.25">
      <c r="C391" s="73"/>
      <c r="E391" s="52" t="s">
        <v>1206</v>
      </c>
      <c r="F391" s="17"/>
      <c r="G391" s="17"/>
      <c r="H391" s="17"/>
      <c r="I391" s="17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  <c r="AH391" s="122"/>
      <c r="AI391" s="122"/>
      <c r="AJ391" s="122"/>
      <c r="AK391" s="122"/>
      <c r="AL391" s="122"/>
      <c r="AM391" s="122"/>
      <c r="AN391" s="122"/>
      <c r="AO391" s="122"/>
    </row>
    <row r="392" spans="3:41" x14ac:dyDescent="0.25">
      <c r="C392" s="73"/>
      <c r="F392" s="80" t="s">
        <v>1202</v>
      </c>
      <c r="G392" s="80" t="s">
        <v>1023</v>
      </c>
      <c r="H392" s="80"/>
      <c r="I392" s="80"/>
      <c r="J392" s="456">
        <f t="shared" ref="J392:AO392" si="110">J305</f>
        <v>0</v>
      </c>
      <c r="K392" s="456">
        <f t="shared" si="110"/>
        <v>0</v>
      </c>
      <c r="L392" s="456">
        <f t="shared" si="110"/>
        <v>0</v>
      </c>
      <c r="M392" s="456">
        <f t="shared" si="110"/>
        <v>0</v>
      </c>
      <c r="N392" s="456">
        <f t="shared" si="110"/>
        <v>0</v>
      </c>
      <c r="O392" s="456">
        <f t="shared" si="110"/>
        <v>0</v>
      </c>
      <c r="P392" s="456">
        <f t="shared" si="110"/>
        <v>0</v>
      </c>
      <c r="Q392" s="456">
        <f t="shared" si="110"/>
        <v>0</v>
      </c>
      <c r="R392" s="456">
        <f t="shared" si="110"/>
        <v>0</v>
      </c>
      <c r="S392" s="456">
        <f t="shared" si="110"/>
        <v>0</v>
      </c>
      <c r="T392" s="456">
        <f t="shared" si="110"/>
        <v>0</v>
      </c>
      <c r="U392" s="456">
        <f t="shared" si="110"/>
        <v>0</v>
      </c>
      <c r="V392" s="456">
        <f t="shared" si="110"/>
        <v>0</v>
      </c>
      <c r="W392" s="456">
        <f t="shared" si="110"/>
        <v>0</v>
      </c>
      <c r="X392" s="456">
        <f t="shared" si="110"/>
        <v>0</v>
      </c>
      <c r="Y392" s="456">
        <f t="shared" si="110"/>
        <v>0</v>
      </c>
      <c r="Z392" s="456">
        <f t="shared" si="110"/>
        <v>0</v>
      </c>
      <c r="AA392" s="456">
        <f t="shared" si="110"/>
        <v>0</v>
      </c>
      <c r="AB392" s="456">
        <f t="shared" si="110"/>
        <v>0</v>
      </c>
      <c r="AC392" s="456">
        <f t="shared" si="110"/>
        <v>0</v>
      </c>
      <c r="AD392" s="456">
        <f t="shared" si="110"/>
        <v>0</v>
      </c>
      <c r="AE392" s="456">
        <f t="shared" si="110"/>
        <v>0</v>
      </c>
      <c r="AF392" s="456">
        <f t="shared" si="110"/>
        <v>0</v>
      </c>
      <c r="AG392" s="456">
        <f t="shared" si="110"/>
        <v>0</v>
      </c>
      <c r="AH392" s="456">
        <f t="shared" si="110"/>
        <v>0</v>
      </c>
      <c r="AI392" s="456">
        <f t="shared" si="110"/>
        <v>0</v>
      </c>
      <c r="AJ392" s="456">
        <f t="shared" si="110"/>
        <v>0</v>
      </c>
      <c r="AK392" s="456">
        <f t="shared" si="110"/>
        <v>0</v>
      </c>
      <c r="AL392" s="456">
        <f t="shared" si="110"/>
        <v>0</v>
      </c>
      <c r="AM392" s="456">
        <f t="shared" si="110"/>
        <v>0</v>
      </c>
      <c r="AN392" s="456">
        <f t="shared" si="110"/>
        <v>0</v>
      </c>
      <c r="AO392" s="456">
        <f t="shared" si="110"/>
        <v>0</v>
      </c>
    </row>
    <row r="393" spans="3:41" x14ac:dyDescent="0.25">
      <c r="C393" s="73"/>
      <c r="F393" t="s">
        <v>1203</v>
      </c>
      <c r="G393" t="s">
        <v>1023</v>
      </c>
      <c r="J393" s="456">
        <f t="shared" ref="J393:AO393" si="111">J337</f>
        <v>0</v>
      </c>
      <c r="K393" s="456">
        <f t="shared" si="111"/>
        <v>0</v>
      </c>
      <c r="L393" s="456">
        <f t="shared" si="111"/>
        <v>0</v>
      </c>
      <c r="M393" s="456">
        <f t="shared" si="111"/>
        <v>0</v>
      </c>
      <c r="N393" s="456">
        <f t="shared" si="111"/>
        <v>0</v>
      </c>
      <c r="O393" s="456">
        <f t="shared" si="111"/>
        <v>0</v>
      </c>
      <c r="P393" s="456">
        <f t="shared" si="111"/>
        <v>0</v>
      </c>
      <c r="Q393" s="456">
        <f t="shared" si="111"/>
        <v>0</v>
      </c>
      <c r="R393" s="456">
        <f t="shared" si="111"/>
        <v>0</v>
      </c>
      <c r="S393" s="456">
        <f t="shared" si="111"/>
        <v>0</v>
      </c>
      <c r="T393" s="456">
        <f t="shared" si="111"/>
        <v>0</v>
      </c>
      <c r="U393" s="456">
        <f t="shared" si="111"/>
        <v>0</v>
      </c>
      <c r="V393" s="456">
        <f t="shared" si="111"/>
        <v>0</v>
      </c>
      <c r="W393" s="456">
        <f t="shared" si="111"/>
        <v>0</v>
      </c>
      <c r="X393" s="456">
        <f t="shared" si="111"/>
        <v>0</v>
      </c>
      <c r="Y393" s="456">
        <f t="shared" si="111"/>
        <v>0</v>
      </c>
      <c r="Z393" s="456">
        <f t="shared" si="111"/>
        <v>0</v>
      </c>
      <c r="AA393" s="456">
        <f t="shared" si="111"/>
        <v>0</v>
      </c>
      <c r="AB393" s="456">
        <f t="shared" si="111"/>
        <v>0</v>
      </c>
      <c r="AC393" s="456">
        <f t="shared" si="111"/>
        <v>0</v>
      </c>
      <c r="AD393" s="456">
        <f t="shared" si="111"/>
        <v>0</v>
      </c>
      <c r="AE393" s="456">
        <f t="shared" si="111"/>
        <v>0</v>
      </c>
      <c r="AF393" s="456">
        <f t="shared" si="111"/>
        <v>0</v>
      </c>
      <c r="AG393" s="456">
        <f t="shared" si="111"/>
        <v>0</v>
      </c>
      <c r="AH393" s="456">
        <f t="shared" si="111"/>
        <v>0</v>
      </c>
      <c r="AI393" s="456">
        <f t="shared" si="111"/>
        <v>0</v>
      </c>
      <c r="AJ393" s="456">
        <f t="shared" si="111"/>
        <v>0</v>
      </c>
      <c r="AK393" s="456">
        <f t="shared" si="111"/>
        <v>0</v>
      </c>
      <c r="AL393" s="456">
        <f t="shared" si="111"/>
        <v>0</v>
      </c>
      <c r="AM393" s="456">
        <f t="shared" si="111"/>
        <v>0</v>
      </c>
      <c r="AN393" s="456">
        <f t="shared" si="111"/>
        <v>0</v>
      </c>
      <c r="AO393" s="456">
        <f t="shared" si="111"/>
        <v>0</v>
      </c>
    </row>
    <row r="394" spans="3:41" x14ac:dyDescent="0.25">
      <c r="C394" s="73"/>
      <c r="F394" s="17" t="s">
        <v>1204</v>
      </c>
      <c r="G394" s="17" t="s">
        <v>1023</v>
      </c>
      <c r="H394" s="17"/>
      <c r="I394" s="17"/>
      <c r="J394" s="452">
        <f t="shared" ref="J394:AO394" si="112">J369</f>
        <v>0</v>
      </c>
      <c r="K394" s="452">
        <f t="shared" si="112"/>
        <v>0</v>
      </c>
      <c r="L394" s="452">
        <f t="shared" si="112"/>
        <v>0</v>
      </c>
      <c r="M394" s="452">
        <f t="shared" si="112"/>
        <v>0</v>
      </c>
      <c r="N394" s="452">
        <f t="shared" si="112"/>
        <v>0</v>
      </c>
      <c r="O394" s="452">
        <f t="shared" si="112"/>
        <v>0</v>
      </c>
      <c r="P394" s="452">
        <f t="shared" si="112"/>
        <v>0</v>
      </c>
      <c r="Q394" s="452">
        <f t="shared" si="112"/>
        <v>0</v>
      </c>
      <c r="R394" s="452">
        <f t="shared" si="112"/>
        <v>0</v>
      </c>
      <c r="S394" s="452">
        <f t="shared" si="112"/>
        <v>0</v>
      </c>
      <c r="T394" s="452">
        <f t="shared" si="112"/>
        <v>0</v>
      </c>
      <c r="U394" s="452">
        <f t="shared" si="112"/>
        <v>0</v>
      </c>
      <c r="V394" s="452">
        <f t="shared" si="112"/>
        <v>0</v>
      </c>
      <c r="W394" s="452">
        <f t="shared" si="112"/>
        <v>0</v>
      </c>
      <c r="X394" s="452">
        <f t="shared" si="112"/>
        <v>0</v>
      </c>
      <c r="Y394" s="452">
        <f t="shared" si="112"/>
        <v>0</v>
      </c>
      <c r="Z394" s="452">
        <f t="shared" si="112"/>
        <v>0</v>
      </c>
      <c r="AA394" s="452">
        <f t="shared" si="112"/>
        <v>0</v>
      </c>
      <c r="AB394" s="452">
        <f t="shared" si="112"/>
        <v>0</v>
      </c>
      <c r="AC394" s="452">
        <f t="shared" si="112"/>
        <v>0</v>
      </c>
      <c r="AD394" s="452">
        <f t="shared" si="112"/>
        <v>0</v>
      </c>
      <c r="AE394" s="452">
        <f t="shared" si="112"/>
        <v>0</v>
      </c>
      <c r="AF394" s="452">
        <f t="shared" si="112"/>
        <v>0</v>
      </c>
      <c r="AG394" s="452">
        <f t="shared" si="112"/>
        <v>0</v>
      </c>
      <c r="AH394" s="452">
        <f t="shared" si="112"/>
        <v>0</v>
      </c>
      <c r="AI394" s="452">
        <f t="shared" si="112"/>
        <v>0</v>
      </c>
      <c r="AJ394" s="452">
        <f t="shared" si="112"/>
        <v>0</v>
      </c>
      <c r="AK394" s="452">
        <f t="shared" si="112"/>
        <v>0</v>
      </c>
      <c r="AL394" s="452">
        <f t="shared" si="112"/>
        <v>0</v>
      </c>
      <c r="AM394" s="452">
        <f t="shared" si="112"/>
        <v>0</v>
      </c>
      <c r="AN394" s="452">
        <f t="shared" si="112"/>
        <v>0</v>
      </c>
      <c r="AO394" s="452">
        <f t="shared" si="112"/>
        <v>0</v>
      </c>
    </row>
    <row r="395" spans="3:41" x14ac:dyDescent="0.25">
      <c r="C395" s="73"/>
      <c r="J395" s="388"/>
      <c r="K395" s="388"/>
      <c r="L395" s="388"/>
      <c r="M395" s="388"/>
      <c r="N395" s="388"/>
      <c r="O395" s="388"/>
      <c r="P395" s="388"/>
      <c r="Q395" s="388"/>
      <c r="R395" s="388"/>
      <c r="S395" s="388"/>
      <c r="T395" s="388"/>
      <c r="U395" s="388"/>
      <c r="V395" s="388"/>
      <c r="W395" s="388"/>
      <c r="X395" s="388"/>
      <c r="Y395" s="388"/>
      <c r="Z395" s="388"/>
      <c r="AA395" s="388"/>
      <c r="AB395" s="388"/>
      <c r="AC395" s="388"/>
      <c r="AD395" s="388"/>
      <c r="AE395" s="388"/>
      <c r="AF395" s="388"/>
      <c r="AG395" s="388"/>
      <c r="AH395" s="388"/>
      <c r="AI395" s="388"/>
      <c r="AJ395" s="388"/>
      <c r="AK395" s="388"/>
      <c r="AL395" s="388"/>
      <c r="AM395" s="388"/>
      <c r="AN395" s="388"/>
      <c r="AO395" s="388"/>
    </row>
    <row r="396" spans="3:41" x14ac:dyDescent="0.25">
      <c r="C396" s="73"/>
      <c r="E396" s="450" t="s">
        <v>1207</v>
      </c>
      <c r="G396" t="s">
        <v>183</v>
      </c>
      <c r="J396" s="388">
        <f>INDEX(J392:J394,J389)</f>
        <v>0</v>
      </c>
      <c r="K396" s="388">
        <f t="shared" ref="K396:AO396" si="113">INDEX(K392:K394,K389)</f>
        <v>0</v>
      </c>
      <c r="L396" s="388">
        <f t="shared" si="113"/>
        <v>0</v>
      </c>
      <c r="M396" s="388">
        <f t="shared" si="113"/>
        <v>0</v>
      </c>
      <c r="N396" s="388">
        <f t="shared" si="113"/>
        <v>0</v>
      </c>
      <c r="O396" s="388">
        <f t="shared" si="113"/>
        <v>0</v>
      </c>
      <c r="P396" s="388">
        <f t="shared" si="113"/>
        <v>0</v>
      </c>
      <c r="Q396" s="388">
        <f t="shared" si="113"/>
        <v>0</v>
      </c>
      <c r="R396" s="388">
        <f t="shared" si="113"/>
        <v>0</v>
      </c>
      <c r="S396" s="388">
        <f t="shared" si="113"/>
        <v>0</v>
      </c>
      <c r="T396" s="388">
        <f t="shared" si="113"/>
        <v>0</v>
      </c>
      <c r="U396" s="388">
        <f t="shared" si="113"/>
        <v>0</v>
      </c>
      <c r="V396" s="388">
        <f t="shared" si="113"/>
        <v>0</v>
      </c>
      <c r="W396" s="388">
        <f t="shared" si="113"/>
        <v>0</v>
      </c>
      <c r="X396" s="388">
        <f t="shared" si="113"/>
        <v>0</v>
      </c>
      <c r="Y396" s="388">
        <f t="shared" si="113"/>
        <v>0</v>
      </c>
      <c r="Z396" s="388">
        <f t="shared" si="113"/>
        <v>0</v>
      </c>
      <c r="AA396" s="388">
        <f t="shared" si="113"/>
        <v>0</v>
      </c>
      <c r="AB396" s="388">
        <f t="shared" si="113"/>
        <v>0</v>
      </c>
      <c r="AC396" s="388">
        <f t="shared" si="113"/>
        <v>0</v>
      </c>
      <c r="AD396" s="388">
        <f t="shared" si="113"/>
        <v>0</v>
      </c>
      <c r="AE396" s="388">
        <f t="shared" si="113"/>
        <v>0</v>
      </c>
      <c r="AF396" s="388">
        <f t="shared" si="113"/>
        <v>0</v>
      </c>
      <c r="AG396" s="388">
        <f t="shared" si="113"/>
        <v>0</v>
      </c>
      <c r="AH396" s="388">
        <f t="shared" si="113"/>
        <v>0</v>
      </c>
      <c r="AI396" s="388">
        <f t="shared" si="113"/>
        <v>0</v>
      </c>
      <c r="AJ396" s="388">
        <f t="shared" si="113"/>
        <v>0</v>
      </c>
      <c r="AK396" s="388">
        <f t="shared" si="113"/>
        <v>0</v>
      </c>
      <c r="AL396" s="388">
        <f t="shared" si="113"/>
        <v>0</v>
      </c>
      <c r="AM396" s="388">
        <f t="shared" si="113"/>
        <v>0</v>
      </c>
      <c r="AN396" s="388">
        <f t="shared" si="113"/>
        <v>0</v>
      </c>
      <c r="AO396" s="388">
        <f t="shared" si="113"/>
        <v>0</v>
      </c>
    </row>
    <row r="397" spans="3:41" x14ac:dyDescent="0.25">
      <c r="C397" s="73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</row>
    <row r="398" spans="3:41" x14ac:dyDescent="0.25">
      <c r="C398" s="73"/>
      <c r="E398" s="52" t="s">
        <v>1208</v>
      </c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</row>
    <row r="399" spans="3:41" x14ac:dyDescent="0.25">
      <c r="C399" s="73"/>
      <c r="F399" s="80" t="s">
        <v>1161</v>
      </c>
      <c r="G399" s="80" t="s">
        <v>183</v>
      </c>
      <c r="H399" s="80"/>
      <c r="I399" s="80"/>
      <c r="J399" s="451">
        <f t="shared" ref="J399:AO401" si="114">MAX(J$396, J263)</f>
        <v>0</v>
      </c>
      <c r="K399" s="451">
        <f t="shared" si="114"/>
        <v>0</v>
      </c>
      <c r="L399" s="451">
        <f t="shared" si="114"/>
        <v>0</v>
      </c>
      <c r="M399" s="451">
        <f t="shared" si="114"/>
        <v>0</v>
      </c>
      <c r="N399" s="451">
        <f t="shared" si="114"/>
        <v>0</v>
      </c>
      <c r="O399" s="451">
        <f t="shared" si="114"/>
        <v>0</v>
      </c>
      <c r="P399" s="451">
        <f t="shared" si="114"/>
        <v>0</v>
      </c>
      <c r="Q399" s="451">
        <f t="shared" si="114"/>
        <v>0</v>
      </c>
      <c r="R399" s="451">
        <f t="shared" si="114"/>
        <v>0</v>
      </c>
      <c r="S399" s="451">
        <f t="shared" si="114"/>
        <v>0</v>
      </c>
      <c r="T399" s="451">
        <f t="shared" si="114"/>
        <v>0</v>
      </c>
      <c r="U399" s="451">
        <f t="shared" si="114"/>
        <v>0</v>
      </c>
      <c r="V399" s="451">
        <f t="shared" si="114"/>
        <v>0</v>
      </c>
      <c r="W399" s="451">
        <f t="shared" si="114"/>
        <v>0</v>
      </c>
      <c r="X399" s="451">
        <f t="shared" si="114"/>
        <v>0</v>
      </c>
      <c r="Y399" s="451">
        <f t="shared" si="114"/>
        <v>0</v>
      </c>
      <c r="Z399" s="451">
        <f t="shared" si="114"/>
        <v>0</v>
      </c>
      <c r="AA399" s="451">
        <f t="shared" si="114"/>
        <v>0</v>
      </c>
      <c r="AB399" s="451">
        <f t="shared" si="114"/>
        <v>0</v>
      </c>
      <c r="AC399" s="451">
        <f t="shared" si="114"/>
        <v>0</v>
      </c>
      <c r="AD399" s="451">
        <f t="shared" si="114"/>
        <v>0</v>
      </c>
      <c r="AE399" s="451">
        <f t="shared" si="114"/>
        <v>0</v>
      </c>
      <c r="AF399" s="451">
        <f t="shared" si="114"/>
        <v>0</v>
      </c>
      <c r="AG399" s="451">
        <f t="shared" si="114"/>
        <v>0</v>
      </c>
      <c r="AH399" s="451">
        <f t="shared" si="114"/>
        <v>0</v>
      </c>
      <c r="AI399" s="451">
        <f t="shared" si="114"/>
        <v>0</v>
      </c>
      <c r="AJ399" s="451">
        <f t="shared" si="114"/>
        <v>0</v>
      </c>
      <c r="AK399" s="451">
        <f t="shared" si="114"/>
        <v>0</v>
      </c>
      <c r="AL399" s="451">
        <f t="shared" si="114"/>
        <v>0</v>
      </c>
      <c r="AM399" s="451">
        <f t="shared" si="114"/>
        <v>0</v>
      </c>
      <c r="AN399" s="451">
        <f t="shared" si="114"/>
        <v>0</v>
      </c>
      <c r="AO399" s="451">
        <f t="shared" si="114"/>
        <v>0</v>
      </c>
    </row>
    <row r="400" spans="3:41" x14ac:dyDescent="0.25">
      <c r="C400" s="73"/>
      <c r="F400" t="s">
        <v>1162</v>
      </c>
      <c r="G400" t="s">
        <v>183</v>
      </c>
      <c r="J400" s="388">
        <f t="shared" si="114"/>
        <v>0</v>
      </c>
      <c r="K400" s="388">
        <f t="shared" si="114"/>
        <v>0</v>
      </c>
      <c r="L400" s="388">
        <f t="shared" si="114"/>
        <v>0</v>
      </c>
      <c r="M400" s="388">
        <f t="shared" si="114"/>
        <v>0</v>
      </c>
      <c r="N400" s="388">
        <f t="shared" si="114"/>
        <v>0</v>
      </c>
      <c r="O400" s="388">
        <f t="shared" si="114"/>
        <v>0</v>
      </c>
      <c r="P400" s="388">
        <f t="shared" si="114"/>
        <v>0</v>
      </c>
      <c r="Q400" s="388">
        <f t="shared" si="114"/>
        <v>0</v>
      </c>
      <c r="R400" s="388">
        <f t="shared" si="114"/>
        <v>0</v>
      </c>
      <c r="S400" s="388">
        <f t="shared" si="114"/>
        <v>0</v>
      </c>
      <c r="T400" s="388">
        <f t="shared" si="114"/>
        <v>0</v>
      </c>
      <c r="U400" s="388">
        <f t="shared" si="114"/>
        <v>0</v>
      </c>
      <c r="V400" s="388">
        <f t="shared" si="114"/>
        <v>0</v>
      </c>
      <c r="W400" s="388">
        <f t="shared" si="114"/>
        <v>0</v>
      </c>
      <c r="X400" s="388">
        <f t="shared" si="114"/>
        <v>0</v>
      </c>
      <c r="Y400" s="388">
        <f t="shared" si="114"/>
        <v>0</v>
      </c>
      <c r="Z400" s="388">
        <f t="shared" si="114"/>
        <v>0</v>
      </c>
      <c r="AA400" s="388">
        <f t="shared" si="114"/>
        <v>0</v>
      </c>
      <c r="AB400" s="388">
        <f t="shared" si="114"/>
        <v>0</v>
      </c>
      <c r="AC400" s="388">
        <f t="shared" si="114"/>
        <v>0</v>
      </c>
      <c r="AD400" s="388">
        <f t="shared" si="114"/>
        <v>0</v>
      </c>
      <c r="AE400" s="388">
        <f t="shared" si="114"/>
        <v>0</v>
      </c>
      <c r="AF400" s="388">
        <f t="shared" si="114"/>
        <v>0</v>
      </c>
      <c r="AG400" s="388">
        <f t="shared" si="114"/>
        <v>0</v>
      </c>
      <c r="AH400" s="388">
        <f t="shared" si="114"/>
        <v>0</v>
      </c>
      <c r="AI400" s="388">
        <f t="shared" si="114"/>
        <v>0</v>
      </c>
      <c r="AJ400" s="388">
        <f t="shared" si="114"/>
        <v>0</v>
      </c>
      <c r="AK400" s="388">
        <f t="shared" si="114"/>
        <v>0</v>
      </c>
      <c r="AL400" s="388">
        <f t="shared" si="114"/>
        <v>0</v>
      </c>
      <c r="AM400" s="388">
        <f t="shared" si="114"/>
        <v>0</v>
      </c>
      <c r="AN400" s="388">
        <f t="shared" si="114"/>
        <v>0</v>
      </c>
      <c r="AO400" s="388">
        <f t="shared" si="114"/>
        <v>0</v>
      </c>
    </row>
    <row r="401" spans="2:43" x14ac:dyDescent="0.25">
      <c r="C401" s="73"/>
      <c r="F401" s="17" t="s">
        <v>1163</v>
      </c>
      <c r="G401" s="17" t="s">
        <v>183</v>
      </c>
      <c r="H401" s="17"/>
      <c r="I401" s="17"/>
      <c r="J401" s="452">
        <f t="shared" si="114"/>
        <v>0</v>
      </c>
      <c r="K401" s="452">
        <f t="shared" si="114"/>
        <v>0</v>
      </c>
      <c r="L401" s="452">
        <f t="shared" si="114"/>
        <v>0</v>
      </c>
      <c r="M401" s="452">
        <f t="shared" si="114"/>
        <v>0</v>
      </c>
      <c r="N401" s="452">
        <f t="shared" si="114"/>
        <v>0</v>
      </c>
      <c r="O401" s="452">
        <f t="shared" si="114"/>
        <v>0</v>
      </c>
      <c r="P401" s="452">
        <f t="shared" si="114"/>
        <v>0</v>
      </c>
      <c r="Q401" s="452">
        <f t="shared" si="114"/>
        <v>0</v>
      </c>
      <c r="R401" s="452">
        <f t="shared" si="114"/>
        <v>0</v>
      </c>
      <c r="S401" s="452">
        <f t="shared" si="114"/>
        <v>0</v>
      </c>
      <c r="T401" s="452">
        <f t="shared" si="114"/>
        <v>0</v>
      </c>
      <c r="U401" s="452">
        <f t="shared" si="114"/>
        <v>0</v>
      </c>
      <c r="V401" s="452">
        <f t="shared" si="114"/>
        <v>0</v>
      </c>
      <c r="W401" s="452">
        <f t="shared" si="114"/>
        <v>0</v>
      </c>
      <c r="X401" s="452">
        <f t="shared" si="114"/>
        <v>0</v>
      </c>
      <c r="Y401" s="452">
        <f t="shared" si="114"/>
        <v>0</v>
      </c>
      <c r="Z401" s="452">
        <f t="shared" si="114"/>
        <v>0</v>
      </c>
      <c r="AA401" s="452">
        <f t="shared" si="114"/>
        <v>0</v>
      </c>
      <c r="AB401" s="452">
        <f t="shared" si="114"/>
        <v>0</v>
      </c>
      <c r="AC401" s="452">
        <f t="shared" si="114"/>
        <v>0</v>
      </c>
      <c r="AD401" s="452">
        <f t="shared" si="114"/>
        <v>0</v>
      </c>
      <c r="AE401" s="452">
        <f t="shared" si="114"/>
        <v>0</v>
      </c>
      <c r="AF401" s="452">
        <f t="shared" si="114"/>
        <v>0</v>
      </c>
      <c r="AG401" s="452">
        <f t="shared" si="114"/>
        <v>0</v>
      </c>
      <c r="AH401" s="452">
        <f t="shared" si="114"/>
        <v>0</v>
      </c>
      <c r="AI401" s="452">
        <f t="shared" si="114"/>
        <v>0</v>
      </c>
      <c r="AJ401" s="452">
        <f t="shared" si="114"/>
        <v>0</v>
      </c>
      <c r="AK401" s="452">
        <f t="shared" si="114"/>
        <v>0</v>
      </c>
      <c r="AL401" s="452">
        <f t="shared" si="114"/>
        <v>0</v>
      </c>
      <c r="AM401" s="452">
        <f t="shared" si="114"/>
        <v>0</v>
      </c>
      <c r="AN401" s="452">
        <f t="shared" si="114"/>
        <v>0</v>
      </c>
      <c r="AO401" s="452">
        <f t="shared" si="114"/>
        <v>0</v>
      </c>
    </row>
    <row r="402" spans="2:43" x14ac:dyDescent="0.25">
      <c r="C402" s="73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</row>
    <row r="403" spans="2:43" x14ac:dyDescent="0.25">
      <c r="C403" s="73"/>
      <c r="E403" s="52" t="s">
        <v>1209</v>
      </c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</row>
    <row r="404" spans="2:43" x14ac:dyDescent="0.25">
      <c r="C404" s="73"/>
      <c r="F404" s="80" t="s">
        <v>134</v>
      </c>
      <c r="G404" s="80" t="s">
        <v>183</v>
      </c>
      <c r="H404" s="80"/>
      <c r="I404" s="80"/>
      <c r="J404" s="451">
        <f t="shared" ref="J404:AO406" si="115">IF(J$238, INDEX(J$399:J$401,J268), 0)</f>
        <v>0</v>
      </c>
      <c r="K404" s="451">
        <f t="shared" si="115"/>
        <v>0</v>
      </c>
      <c r="L404" s="451">
        <f t="shared" si="115"/>
        <v>0</v>
      </c>
      <c r="M404" s="451">
        <f t="shared" si="115"/>
        <v>0</v>
      </c>
      <c r="N404" s="451">
        <f t="shared" si="115"/>
        <v>0</v>
      </c>
      <c r="O404" s="451">
        <f t="shared" si="115"/>
        <v>0</v>
      </c>
      <c r="P404" s="451">
        <f t="shared" si="115"/>
        <v>0</v>
      </c>
      <c r="Q404" s="451">
        <f t="shared" si="115"/>
        <v>0</v>
      </c>
      <c r="R404" s="451">
        <f t="shared" si="115"/>
        <v>0</v>
      </c>
      <c r="S404" s="451">
        <f t="shared" si="115"/>
        <v>0</v>
      </c>
      <c r="T404" s="451">
        <f t="shared" si="115"/>
        <v>0</v>
      </c>
      <c r="U404" s="451">
        <f t="shared" si="115"/>
        <v>0</v>
      </c>
      <c r="V404" s="451">
        <f t="shared" si="115"/>
        <v>0</v>
      </c>
      <c r="W404" s="451">
        <f t="shared" si="115"/>
        <v>0</v>
      </c>
      <c r="X404" s="451">
        <f t="shared" si="115"/>
        <v>0</v>
      </c>
      <c r="Y404" s="451">
        <f t="shared" si="115"/>
        <v>0</v>
      </c>
      <c r="Z404" s="451">
        <f t="shared" si="115"/>
        <v>0</v>
      </c>
      <c r="AA404" s="451">
        <f t="shared" si="115"/>
        <v>0</v>
      </c>
      <c r="AB404" s="451">
        <f t="shared" si="115"/>
        <v>0</v>
      </c>
      <c r="AC404" s="451">
        <f t="shared" si="115"/>
        <v>0</v>
      </c>
      <c r="AD404" s="451">
        <f t="shared" si="115"/>
        <v>0</v>
      </c>
      <c r="AE404" s="451">
        <f t="shared" si="115"/>
        <v>0</v>
      </c>
      <c r="AF404" s="451">
        <f t="shared" si="115"/>
        <v>0</v>
      </c>
      <c r="AG404" s="451">
        <f t="shared" si="115"/>
        <v>0</v>
      </c>
      <c r="AH404" s="451">
        <f t="shared" si="115"/>
        <v>0</v>
      </c>
      <c r="AI404" s="451">
        <f t="shared" si="115"/>
        <v>0</v>
      </c>
      <c r="AJ404" s="451">
        <f t="shared" si="115"/>
        <v>0</v>
      </c>
      <c r="AK404" s="451">
        <f t="shared" si="115"/>
        <v>0</v>
      </c>
      <c r="AL404" s="451">
        <f t="shared" si="115"/>
        <v>0</v>
      </c>
      <c r="AM404" s="451">
        <f t="shared" si="115"/>
        <v>0</v>
      </c>
      <c r="AN404" s="451">
        <f t="shared" si="115"/>
        <v>0</v>
      </c>
      <c r="AO404" s="451">
        <f t="shared" si="115"/>
        <v>0</v>
      </c>
    </row>
    <row r="405" spans="2:43" x14ac:dyDescent="0.25">
      <c r="C405" s="73"/>
      <c r="F405" t="s">
        <v>135</v>
      </c>
      <c r="G405" t="s">
        <v>183</v>
      </c>
      <c r="J405" s="388">
        <f t="shared" si="115"/>
        <v>0</v>
      </c>
      <c r="K405" s="388">
        <f t="shared" si="115"/>
        <v>0</v>
      </c>
      <c r="L405" s="388">
        <f t="shared" si="115"/>
        <v>0</v>
      </c>
      <c r="M405" s="388">
        <f t="shared" si="115"/>
        <v>0</v>
      </c>
      <c r="N405" s="388">
        <f t="shared" si="115"/>
        <v>0</v>
      </c>
      <c r="O405" s="388">
        <f t="shared" si="115"/>
        <v>0</v>
      </c>
      <c r="P405" s="388">
        <f t="shared" si="115"/>
        <v>0</v>
      </c>
      <c r="Q405" s="388">
        <f t="shared" si="115"/>
        <v>0</v>
      </c>
      <c r="R405" s="388">
        <f t="shared" si="115"/>
        <v>0</v>
      </c>
      <c r="S405" s="388">
        <f t="shared" si="115"/>
        <v>0</v>
      </c>
      <c r="T405" s="388">
        <f t="shared" si="115"/>
        <v>0</v>
      </c>
      <c r="U405" s="388">
        <f t="shared" si="115"/>
        <v>0</v>
      </c>
      <c r="V405" s="388">
        <f t="shared" si="115"/>
        <v>0</v>
      </c>
      <c r="W405" s="388">
        <f t="shared" si="115"/>
        <v>0</v>
      </c>
      <c r="X405" s="388">
        <f t="shared" si="115"/>
        <v>0</v>
      </c>
      <c r="Y405" s="388">
        <f t="shared" si="115"/>
        <v>0</v>
      </c>
      <c r="Z405" s="388">
        <f t="shared" si="115"/>
        <v>0</v>
      </c>
      <c r="AA405" s="388">
        <f t="shared" si="115"/>
        <v>0</v>
      </c>
      <c r="AB405" s="388">
        <f t="shared" si="115"/>
        <v>0</v>
      </c>
      <c r="AC405" s="388">
        <f t="shared" si="115"/>
        <v>0</v>
      </c>
      <c r="AD405" s="388">
        <f t="shared" si="115"/>
        <v>0</v>
      </c>
      <c r="AE405" s="388">
        <f t="shared" si="115"/>
        <v>0</v>
      </c>
      <c r="AF405" s="388">
        <f t="shared" si="115"/>
        <v>0</v>
      </c>
      <c r="AG405" s="388">
        <f t="shared" si="115"/>
        <v>0</v>
      </c>
      <c r="AH405" s="388">
        <f t="shared" si="115"/>
        <v>0</v>
      </c>
      <c r="AI405" s="388">
        <f t="shared" si="115"/>
        <v>0</v>
      </c>
      <c r="AJ405" s="388">
        <f t="shared" si="115"/>
        <v>0</v>
      </c>
      <c r="AK405" s="388">
        <f t="shared" si="115"/>
        <v>0</v>
      </c>
      <c r="AL405" s="388">
        <f t="shared" si="115"/>
        <v>0</v>
      </c>
      <c r="AM405" s="388">
        <f t="shared" si="115"/>
        <v>0</v>
      </c>
      <c r="AN405" s="388">
        <f t="shared" si="115"/>
        <v>0</v>
      </c>
      <c r="AO405" s="388">
        <f t="shared" si="115"/>
        <v>0</v>
      </c>
    </row>
    <row r="406" spans="2:43" x14ac:dyDescent="0.25">
      <c r="C406" s="73"/>
      <c r="F406" s="17" t="s">
        <v>136</v>
      </c>
      <c r="G406" s="17" t="s">
        <v>183</v>
      </c>
      <c r="H406" s="17"/>
      <c r="I406" s="17"/>
      <c r="J406" s="452">
        <f t="shared" si="115"/>
        <v>0</v>
      </c>
      <c r="K406" s="452">
        <f t="shared" si="115"/>
        <v>0</v>
      </c>
      <c r="L406" s="452">
        <f t="shared" si="115"/>
        <v>0</v>
      </c>
      <c r="M406" s="452">
        <f t="shared" si="115"/>
        <v>0</v>
      </c>
      <c r="N406" s="452">
        <f t="shared" si="115"/>
        <v>0</v>
      </c>
      <c r="O406" s="452">
        <f t="shared" si="115"/>
        <v>0</v>
      </c>
      <c r="P406" s="452">
        <f t="shared" si="115"/>
        <v>0</v>
      </c>
      <c r="Q406" s="452">
        <f t="shared" si="115"/>
        <v>0</v>
      </c>
      <c r="R406" s="452">
        <f t="shared" si="115"/>
        <v>0</v>
      </c>
      <c r="S406" s="452">
        <f t="shared" si="115"/>
        <v>0</v>
      </c>
      <c r="T406" s="452">
        <f t="shared" si="115"/>
        <v>0</v>
      </c>
      <c r="U406" s="452">
        <f t="shared" si="115"/>
        <v>0</v>
      </c>
      <c r="V406" s="452">
        <f t="shared" si="115"/>
        <v>0</v>
      </c>
      <c r="W406" s="452">
        <f t="shared" si="115"/>
        <v>0</v>
      </c>
      <c r="X406" s="452">
        <f t="shared" si="115"/>
        <v>0</v>
      </c>
      <c r="Y406" s="452">
        <f t="shared" si="115"/>
        <v>0</v>
      </c>
      <c r="Z406" s="452">
        <f t="shared" si="115"/>
        <v>0</v>
      </c>
      <c r="AA406" s="452">
        <f t="shared" si="115"/>
        <v>0</v>
      </c>
      <c r="AB406" s="452">
        <f t="shared" si="115"/>
        <v>0</v>
      </c>
      <c r="AC406" s="452">
        <f t="shared" si="115"/>
        <v>0</v>
      </c>
      <c r="AD406" s="452">
        <f t="shared" si="115"/>
        <v>0</v>
      </c>
      <c r="AE406" s="452">
        <f t="shared" si="115"/>
        <v>0</v>
      </c>
      <c r="AF406" s="452">
        <f t="shared" si="115"/>
        <v>0</v>
      </c>
      <c r="AG406" s="452">
        <f t="shared" si="115"/>
        <v>0</v>
      </c>
      <c r="AH406" s="452">
        <f t="shared" si="115"/>
        <v>0</v>
      </c>
      <c r="AI406" s="452">
        <f t="shared" si="115"/>
        <v>0</v>
      </c>
      <c r="AJ406" s="452">
        <f t="shared" si="115"/>
        <v>0</v>
      </c>
      <c r="AK406" s="452">
        <f t="shared" si="115"/>
        <v>0</v>
      </c>
      <c r="AL406" s="452">
        <f t="shared" si="115"/>
        <v>0</v>
      </c>
      <c r="AM406" s="452">
        <f t="shared" si="115"/>
        <v>0</v>
      </c>
      <c r="AN406" s="452">
        <f t="shared" si="115"/>
        <v>0</v>
      </c>
      <c r="AO406" s="452">
        <f t="shared" si="115"/>
        <v>0</v>
      </c>
    </row>
    <row r="407" spans="2:43" x14ac:dyDescent="0.25">
      <c r="C407" s="73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</row>
    <row r="408" spans="2:43" x14ac:dyDescent="0.25">
      <c r="B408" s="82" t="s">
        <v>1210</v>
      </c>
      <c r="C408" s="82"/>
      <c r="D408" s="82"/>
      <c r="E408" s="82"/>
      <c r="F408" s="82"/>
      <c r="G408" s="82"/>
      <c r="H408" s="82"/>
      <c r="I408" s="82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  <c r="AA408" s="136"/>
      <c r="AB408" s="136"/>
      <c r="AC408" s="136"/>
      <c r="AD408" s="136"/>
      <c r="AE408" s="136"/>
      <c r="AF408" s="136"/>
      <c r="AG408" s="136"/>
      <c r="AH408" s="136"/>
      <c r="AI408" s="136"/>
      <c r="AJ408" s="136"/>
      <c r="AK408" s="136"/>
      <c r="AL408" s="136"/>
      <c r="AM408" s="136"/>
      <c r="AN408" s="136"/>
      <c r="AO408" s="136"/>
      <c r="AP408" s="65"/>
      <c r="AQ408" s="65"/>
    </row>
    <row r="409" spans="2:43" x14ac:dyDescent="0.25">
      <c r="C409" s="73"/>
      <c r="J409" s="59"/>
      <c r="K409" s="59"/>
      <c r="L409" s="59"/>
      <c r="M409" s="59"/>
      <c r="N409" s="388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</row>
    <row r="410" spans="2:43" x14ac:dyDescent="0.25">
      <c r="C410" s="5" t="str">
        <f ca="1">INDEX('Version control'!$H$36:$H$62,MATCH($A$1,'Version control'!$F$36:$F$62,0),1)&amp;"-O: Final adders"</f>
        <v>Section 519-O: Final adders</v>
      </c>
      <c r="D410" s="5"/>
      <c r="E410" s="5"/>
      <c r="F410" s="5"/>
      <c r="G410" s="5"/>
      <c r="H410" s="5"/>
      <c r="I410" s="5"/>
      <c r="J410" s="143"/>
      <c r="K410" s="143"/>
      <c r="L410" s="143"/>
      <c r="M410" s="143"/>
      <c r="N410" s="143"/>
      <c r="O410" s="143"/>
      <c r="P410" s="143"/>
      <c r="Q410" s="143"/>
      <c r="R410" s="143"/>
      <c r="S410" s="143"/>
      <c r="T410" s="143"/>
      <c r="U410" s="143"/>
      <c r="V410" s="143"/>
      <c r="W410" s="143"/>
      <c r="X410" s="143"/>
      <c r="Y410" s="143"/>
      <c r="Z410" s="143"/>
      <c r="AA410" s="143"/>
      <c r="AB410" s="143"/>
      <c r="AC410" s="143"/>
      <c r="AD410" s="143"/>
      <c r="AE410" s="143"/>
      <c r="AF410" s="143"/>
      <c r="AG410" s="143"/>
      <c r="AH410" s="143"/>
      <c r="AI410" s="143"/>
      <c r="AJ410" s="143"/>
      <c r="AK410" s="143"/>
      <c r="AL410" s="143"/>
      <c r="AM410" s="143"/>
      <c r="AN410" s="143"/>
      <c r="AO410" s="143"/>
      <c r="AP410" s="5"/>
      <c r="AQ410" s="5"/>
    </row>
    <row r="411" spans="2:43" x14ac:dyDescent="0.25">
      <c r="C411" s="73"/>
      <c r="E411" s="52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</row>
    <row r="412" spans="2:43" x14ac:dyDescent="0.25">
      <c r="C412" s="73"/>
      <c r="E412" s="76" t="s">
        <v>1211</v>
      </c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</row>
    <row r="413" spans="2:43" x14ac:dyDescent="0.25">
      <c r="C413" s="73"/>
      <c r="F413" s="80" t="s">
        <v>134</v>
      </c>
      <c r="G413" s="80" t="s">
        <v>183</v>
      </c>
      <c r="H413" s="80"/>
      <c r="I413" s="80"/>
      <c r="J413" s="302">
        <f>J404 + J$208</f>
        <v>0</v>
      </c>
      <c r="K413" s="302">
        <f t="shared" ref="K413:AO413" si="116">K404 + K$208</f>
        <v>0</v>
      </c>
      <c r="L413" s="302">
        <f t="shared" si="116"/>
        <v>0</v>
      </c>
      <c r="M413" s="302">
        <f t="shared" si="116"/>
        <v>0</v>
      </c>
      <c r="N413" s="302">
        <f t="shared" si="116"/>
        <v>0</v>
      </c>
      <c r="O413" s="302">
        <f t="shared" si="116"/>
        <v>0</v>
      </c>
      <c r="P413" s="302">
        <f t="shared" si="116"/>
        <v>0</v>
      </c>
      <c r="Q413" s="302">
        <f t="shared" si="116"/>
        <v>0</v>
      </c>
      <c r="R413" s="302">
        <f t="shared" si="116"/>
        <v>0</v>
      </c>
      <c r="S413" s="302">
        <f t="shared" si="116"/>
        <v>0</v>
      </c>
      <c r="T413" s="302">
        <f t="shared" si="116"/>
        <v>0</v>
      </c>
      <c r="U413" s="302">
        <f t="shared" si="116"/>
        <v>0</v>
      </c>
      <c r="V413" s="302">
        <f t="shared" si="116"/>
        <v>0</v>
      </c>
      <c r="W413" s="302">
        <f t="shared" si="116"/>
        <v>0</v>
      </c>
      <c r="X413" s="302">
        <f t="shared" si="116"/>
        <v>0</v>
      </c>
      <c r="Y413" s="302">
        <f t="shared" si="116"/>
        <v>0</v>
      </c>
      <c r="Z413" s="302">
        <f t="shared" si="116"/>
        <v>0</v>
      </c>
      <c r="AA413" s="302">
        <f t="shared" si="116"/>
        <v>0</v>
      </c>
      <c r="AB413" s="302">
        <f t="shared" si="116"/>
        <v>0</v>
      </c>
      <c r="AC413" s="302">
        <f t="shared" si="116"/>
        <v>0</v>
      </c>
      <c r="AD413" s="302">
        <f t="shared" si="116"/>
        <v>0</v>
      </c>
      <c r="AE413" s="302">
        <f t="shared" si="116"/>
        <v>0</v>
      </c>
      <c r="AF413" s="302">
        <f t="shared" si="116"/>
        <v>0</v>
      </c>
      <c r="AG413" s="302">
        <f t="shared" si="116"/>
        <v>2.4794192083976947</v>
      </c>
      <c r="AH413" s="302">
        <f t="shared" si="116"/>
        <v>0</v>
      </c>
      <c r="AI413" s="302">
        <f t="shared" si="116"/>
        <v>0</v>
      </c>
      <c r="AJ413" s="302">
        <f t="shared" si="116"/>
        <v>0</v>
      </c>
      <c r="AK413" s="302">
        <f t="shared" si="116"/>
        <v>0</v>
      </c>
      <c r="AL413" s="302">
        <f t="shared" si="116"/>
        <v>0</v>
      </c>
      <c r="AM413" s="302">
        <f t="shared" si="116"/>
        <v>0</v>
      </c>
      <c r="AN413" s="302">
        <f t="shared" si="116"/>
        <v>0</v>
      </c>
      <c r="AO413" s="302">
        <f t="shared" si="116"/>
        <v>0</v>
      </c>
    </row>
    <row r="414" spans="2:43" x14ac:dyDescent="0.25">
      <c r="C414" s="73"/>
      <c r="F414" t="s">
        <v>135</v>
      </c>
      <c r="G414" t="s">
        <v>183</v>
      </c>
      <c r="J414" s="303">
        <f t="shared" ref="J414:AO415" si="117">J405 + J$208</f>
        <v>0</v>
      </c>
      <c r="K414" s="303">
        <f t="shared" si="117"/>
        <v>0</v>
      </c>
      <c r="L414" s="303">
        <f t="shared" si="117"/>
        <v>0</v>
      </c>
      <c r="M414" s="303">
        <f t="shared" si="117"/>
        <v>0</v>
      </c>
      <c r="N414" s="303">
        <f t="shared" si="117"/>
        <v>0</v>
      </c>
      <c r="O414" s="303">
        <f t="shared" si="117"/>
        <v>0</v>
      </c>
      <c r="P414" s="303">
        <f t="shared" si="117"/>
        <v>0</v>
      </c>
      <c r="Q414" s="303">
        <f t="shared" si="117"/>
        <v>0</v>
      </c>
      <c r="R414" s="303">
        <f t="shared" si="117"/>
        <v>0</v>
      </c>
      <c r="S414" s="303">
        <f t="shared" si="117"/>
        <v>0</v>
      </c>
      <c r="T414" s="303">
        <f t="shared" si="117"/>
        <v>0</v>
      </c>
      <c r="U414" s="303">
        <f t="shared" si="117"/>
        <v>0</v>
      </c>
      <c r="V414" s="303">
        <f t="shared" si="117"/>
        <v>0</v>
      </c>
      <c r="W414" s="303">
        <f t="shared" si="117"/>
        <v>0</v>
      </c>
      <c r="X414" s="303">
        <f t="shared" si="117"/>
        <v>0</v>
      </c>
      <c r="Y414" s="303">
        <f t="shared" si="117"/>
        <v>0</v>
      </c>
      <c r="Z414" s="303">
        <f t="shared" si="117"/>
        <v>0</v>
      </c>
      <c r="AA414" s="303">
        <f t="shared" si="117"/>
        <v>0</v>
      </c>
      <c r="AB414" s="303">
        <f t="shared" si="117"/>
        <v>0</v>
      </c>
      <c r="AC414" s="303">
        <f t="shared" si="117"/>
        <v>0</v>
      </c>
      <c r="AD414" s="303">
        <f t="shared" si="117"/>
        <v>0</v>
      </c>
      <c r="AE414" s="303">
        <f t="shared" si="117"/>
        <v>0</v>
      </c>
      <c r="AF414" s="303">
        <f t="shared" si="117"/>
        <v>0</v>
      </c>
      <c r="AG414" s="303">
        <f t="shared" si="117"/>
        <v>2.4794192083976947</v>
      </c>
      <c r="AH414" s="303">
        <f t="shared" si="117"/>
        <v>0</v>
      </c>
      <c r="AI414" s="303">
        <f t="shared" si="117"/>
        <v>0</v>
      </c>
      <c r="AJ414" s="303">
        <f t="shared" si="117"/>
        <v>0</v>
      </c>
      <c r="AK414" s="303">
        <f t="shared" si="117"/>
        <v>0</v>
      </c>
      <c r="AL414" s="303">
        <f t="shared" si="117"/>
        <v>0</v>
      </c>
      <c r="AM414" s="303">
        <f t="shared" si="117"/>
        <v>0</v>
      </c>
      <c r="AN414" s="303">
        <f t="shared" si="117"/>
        <v>0</v>
      </c>
      <c r="AO414" s="303">
        <f t="shared" si="117"/>
        <v>0</v>
      </c>
    </row>
    <row r="415" spans="2:43" x14ac:dyDescent="0.25">
      <c r="C415" s="73"/>
      <c r="F415" t="s">
        <v>136</v>
      </c>
      <c r="G415" t="s">
        <v>183</v>
      </c>
      <c r="J415" s="304">
        <f t="shared" si="117"/>
        <v>0</v>
      </c>
      <c r="K415" s="304">
        <f t="shared" si="117"/>
        <v>0</v>
      </c>
      <c r="L415" s="304">
        <f t="shared" si="117"/>
        <v>0</v>
      </c>
      <c r="M415" s="304">
        <f t="shared" si="117"/>
        <v>0</v>
      </c>
      <c r="N415" s="304">
        <f t="shared" si="117"/>
        <v>0</v>
      </c>
      <c r="O415" s="304">
        <f t="shared" si="117"/>
        <v>0</v>
      </c>
      <c r="P415" s="304">
        <f t="shared" si="117"/>
        <v>0</v>
      </c>
      <c r="Q415" s="304">
        <f t="shared" si="117"/>
        <v>0</v>
      </c>
      <c r="R415" s="304">
        <f t="shared" si="117"/>
        <v>0</v>
      </c>
      <c r="S415" s="304">
        <f t="shared" si="117"/>
        <v>0</v>
      </c>
      <c r="T415" s="304">
        <f t="shared" si="117"/>
        <v>0</v>
      </c>
      <c r="U415" s="304">
        <f t="shared" si="117"/>
        <v>0</v>
      </c>
      <c r="V415" s="304">
        <f t="shared" si="117"/>
        <v>0</v>
      </c>
      <c r="W415" s="304">
        <f t="shared" si="117"/>
        <v>0</v>
      </c>
      <c r="X415" s="304">
        <f t="shared" si="117"/>
        <v>0</v>
      </c>
      <c r="Y415" s="304">
        <f t="shared" si="117"/>
        <v>0</v>
      </c>
      <c r="Z415" s="304">
        <f t="shared" si="117"/>
        <v>0</v>
      </c>
      <c r="AA415" s="304">
        <f t="shared" si="117"/>
        <v>0</v>
      </c>
      <c r="AB415" s="304">
        <f t="shared" si="117"/>
        <v>0</v>
      </c>
      <c r="AC415" s="304">
        <f t="shared" si="117"/>
        <v>0</v>
      </c>
      <c r="AD415" s="304">
        <f t="shared" si="117"/>
        <v>0</v>
      </c>
      <c r="AE415" s="304">
        <f t="shared" si="117"/>
        <v>0</v>
      </c>
      <c r="AF415" s="304">
        <f t="shared" si="117"/>
        <v>0</v>
      </c>
      <c r="AG415" s="304">
        <f t="shared" si="117"/>
        <v>2.4794192083976947</v>
      </c>
      <c r="AH415" s="304">
        <f t="shared" si="117"/>
        <v>0</v>
      </c>
      <c r="AI415" s="304">
        <f t="shared" si="117"/>
        <v>0</v>
      </c>
      <c r="AJ415" s="304">
        <f t="shared" si="117"/>
        <v>0</v>
      </c>
      <c r="AK415" s="304">
        <f t="shared" si="117"/>
        <v>0</v>
      </c>
      <c r="AL415" s="304">
        <f t="shared" si="117"/>
        <v>0</v>
      </c>
      <c r="AM415" s="304">
        <f t="shared" si="117"/>
        <v>0</v>
      </c>
      <c r="AN415" s="304">
        <f t="shared" si="117"/>
        <v>0</v>
      </c>
      <c r="AO415" s="304">
        <f t="shared" si="117"/>
        <v>0</v>
      </c>
    </row>
    <row r="416" spans="2:43" x14ac:dyDescent="0.25">
      <c r="C416" s="73"/>
      <c r="F416" t="s">
        <v>254</v>
      </c>
      <c r="G416" t="s">
        <v>252</v>
      </c>
      <c r="J416" s="197">
        <f t="shared" ref="J416:AO416" si="118">J225</f>
        <v>20.126324912958196</v>
      </c>
      <c r="K416" s="197">
        <f t="shared" si="118"/>
        <v>0</v>
      </c>
      <c r="L416" s="197">
        <f t="shared" si="118"/>
        <v>0</v>
      </c>
      <c r="M416" s="197">
        <f t="shared" si="118"/>
        <v>25.436828488471388</v>
      </c>
      <c r="N416" s="197">
        <f t="shared" si="118"/>
        <v>58.449659098606475</v>
      </c>
      <c r="O416" s="197">
        <f t="shared" si="118"/>
        <v>126.22980935694616</v>
      </c>
      <c r="P416" s="197">
        <f t="shared" si="118"/>
        <v>371.0921857468964</v>
      </c>
      <c r="Q416" s="197">
        <f t="shared" si="118"/>
        <v>0</v>
      </c>
      <c r="R416" s="197">
        <f t="shared" si="118"/>
        <v>0</v>
      </c>
      <c r="S416" s="197">
        <f t="shared" si="118"/>
        <v>689.19812882403505</v>
      </c>
      <c r="T416" s="197">
        <f t="shared" si="118"/>
        <v>1204.3467233520016</v>
      </c>
      <c r="U416" s="197">
        <f t="shared" si="118"/>
        <v>2030.8549997303344</v>
      </c>
      <c r="V416" s="197">
        <f t="shared" si="118"/>
        <v>4422.0488416156977</v>
      </c>
      <c r="W416" s="197">
        <f t="shared" si="118"/>
        <v>0</v>
      </c>
      <c r="X416" s="197">
        <f t="shared" si="118"/>
        <v>689.19812882403482</v>
      </c>
      <c r="Y416" s="197">
        <f t="shared" si="118"/>
        <v>1204.3467233520016</v>
      </c>
      <c r="Z416" s="197">
        <f t="shared" si="118"/>
        <v>2030.8549997303344</v>
      </c>
      <c r="AA416" s="197">
        <f t="shared" si="118"/>
        <v>4422.0488416156959</v>
      </c>
      <c r="AB416" s="197">
        <f t="shared" si="118"/>
        <v>0</v>
      </c>
      <c r="AC416" s="197">
        <f t="shared" si="118"/>
        <v>3444.8041543515374</v>
      </c>
      <c r="AD416" s="197">
        <f t="shared" si="118"/>
        <v>10445.42996253825</v>
      </c>
      <c r="AE416" s="197">
        <f t="shared" si="118"/>
        <v>21292.783356458938</v>
      </c>
      <c r="AF416" s="197">
        <f t="shared" si="118"/>
        <v>56474.835013725322</v>
      </c>
      <c r="AG416" s="197">
        <f t="shared" si="118"/>
        <v>0</v>
      </c>
      <c r="AH416" s="197">
        <f t="shared" si="118"/>
        <v>0</v>
      </c>
      <c r="AI416" s="197">
        <f t="shared" si="118"/>
        <v>0</v>
      </c>
      <c r="AJ416" s="197">
        <f t="shared" si="118"/>
        <v>0</v>
      </c>
      <c r="AK416" s="197">
        <f t="shared" si="118"/>
        <v>0</v>
      </c>
      <c r="AL416" s="197">
        <f t="shared" si="118"/>
        <v>0</v>
      </c>
      <c r="AM416" s="197">
        <f t="shared" si="118"/>
        <v>0</v>
      </c>
      <c r="AN416" s="197">
        <f t="shared" si="118"/>
        <v>0</v>
      </c>
      <c r="AO416" s="197">
        <f t="shared" si="118"/>
        <v>0</v>
      </c>
    </row>
    <row r="417" spans="2:43" x14ac:dyDescent="0.25">
      <c r="C417" s="73"/>
      <c r="E417" s="12"/>
      <c r="F417" t="s">
        <v>255</v>
      </c>
      <c r="G417" t="s">
        <v>251</v>
      </c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1"/>
      <c r="AE417" s="71"/>
      <c r="AF417" s="71"/>
      <c r="AG417" s="71"/>
      <c r="AH417" s="71"/>
      <c r="AI417" s="71"/>
      <c r="AJ417" s="71"/>
      <c r="AK417" s="71"/>
      <c r="AL417" s="71"/>
      <c r="AM417" s="71"/>
      <c r="AN417" s="71"/>
      <c r="AO417" s="71"/>
    </row>
    <row r="418" spans="2:43" x14ac:dyDescent="0.25">
      <c r="C418" s="73"/>
      <c r="F418" t="s">
        <v>256</v>
      </c>
      <c r="G418" t="s">
        <v>251</v>
      </c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1"/>
      <c r="AE418" s="71"/>
      <c r="AF418" s="71"/>
      <c r="AG418" s="71"/>
      <c r="AH418" s="71"/>
      <c r="AI418" s="71"/>
      <c r="AJ418" s="71"/>
      <c r="AK418" s="71"/>
      <c r="AL418" s="71"/>
      <c r="AM418" s="71"/>
      <c r="AN418" s="71"/>
      <c r="AO418" s="71"/>
    </row>
    <row r="419" spans="2:43" x14ac:dyDescent="0.25">
      <c r="C419" s="73"/>
      <c r="E419" s="12"/>
      <c r="F419" s="17" t="s">
        <v>257</v>
      </c>
      <c r="G419" s="17" t="s">
        <v>258</v>
      </c>
      <c r="H419" s="17"/>
      <c r="I419" s="17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</row>
    <row r="420" spans="2:43" x14ac:dyDescent="0.25">
      <c r="C420" s="73"/>
    </row>
    <row r="421" spans="2:43" x14ac:dyDescent="0.25">
      <c r="B421" s="82" t="s">
        <v>109</v>
      </c>
      <c r="C421" s="82"/>
      <c r="D421" s="82"/>
      <c r="E421" s="82"/>
      <c r="F421" s="82"/>
      <c r="G421" s="82"/>
      <c r="H421" s="82"/>
      <c r="I421" s="82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136"/>
      <c r="Y421" s="136"/>
      <c r="Z421" s="136"/>
      <c r="AA421" s="136"/>
      <c r="AB421" s="136"/>
      <c r="AC421" s="136"/>
      <c r="AD421" s="136"/>
      <c r="AE421" s="136"/>
      <c r="AF421" s="136"/>
      <c r="AG421" s="136"/>
      <c r="AH421" s="136"/>
      <c r="AI421" s="136"/>
      <c r="AJ421" s="136"/>
      <c r="AK421" s="136"/>
      <c r="AL421" s="136"/>
      <c r="AM421" s="136"/>
      <c r="AN421" s="136"/>
      <c r="AO421" s="136"/>
      <c r="AP421" s="65"/>
      <c r="AQ421" s="65"/>
    </row>
    <row r="422" spans="2:43" x14ac:dyDescent="0.25">
      <c r="C422" s="73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</row>
    <row r="423" spans="2:43" x14ac:dyDescent="0.25">
      <c r="C423" s="73"/>
      <c r="E423" s="12" t="s">
        <v>1212</v>
      </c>
      <c r="F423" s="12"/>
      <c r="G423" t="s">
        <v>1138</v>
      </c>
      <c r="H423" s="211">
        <f>SUM(J423:AO423)</f>
        <v>0</v>
      </c>
      <c r="J423" s="198">
        <f t="shared" ref="J423:AO423" si="119">SUMPRODUCT(J399:J401,J283:J285)*thousand/hundred</f>
        <v>0</v>
      </c>
      <c r="K423" s="198">
        <f t="shared" si="119"/>
        <v>0</v>
      </c>
      <c r="L423" s="198">
        <f t="shared" si="119"/>
        <v>0</v>
      </c>
      <c r="M423" s="198">
        <f t="shared" si="119"/>
        <v>0</v>
      </c>
      <c r="N423" s="198">
        <f t="shared" si="119"/>
        <v>0</v>
      </c>
      <c r="O423" s="198">
        <f t="shared" si="119"/>
        <v>0</v>
      </c>
      <c r="P423" s="198">
        <f t="shared" si="119"/>
        <v>0</v>
      </c>
      <c r="Q423" s="198">
        <f t="shared" si="119"/>
        <v>0</v>
      </c>
      <c r="R423" s="198">
        <f t="shared" si="119"/>
        <v>0</v>
      </c>
      <c r="S423" s="198">
        <f t="shared" si="119"/>
        <v>0</v>
      </c>
      <c r="T423" s="198">
        <f t="shared" si="119"/>
        <v>0</v>
      </c>
      <c r="U423" s="198">
        <f t="shared" si="119"/>
        <v>0</v>
      </c>
      <c r="V423" s="198">
        <f t="shared" si="119"/>
        <v>0</v>
      </c>
      <c r="W423" s="198">
        <f t="shared" si="119"/>
        <v>0</v>
      </c>
      <c r="X423" s="198">
        <f t="shared" si="119"/>
        <v>0</v>
      </c>
      <c r="Y423" s="198">
        <f t="shared" si="119"/>
        <v>0</v>
      </c>
      <c r="Z423" s="198">
        <f t="shared" si="119"/>
        <v>0</v>
      </c>
      <c r="AA423" s="198">
        <f t="shared" si="119"/>
        <v>0</v>
      </c>
      <c r="AB423" s="198">
        <f t="shared" si="119"/>
        <v>0</v>
      </c>
      <c r="AC423" s="198">
        <f t="shared" si="119"/>
        <v>0</v>
      </c>
      <c r="AD423" s="198">
        <f t="shared" si="119"/>
        <v>0</v>
      </c>
      <c r="AE423" s="198">
        <f t="shared" si="119"/>
        <v>0</v>
      </c>
      <c r="AF423" s="198">
        <f t="shared" si="119"/>
        <v>0</v>
      </c>
      <c r="AG423" s="198">
        <f t="shared" si="119"/>
        <v>0</v>
      </c>
      <c r="AH423" s="198">
        <f t="shared" si="119"/>
        <v>0</v>
      </c>
      <c r="AI423" s="198">
        <f t="shared" si="119"/>
        <v>0</v>
      </c>
      <c r="AJ423" s="198">
        <f t="shared" si="119"/>
        <v>0</v>
      </c>
      <c r="AK423" s="198">
        <f t="shared" si="119"/>
        <v>0</v>
      </c>
      <c r="AL423" s="198">
        <f t="shared" si="119"/>
        <v>0</v>
      </c>
      <c r="AM423" s="198">
        <f t="shared" si="119"/>
        <v>0</v>
      </c>
      <c r="AN423" s="198">
        <f t="shared" si="119"/>
        <v>0</v>
      </c>
      <c r="AO423" s="198">
        <f t="shared" si="119"/>
        <v>0</v>
      </c>
    </row>
    <row r="424" spans="2:43" x14ac:dyDescent="0.25">
      <c r="C424" s="73"/>
      <c r="E424" s="12"/>
      <c r="F424" s="12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</row>
    <row r="425" spans="2:43" x14ac:dyDescent="0.25">
      <c r="C425" s="73"/>
      <c r="E425" s="12" t="s">
        <v>1213</v>
      </c>
      <c r="F425" s="12"/>
      <c r="G425" t="s">
        <v>1138</v>
      </c>
      <c r="H425" s="211">
        <f>SUM(J425:AO425)</f>
        <v>0</v>
      </c>
      <c r="J425" s="198">
        <f t="shared" ref="J425:AO425" si="120">J229</f>
        <v>0</v>
      </c>
      <c r="K425" s="198">
        <f t="shared" si="120"/>
        <v>0</v>
      </c>
      <c r="L425" s="198">
        <f t="shared" si="120"/>
        <v>0</v>
      </c>
      <c r="M425" s="198">
        <f t="shared" si="120"/>
        <v>0</v>
      </c>
      <c r="N425" s="198">
        <f t="shared" si="120"/>
        <v>0</v>
      </c>
      <c r="O425" s="198">
        <f t="shared" si="120"/>
        <v>0</v>
      </c>
      <c r="P425" s="198">
        <f t="shared" si="120"/>
        <v>0</v>
      </c>
      <c r="Q425" s="198">
        <f t="shared" si="120"/>
        <v>0</v>
      </c>
      <c r="R425" s="198">
        <f t="shared" si="120"/>
        <v>0</v>
      </c>
      <c r="S425" s="198">
        <f t="shared" si="120"/>
        <v>0</v>
      </c>
      <c r="T425" s="198">
        <f t="shared" si="120"/>
        <v>0</v>
      </c>
      <c r="U425" s="198">
        <f t="shared" si="120"/>
        <v>0</v>
      </c>
      <c r="V425" s="198">
        <f t="shared" si="120"/>
        <v>0</v>
      </c>
      <c r="W425" s="198">
        <f t="shared" si="120"/>
        <v>0</v>
      </c>
      <c r="X425" s="198">
        <f t="shared" si="120"/>
        <v>0</v>
      </c>
      <c r="Y425" s="198">
        <f t="shared" si="120"/>
        <v>0</v>
      </c>
      <c r="Z425" s="198">
        <f t="shared" si="120"/>
        <v>0</v>
      </c>
      <c r="AA425" s="198">
        <f t="shared" si="120"/>
        <v>0</v>
      </c>
      <c r="AB425" s="198">
        <f t="shared" si="120"/>
        <v>0</v>
      </c>
      <c r="AC425" s="198">
        <f t="shared" si="120"/>
        <v>0</v>
      </c>
      <c r="AD425" s="198">
        <f t="shared" si="120"/>
        <v>0</v>
      </c>
      <c r="AE425" s="198">
        <f t="shared" si="120"/>
        <v>0</v>
      </c>
      <c r="AF425" s="198">
        <f t="shared" si="120"/>
        <v>0</v>
      </c>
      <c r="AG425" s="198">
        <f t="shared" si="120"/>
        <v>0</v>
      </c>
      <c r="AH425" s="198">
        <f t="shared" si="120"/>
        <v>0</v>
      </c>
      <c r="AI425" s="198">
        <f t="shared" si="120"/>
        <v>0</v>
      </c>
      <c r="AJ425" s="198">
        <f t="shared" si="120"/>
        <v>0</v>
      </c>
      <c r="AK425" s="198">
        <f t="shared" si="120"/>
        <v>0</v>
      </c>
      <c r="AL425" s="198">
        <f t="shared" si="120"/>
        <v>0</v>
      </c>
      <c r="AM425" s="198">
        <f t="shared" si="120"/>
        <v>0</v>
      </c>
      <c r="AN425" s="198">
        <f t="shared" si="120"/>
        <v>0</v>
      </c>
      <c r="AO425" s="198">
        <f t="shared" si="120"/>
        <v>0</v>
      </c>
    </row>
    <row r="426" spans="2:43" x14ac:dyDescent="0.25">
      <c r="C426" s="73"/>
      <c r="E426" s="12"/>
      <c r="F426" s="12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</row>
    <row r="427" spans="2:43" x14ac:dyDescent="0.25">
      <c r="C427" s="73"/>
      <c r="E427" s="12" t="s">
        <v>1214</v>
      </c>
      <c r="F427" s="12"/>
      <c r="G427" t="s">
        <v>1023</v>
      </c>
      <c r="H427" s="355">
        <f>COUNTIF(J427:AO427, FALSE)</f>
        <v>0</v>
      </c>
      <c r="J427" s="59" t="b">
        <f t="shared" ref="J427:AO427" si="121">ROUND(J423, check_decimals)=ROUND(J425, check_decimals)</f>
        <v>1</v>
      </c>
      <c r="K427" s="59" t="b">
        <f t="shared" si="121"/>
        <v>1</v>
      </c>
      <c r="L427" s="59" t="b">
        <f t="shared" si="121"/>
        <v>1</v>
      </c>
      <c r="M427" s="59" t="b">
        <f t="shared" si="121"/>
        <v>1</v>
      </c>
      <c r="N427" s="59" t="b">
        <f t="shared" si="121"/>
        <v>1</v>
      </c>
      <c r="O427" s="59" t="b">
        <f t="shared" si="121"/>
        <v>1</v>
      </c>
      <c r="P427" s="59" t="b">
        <f t="shared" si="121"/>
        <v>1</v>
      </c>
      <c r="Q427" s="59" t="b">
        <f t="shared" si="121"/>
        <v>1</v>
      </c>
      <c r="R427" s="59" t="b">
        <f t="shared" si="121"/>
        <v>1</v>
      </c>
      <c r="S427" s="59" t="b">
        <f t="shared" si="121"/>
        <v>1</v>
      </c>
      <c r="T427" s="59" t="b">
        <f t="shared" si="121"/>
        <v>1</v>
      </c>
      <c r="U427" s="59" t="b">
        <f t="shared" si="121"/>
        <v>1</v>
      </c>
      <c r="V427" s="59" t="b">
        <f t="shared" si="121"/>
        <v>1</v>
      </c>
      <c r="W427" s="59" t="b">
        <f t="shared" si="121"/>
        <v>1</v>
      </c>
      <c r="X427" s="59" t="b">
        <f t="shared" si="121"/>
        <v>1</v>
      </c>
      <c r="Y427" s="59" t="b">
        <f t="shared" si="121"/>
        <v>1</v>
      </c>
      <c r="Z427" s="59" t="b">
        <f t="shared" si="121"/>
        <v>1</v>
      </c>
      <c r="AA427" s="59" t="b">
        <f t="shared" si="121"/>
        <v>1</v>
      </c>
      <c r="AB427" s="59" t="b">
        <f t="shared" si="121"/>
        <v>1</v>
      </c>
      <c r="AC427" s="59" t="b">
        <f t="shared" si="121"/>
        <v>1</v>
      </c>
      <c r="AD427" s="444" t="b">
        <f t="shared" si="121"/>
        <v>1</v>
      </c>
      <c r="AE427" s="444" t="b">
        <f t="shared" si="121"/>
        <v>1</v>
      </c>
      <c r="AF427" s="444" t="b">
        <f t="shared" si="121"/>
        <v>1</v>
      </c>
      <c r="AG427" s="444" t="b">
        <f t="shared" si="121"/>
        <v>1</v>
      </c>
      <c r="AH427" s="444" t="b">
        <f t="shared" si="121"/>
        <v>1</v>
      </c>
      <c r="AI427" s="444" t="b">
        <f t="shared" si="121"/>
        <v>1</v>
      </c>
      <c r="AJ427" s="444" t="b">
        <f t="shared" si="121"/>
        <v>1</v>
      </c>
      <c r="AK427" s="444" t="b">
        <f t="shared" si="121"/>
        <v>1</v>
      </c>
      <c r="AL427" s="444" t="b">
        <f t="shared" si="121"/>
        <v>1</v>
      </c>
      <c r="AM427" s="444" t="b">
        <f t="shared" si="121"/>
        <v>1</v>
      </c>
      <c r="AN427" s="444" t="b">
        <f t="shared" si="121"/>
        <v>1</v>
      </c>
      <c r="AO427" s="444" t="b">
        <f t="shared" si="121"/>
        <v>1</v>
      </c>
    </row>
    <row r="428" spans="2:43" x14ac:dyDescent="0.25">
      <c r="C428" s="73"/>
      <c r="E428" s="12"/>
      <c r="F428" s="12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</row>
    <row r="429" spans="2:43" x14ac:dyDescent="0.25">
      <c r="C429" s="73"/>
      <c r="E429" s="12" t="s">
        <v>1215</v>
      </c>
      <c r="G429" s="46" t="s">
        <v>588</v>
      </c>
      <c r="H429" s="355">
        <f>COUNTIF(J376:AO376,FALSE)</f>
        <v>0</v>
      </c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</row>
    <row r="430" spans="2:43" x14ac:dyDescent="0.25">
      <c r="C430" s="73"/>
      <c r="E430" s="12"/>
      <c r="G430" s="46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</row>
    <row r="431" spans="2:43" x14ac:dyDescent="0.25">
      <c r="C431" s="73"/>
      <c r="E431" t="s">
        <v>415</v>
      </c>
      <c r="G431" s="46" t="s">
        <v>588</v>
      </c>
      <c r="H431" s="355">
        <f t="array" ref="H431">SUM(IF(ISERROR(H35:AO420), 1))</f>
        <v>0</v>
      </c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</row>
    <row r="432" spans="2:43" x14ac:dyDescent="0.25">
      <c r="C432" s="73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</row>
    <row r="433" spans="2:43" x14ac:dyDescent="0.25">
      <c r="C433" s="73"/>
      <c r="E433" s="12" t="s">
        <v>1216</v>
      </c>
      <c r="G433" s="46" t="s">
        <v>588</v>
      </c>
      <c r="H433" s="263">
        <f>H427+H429+H431</f>
        <v>0</v>
      </c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</row>
    <row r="434" spans="2:43" x14ac:dyDescent="0.25">
      <c r="C434" s="73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</row>
    <row r="435" spans="2:43" x14ac:dyDescent="0.25">
      <c r="B435" s="82" t="s">
        <v>110</v>
      </c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2"/>
      <c r="N435" s="82"/>
      <c r="O435" s="82"/>
      <c r="P435" s="82"/>
      <c r="Q435" s="82"/>
      <c r="R435" s="82"/>
      <c r="S435" s="82"/>
      <c r="T435" s="82"/>
      <c r="U435" s="82"/>
      <c r="V435" s="82"/>
      <c r="W435" s="82"/>
      <c r="X435" s="82"/>
      <c r="Y435" s="82"/>
      <c r="Z435" s="82"/>
      <c r="AA435" s="82"/>
      <c r="AB435" s="82"/>
      <c r="AC435" s="82"/>
      <c r="AD435" s="82"/>
      <c r="AE435" s="82"/>
      <c r="AF435" s="82"/>
      <c r="AG435" s="82"/>
      <c r="AH435" s="82"/>
      <c r="AI435" s="82"/>
      <c r="AJ435" s="82"/>
      <c r="AK435" s="82"/>
      <c r="AL435" s="82"/>
      <c r="AM435" s="82"/>
      <c r="AN435" s="82"/>
      <c r="AO435" s="82"/>
      <c r="AP435" s="65"/>
      <c r="AQ435" s="65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7">
    <cfRule type="cellIs" dxfId="27" priority="5" operator="greaterThan">
      <formula>0</formula>
    </cfRule>
  </conditionalFormatting>
  <conditionalFormatting sqref="H429">
    <cfRule type="cellIs" dxfId="26" priority="4" operator="greaterThan">
      <formula>0</formula>
    </cfRule>
  </conditionalFormatting>
  <conditionalFormatting sqref="H431">
    <cfRule type="cellIs" dxfId="25" priority="3" operator="greaterThan">
      <formula>0</formula>
    </cfRule>
  </conditionalFormatting>
  <conditionalFormatting sqref="H433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N44" sqref="N44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45" width="24.5703125" hidden="1" customWidth="1"/>
    <col min="46" max="46" width="3.5703125" hidden="1" customWidth="1"/>
    <col min="47" max="47" width="15.42578125" hidden="1" customWidth="1"/>
    <col min="48" max="336" width="24.5703125" hidden="1" customWidth="1"/>
    <col min="337" max="16384" width="8.5703125" hidden="1"/>
  </cols>
  <sheetData>
    <row r="1" spans="1:43" s="8" customFormat="1" x14ac:dyDescent="0.25">
      <c r="A1" s="8" t="str">
        <f ca="1">MID(CELL("filename",A1),FIND("]",CELL("filename",A1))+1,255)</f>
        <v>Rounding</v>
      </c>
    </row>
    <row r="2" spans="1:43" s="8" customFormat="1" x14ac:dyDescent="0.25">
      <c r="A2" s="8" t="str">
        <f>Cover!D21&amp;" - "&amp;Cover!D23</f>
        <v>SP Distribution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H178 &amp; IF(H178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330" t="s">
        <v>1001</v>
      </c>
      <c r="K5" s="330" t="s">
        <v>926</v>
      </c>
      <c r="L5" s="330" t="s">
        <v>1002</v>
      </c>
      <c r="M5" s="330" t="s">
        <v>1003</v>
      </c>
      <c r="N5" s="330" t="s">
        <v>1004</v>
      </c>
      <c r="O5" s="330" t="s">
        <v>1005</v>
      </c>
      <c r="P5" s="330" t="s">
        <v>1006</v>
      </c>
      <c r="Q5" s="330" t="s">
        <v>928</v>
      </c>
      <c r="R5" s="330" t="s">
        <v>1007</v>
      </c>
      <c r="S5" s="330" t="s">
        <v>1008</v>
      </c>
      <c r="T5" s="330" t="s">
        <v>1009</v>
      </c>
      <c r="U5" s="330" t="s">
        <v>1010</v>
      </c>
      <c r="V5" s="330" t="s">
        <v>1011</v>
      </c>
      <c r="W5" s="330" t="s">
        <v>1012</v>
      </c>
      <c r="X5" s="330" t="s">
        <v>1013</v>
      </c>
      <c r="Y5" s="330" t="s">
        <v>1014</v>
      </c>
      <c r="Z5" s="330" t="s">
        <v>1015</v>
      </c>
      <c r="AA5" s="330" t="s">
        <v>1016</v>
      </c>
      <c r="AB5" s="330" t="s">
        <v>1017</v>
      </c>
      <c r="AC5" s="330" t="s">
        <v>1018</v>
      </c>
      <c r="AD5" s="330" t="s">
        <v>1019</v>
      </c>
      <c r="AE5" s="330" t="s">
        <v>1020</v>
      </c>
      <c r="AF5" s="330" t="s">
        <v>1021</v>
      </c>
      <c r="AG5" s="330" t="s">
        <v>932</v>
      </c>
      <c r="AH5" s="330" t="s">
        <v>933</v>
      </c>
      <c r="AI5" s="330" t="s">
        <v>934</v>
      </c>
      <c r="AJ5" s="330" t="s">
        <v>935</v>
      </c>
      <c r="AK5" s="330" t="s">
        <v>936</v>
      </c>
      <c r="AL5" s="330" t="s">
        <v>937</v>
      </c>
      <c r="AM5" s="330" t="s">
        <v>938</v>
      </c>
      <c r="AN5" s="330" t="s">
        <v>939</v>
      </c>
      <c r="AO5" s="330" t="s">
        <v>940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744</v>
      </c>
      <c r="E9"/>
    </row>
    <row r="10" spans="1:43" x14ac:dyDescent="0.25">
      <c r="C10" s="73" t="s">
        <v>766</v>
      </c>
      <c r="E10"/>
    </row>
    <row r="12" spans="1:43" x14ac:dyDescent="0.25">
      <c r="B12" s="82" t="s">
        <v>269</v>
      </c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</row>
    <row r="14" spans="1:43" x14ac:dyDescent="0.25">
      <c r="C14" s="73" t="s">
        <v>767</v>
      </c>
    </row>
    <row r="16" spans="1:43" x14ac:dyDescent="0.25">
      <c r="C16" s="5" t="str">
        <f ca="1">INDEX('Version control'!$H$36:$H$62,MATCH($A$1,'Version control'!$F$36:$F$62,0),1)&amp;"-A: Pre-match, pre-rounding tariff forecast"</f>
        <v>Section 520-A: Pre-match, pre-rounding tariff forecast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</row>
    <row r="18" spans="3:43" x14ac:dyDescent="0.25">
      <c r="E18" s="52" t="s">
        <v>768</v>
      </c>
      <c r="F18" s="52"/>
    </row>
    <row r="19" spans="3:43" x14ac:dyDescent="0.25">
      <c r="E19" s="73" t="s">
        <v>805</v>
      </c>
      <c r="F19" s="84"/>
    </row>
    <row r="20" spans="3:43" x14ac:dyDescent="0.25">
      <c r="C20" s="76"/>
      <c r="F20" s="80" t="s">
        <v>134</v>
      </c>
      <c r="G20" s="80" t="s">
        <v>183</v>
      </c>
      <c r="H20" s="307"/>
      <c r="I20" s="296"/>
      <c r="J20" s="307">
        <f>'Revenue matching'!J40</f>
        <v>8.299709774288182</v>
      </c>
      <c r="K20" s="307">
        <f>'Revenue matching'!K40</f>
        <v>8.299709774288182</v>
      </c>
      <c r="L20" s="307">
        <f>'Revenue matching'!L40</f>
        <v>10.017578595522124</v>
      </c>
      <c r="M20" s="307">
        <f>'Revenue matching'!M40</f>
        <v>10.017578595522124</v>
      </c>
      <c r="N20" s="307">
        <f>'Revenue matching'!N40</f>
        <v>10.017578595522124</v>
      </c>
      <c r="O20" s="307">
        <f>'Revenue matching'!O40</f>
        <v>10.017578595522124</v>
      </c>
      <c r="P20" s="307">
        <f>'Revenue matching'!P40</f>
        <v>10.017578595522124</v>
      </c>
      <c r="Q20" s="307">
        <f>'Revenue matching'!Q40</f>
        <v>10.017578595522124</v>
      </c>
      <c r="R20" s="307">
        <f>'Revenue matching'!R40</f>
        <v>7.2441646887714617</v>
      </c>
      <c r="S20" s="307">
        <f>'Revenue matching'!S40</f>
        <v>7.2441646887714617</v>
      </c>
      <c r="T20" s="307">
        <f>'Revenue matching'!T40</f>
        <v>7.2441646887714617</v>
      </c>
      <c r="U20" s="307">
        <f>'Revenue matching'!U40</f>
        <v>7.2441646887714617</v>
      </c>
      <c r="V20" s="307">
        <f>'Revenue matching'!V40</f>
        <v>7.2441646887714617</v>
      </c>
      <c r="W20" s="307">
        <f>'Revenue matching'!W40</f>
        <v>4.1678200402601213</v>
      </c>
      <c r="X20" s="307">
        <f>'Revenue matching'!X40</f>
        <v>4.1678200402601213</v>
      </c>
      <c r="Y20" s="307">
        <f>'Revenue matching'!Y40</f>
        <v>4.1678200402601213</v>
      </c>
      <c r="Z20" s="307">
        <f>'Revenue matching'!Z40</f>
        <v>4.1678200402601213</v>
      </c>
      <c r="AA20" s="307">
        <f>'Revenue matching'!AA40</f>
        <v>4.1678200402601213</v>
      </c>
      <c r="AB20" s="307">
        <f>'Revenue matching'!AB40</f>
        <v>2.8865352453672846</v>
      </c>
      <c r="AC20" s="307">
        <f>'Revenue matching'!AC40</f>
        <v>2.8865352453672846</v>
      </c>
      <c r="AD20" s="307">
        <f>'Revenue matching'!AD40</f>
        <v>2.8865352453672846</v>
      </c>
      <c r="AE20" s="307">
        <f>'Revenue matching'!AE40</f>
        <v>2.8865352453672846</v>
      </c>
      <c r="AF20" s="307">
        <f>'Revenue matching'!AF40</f>
        <v>2.8865352453672846</v>
      </c>
      <c r="AG20" s="307">
        <f>'Revenue matching'!AG40</f>
        <v>22.750664930150901</v>
      </c>
      <c r="AH20" s="307">
        <f>'Revenue matching'!AH40</f>
        <v>-6.5281797312705345</v>
      </c>
      <c r="AI20" s="307">
        <f>'Revenue matching'!AI40</f>
        <v>-5.6839788146925212</v>
      </c>
      <c r="AJ20" s="307">
        <f>'Revenue matching'!AJ40</f>
        <v>-6.5281797312705345</v>
      </c>
      <c r="AK20" s="307">
        <f>'Revenue matching'!AK40</f>
        <v>-6.5281797312705345</v>
      </c>
      <c r="AL20" s="307">
        <f>'Revenue matching'!AL40</f>
        <v>-5.6839788146925212</v>
      </c>
      <c r="AM20" s="307">
        <f>'Revenue matching'!AM40</f>
        <v>-5.6839788146925212</v>
      </c>
      <c r="AN20" s="307">
        <f>'Revenue matching'!AN40</f>
        <v>-3.5120732557973353</v>
      </c>
      <c r="AO20" s="307">
        <f>'Revenue matching'!AO40</f>
        <v>-3.5120732557973353</v>
      </c>
      <c r="AP20" s="298"/>
      <c r="AQ20" s="298"/>
    </row>
    <row r="21" spans="3:43" x14ac:dyDescent="0.25">
      <c r="C21" s="76"/>
      <c r="F21" t="s">
        <v>135</v>
      </c>
      <c r="G21" t="s">
        <v>183</v>
      </c>
      <c r="H21" s="363"/>
      <c r="I21" s="298"/>
      <c r="J21" s="363">
        <f>'Revenue matching'!J41</f>
        <v>0.95313219533521953</v>
      </c>
      <c r="K21" s="363">
        <f>'Revenue matching'!K41</f>
        <v>0.95313219533521953</v>
      </c>
      <c r="L21" s="363">
        <f>'Revenue matching'!L41</f>
        <v>1.150410910544398</v>
      </c>
      <c r="M21" s="363">
        <f>'Revenue matching'!M41</f>
        <v>1.150410910544398</v>
      </c>
      <c r="N21" s="363">
        <f>'Revenue matching'!N41</f>
        <v>1.150410910544398</v>
      </c>
      <c r="O21" s="363">
        <f>'Revenue matching'!O41</f>
        <v>1.150410910544398</v>
      </c>
      <c r="P21" s="363">
        <f>'Revenue matching'!P41</f>
        <v>1.150410910544398</v>
      </c>
      <c r="Q21" s="363">
        <f>'Revenue matching'!Q41</f>
        <v>1.150410910544398</v>
      </c>
      <c r="R21" s="363">
        <f>'Revenue matching'!R41</f>
        <v>0.78722064913810097</v>
      </c>
      <c r="S21" s="363">
        <f>'Revenue matching'!S41</f>
        <v>0.78722064913810097</v>
      </c>
      <c r="T21" s="363">
        <f>'Revenue matching'!T41</f>
        <v>0.78722064913810097</v>
      </c>
      <c r="U21" s="363">
        <f>'Revenue matching'!U41</f>
        <v>0.78722064913810097</v>
      </c>
      <c r="V21" s="363">
        <f>'Revenue matching'!V41</f>
        <v>0.78722064913810097</v>
      </c>
      <c r="W21" s="363">
        <f>'Revenue matching'!W41</f>
        <v>0.37434886539562695</v>
      </c>
      <c r="X21" s="363">
        <f>'Revenue matching'!X41</f>
        <v>0.37434886539562695</v>
      </c>
      <c r="Y21" s="363">
        <f>'Revenue matching'!Y41</f>
        <v>0.37434886539562695</v>
      </c>
      <c r="Z21" s="363">
        <f>'Revenue matching'!Z41</f>
        <v>0.37434886539562695</v>
      </c>
      <c r="AA21" s="363">
        <f>'Revenue matching'!AA41</f>
        <v>0.37434886539562695</v>
      </c>
      <c r="AB21" s="363">
        <f>'Revenue matching'!AB41</f>
        <v>0.22923280291328646</v>
      </c>
      <c r="AC21" s="363">
        <f>'Revenue matching'!AC41</f>
        <v>0.22923280291328646</v>
      </c>
      <c r="AD21" s="363">
        <f>'Revenue matching'!AD41</f>
        <v>0.22923280291328646</v>
      </c>
      <c r="AE21" s="363">
        <f>'Revenue matching'!AE41</f>
        <v>0.22923280291328646</v>
      </c>
      <c r="AF21" s="363">
        <f>'Revenue matching'!AF41</f>
        <v>0.22923280291328646</v>
      </c>
      <c r="AG21" s="363">
        <f>'Revenue matching'!AG41</f>
        <v>1.3580108270601396</v>
      </c>
      <c r="AH21" s="363">
        <f>'Revenue matching'!AH41</f>
        <v>-0.74969106728101365</v>
      </c>
      <c r="AI21" s="363">
        <f>'Revenue matching'!AI41</f>
        <v>-0.63496742960815677</v>
      </c>
      <c r="AJ21" s="363">
        <f>'Revenue matching'!AJ41</f>
        <v>-0.74969106728101365</v>
      </c>
      <c r="AK21" s="363">
        <f>'Revenue matching'!AK41</f>
        <v>-0.74969106728101365</v>
      </c>
      <c r="AL21" s="363">
        <f>'Revenue matching'!AL41</f>
        <v>-0.63496742960815677</v>
      </c>
      <c r="AM21" s="363">
        <f>'Revenue matching'!AM41</f>
        <v>-0.63496742960815677</v>
      </c>
      <c r="AN21" s="363">
        <f>'Revenue matching'!AN41</f>
        <v>-0.31331277837518495</v>
      </c>
      <c r="AO21" s="363">
        <f>'Revenue matching'!AO41</f>
        <v>-0.31331277837518495</v>
      </c>
      <c r="AP21" s="298"/>
      <c r="AQ21" s="298"/>
    </row>
    <row r="22" spans="3:43" x14ac:dyDescent="0.25">
      <c r="C22" s="76"/>
      <c r="F22" t="s">
        <v>136</v>
      </c>
      <c r="G22" t="s">
        <v>183</v>
      </c>
      <c r="H22" s="363"/>
      <c r="I22" s="298"/>
      <c r="J22" s="363">
        <f>'Revenue matching'!J42</f>
        <v>1.7003237233463812E-2</v>
      </c>
      <c r="K22" s="363">
        <f>'Revenue matching'!K42</f>
        <v>1.7003237233463812E-2</v>
      </c>
      <c r="L22" s="363">
        <f>'Revenue matching'!L42</f>
        <v>2.0522556811830232E-2</v>
      </c>
      <c r="M22" s="363">
        <f>'Revenue matching'!M42</f>
        <v>2.0522556811830232E-2</v>
      </c>
      <c r="N22" s="363">
        <f>'Revenue matching'!N42</f>
        <v>2.0522556811830232E-2</v>
      </c>
      <c r="O22" s="363">
        <f>'Revenue matching'!O42</f>
        <v>2.0522556811830232E-2</v>
      </c>
      <c r="P22" s="363">
        <f>'Revenue matching'!P42</f>
        <v>2.0522556811830232E-2</v>
      </c>
      <c r="Q22" s="363">
        <f>'Revenue matching'!Q42</f>
        <v>2.0522556811830232E-2</v>
      </c>
      <c r="R22" s="363">
        <f>'Revenue matching'!R42</f>
        <v>1.3643911588587573E-2</v>
      </c>
      <c r="S22" s="363">
        <f>'Revenue matching'!S42</f>
        <v>1.3643911588587573E-2</v>
      </c>
      <c r="T22" s="363">
        <f>'Revenue matching'!T42</f>
        <v>1.3643911588587573E-2</v>
      </c>
      <c r="U22" s="363">
        <f>'Revenue matching'!U42</f>
        <v>1.3643911588587573E-2</v>
      </c>
      <c r="V22" s="363">
        <f>'Revenue matching'!V42</f>
        <v>1.3643911588587573E-2</v>
      </c>
      <c r="W22" s="363">
        <f>'Revenue matching'!W42</f>
        <v>5.7458313786606487E-3</v>
      </c>
      <c r="X22" s="363">
        <f>'Revenue matching'!X42</f>
        <v>5.7458313786606487E-3</v>
      </c>
      <c r="Y22" s="363">
        <f>'Revenue matching'!Y42</f>
        <v>5.7458313786606487E-3</v>
      </c>
      <c r="Z22" s="363">
        <f>'Revenue matching'!Z42</f>
        <v>5.7458313786606487E-3</v>
      </c>
      <c r="AA22" s="363">
        <f>'Revenue matching'!AA42</f>
        <v>5.7458313786606487E-3</v>
      </c>
      <c r="AB22" s="363">
        <f>'Revenue matching'!AB42</f>
        <v>3.17516871760074E-3</v>
      </c>
      <c r="AC22" s="363">
        <f>'Revenue matching'!AC42</f>
        <v>3.17516871760074E-3</v>
      </c>
      <c r="AD22" s="363">
        <f>'Revenue matching'!AD42</f>
        <v>3.17516871760074E-3</v>
      </c>
      <c r="AE22" s="363">
        <f>'Revenue matching'!AE42</f>
        <v>3.17516871760074E-3</v>
      </c>
      <c r="AF22" s="363">
        <f>'Revenue matching'!AF42</f>
        <v>3.17516871760074E-3</v>
      </c>
      <c r="AG22" s="363">
        <f>'Revenue matching'!AG42</f>
        <v>0.45597518216619148</v>
      </c>
      <c r="AH22" s="363">
        <f>'Revenue matching'!AH42</f>
        <v>-1.3373984355134004E-2</v>
      </c>
      <c r="AI22" s="363">
        <f>'Revenue matching'!AI42</f>
        <v>-1.1168466179409052E-2</v>
      </c>
      <c r="AJ22" s="363">
        <f>'Revenue matching'!AJ42</f>
        <v>-1.3373984355134004E-2</v>
      </c>
      <c r="AK22" s="363">
        <f>'Revenue matching'!AK42</f>
        <v>-1.3373984355134004E-2</v>
      </c>
      <c r="AL22" s="363">
        <f>'Revenue matching'!AL42</f>
        <v>-1.1168466179409052E-2</v>
      </c>
      <c r="AM22" s="363">
        <f>'Revenue matching'!AM42</f>
        <v>-1.1168466179409052E-2</v>
      </c>
      <c r="AN22" s="363">
        <f>'Revenue matching'!AN42</f>
        <v>-4.7845614421207936E-3</v>
      </c>
      <c r="AO22" s="363">
        <f>'Revenue matching'!AO42</f>
        <v>-4.7845614421207936E-3</v>
      </c>
      <c r="AP22" s="298"/>
      <c r="AQ22" s="298"/>
    </row>
    <row r="23" spans="3:43" x14ac:dyDescent="0.25">
      <c r="C23" s="76"/>
      <c r="F23" t="s">
        <v>254</v>
      </c>
      <c r="G23" t="s">
        <v>252</v>
      </c>
      <c r="H23" s="327"/>
      <c r="J23" s="229">
        <f>'Revenue matching'!J43</f>
        <v>4.6823787634997727</v>
      </c>
      <c r="K23" s="229">
        <f>'Revenue matching'!K43</f>
        <v>0</v>
      </c>
      <c r="L23" s="229">
        <f>'Revenue matching'!L43</f>
        <v>5.9909489853432492</v>
      </c>
      <c r="M23" s="229">
        <f>'Revenue matching'!M43</f>
        <v>5.9909489853432492</v>
      </c>
      <c r="N23" s="229">
        <f>'Revenue matching'!N43</f>
        <v>5.9909489853432492</v>
      </c>
      <c r="O23" s="229">
        <f>'Revenue matching'!O43</f>
        <v>5.9909489853432492</v>
      </c>
      <c r="P23" s="229">
        <f>'Revenue matching'!P43</f>
        <v>5.9909489853432492</v>
      </c>
      <c r="Q23" s="229">
        <f>'Revenue matching'!Q43</f>
        <v>0</v>
      </c>
      <c r="R23" s="229">
        <f>'Revenue matching'!R43</f>
        <v>23.764953284910149</v>
      </c>
      <c r="S23" s="229">
        <f>'Revenue matching'!S43</f>
        <v>23.764953284910149</v>
      </c>
      <c r="T23" s="229">
        <f>'Revenue matching'!T43</f>
        <v>23.764953284910149</v>
      </c>
      <c r="U23" s="229">
        <f>'Revenue matching'!U43</f>
        <v>23.764953284910149</v>
      </c>
      <c r="V23" s="229">
        <f>'Revenue matching'!V43</f>
        <v>23.764953284910149</v>
      </c>
      <c r="W23" s="229">
        <f>'Revenue matching'!W43</f>
        <v>8.3876305711447596</v>
      </c>
      <c r="X23" s="229">
        <f>'Revenue matching'!X43</f>
        <v>8.3876305711447596</v>
      </c>
      <c r="Y23" s="229">
        <f>'Revenue matching'!Y43</f>
        <v>8.3876305711447596</v>
      </c>
      <c r="Z23" s="229">
        <f>'Revenue matching'!Z43</f>
        <v>8.3876305711447596</v>
      </c>
      <c r="AA23" s="229">
        <f>'Revenue matching'!AA43</f>
        <v>8.3876305711447596</v>
      </c>
      <c r="AB23" s="229">
        <f>'Revenue matching'!AB43</f>
        <v>126.99377480279705</v>
      </c>
      <c r="AC23" s="229">
        <f>'Revenue matching'!AC43</f>
        <v>126.99377480279705</v>
      </c>
      <c r="AD23" s="229">
        <f>'Revenue matching'!AD43</f>
        <v>126.99377480279705</v>
      </c>
      <c r="AE23" s="229">
        <f>'Revenue matching'!AE43</f>
        <v>126.99377480279705</v>
      </c>
      <c r="AF23" s="229">
        <f>'Revenue matching'!AF43</f>
        <v>126.99377480279705</v>
      </c>
      <c r="AG23" s="229">
        <f>'Revenue matching'!AG43</f>
        <v>0</v>
      </c>
      <c r="AH23" s="229">
        <f>'Revenue matching'!AH43</f>
        <v>0</v>
      </c>
      <c r="AI23" s="229">
        <f>'Revenue matching'!AI43</f>
        <v>0</v>
      </c>
      <c r="AJ23" s="229">
        <f>'Revenue matching'!AJ43</f>
        <v>0</v>
      </c>
      <c r="AK23" s="229">
        <f>'Revenue matching'!AK43</f>
        <v>0</v>
      </c>
      <c r="AL23" s="229">
        <f>'Revenue matching'!AL43</f>
        <v>0</v>
      </c>
      <c r="AM23" s="229">
        <f>'Revenue matching'!AM43</f>
        <v>0</v>
      </c>
      <c r="AN23" s="229">
        <f>'Revenue matching'!AN43</f>
        <v>92.733244183596881</v>
      </c>
      <c r="AO23" s="229">
        <f>'Revenue matching'!AO43</f>
        <v>92.733244183596881</v>
      </c>
    </row>
    <row r="24" spans="3:43" x14ac:dyDescent="0.25">
      <c r="C24" s="76"/>
      <c r="F24" t="s">
        <v>255</v>
      </c>
      <c r="G24" t="s">
        <v>251</v>
      </c>
      <c r="H24" s="327"/>
      <c r="J24" s="229">
        <f>'Revenue matching'!J44</f>
        <v>0</v>
      </c>
      <c r="K24" s="229">
        <f>'Revenue matching'!K44</f>
        <v>0</v>
      </c>
      <c r="L24" s="229">
        <f>'Revenue matching'!L44</f>
        <v>0</v>
      </c>
      <c r="M24" s="229">
        <f>'Revenue matching'!M44</f>
        <v>0</v>
      </c>
      <c r="N24" s="229">
        <f>'Revenue matching'!N44</f>
        <v>0</v>
      </c>
      <c r="O24" s="229">
        <f>'Revenue matching'!O44</f>
        <v>0</v>
      </c>
      <c r="P24" s="229">
        <f>'Revenue matching'!P44</f>
        <v>0</v>
      </c>
      <c r="Q24" s="229">
        <f>'Revenue matching'!Q44</f>
        <v>0</v>
      </c>
      <c r="R24" s="229">
        <f>'Revenue matching'!R44</f>
        <v>2.9404507692016573</v>
      </c>
      <c r="S24" s="229">
        <f>'Revenue matching'!S44</f>
        <v>2.9404507692016573</v>
      </c>
      <c r="T24" s="229">
        <f>'Revenue matching'!T44</f>
        <v>2.9404507692016573</v>
      </c>
      <c r="U24" s="229">
        <f>'Revenue matching'!U44</f>
        <v>2.9404507692016573</v>
      </c>
      <c r="V24" s="229">
        <f>'Revenue matching'!V44</f>
        <v>2.9404507692016573</v>
      </c>
      <c r="W24" s="229">
        <f>'Revenue matching'!W44</f>
        <v>5.4245039682001561</v>
      </c>
      <c r="X24" s="229">
        <f>'Revenue matching'!X44</f>
        <v>5.4245039682001561</v>
      </c>
      <c r="Y24" s="229">
        <f>'Revenue matching'!Y44</f>
        <v>5.4245039682001561</v>
      </c>
      <c r="Z24" s="229">
        <f>'Revenue matching'!Z44</f>
        <v>5.4245039682001561</v>
      </c>
      <c r="AA24" s="229">
        <f>'Revenue matching'!AA44</f>
        <v>5.4245039682001561</v>
      </c>
      <c r="AB24" s="229">
        <f>'Revenue matching'!AB44</f>
        <v>5.9690070627261953</v>
      </c>
      <c r="AC24" s="229">
        <f>'Revenue matching'!AC44</f>
        <v>5.9690070627261953</v>
      </c>
      <c r="AD24" s="229">
        <f>'Revenue matching'!AD44</f>
        <v>5.9690070627261953</v>
      </c>
      <c r="AE24" s="229">
        <f>'Revenue matching'!AE44</f>
        <v>5.9690070627261953</v>
      </c>
      <c r="AF24" s="229">
        <f>'Revenue matching'!AF44</f>
        <v>5.9690070627261953</v>
      </c>
      <c r="AG24" s="229">
        <f>'Revenue matching'!AG44</f>
        <v>0</v>
      </c>
      <c r="AH24" s="229">
        <f>'Revenue matching'!AH44</f>
        <v>0</v>
      </c>
      <c r="AI24" s="229">
        <f>'Revenue matching'!AI44</f>
        <v>0</v>
      </c>
      <c r="AJ24" s="229">
        <f>'Revenue matching'!AJ44</f>
        <v>0</v>
      </c>
      <c r="AK24" s="229">
        <f>'Revenue matching'!AK44</f>
        <v>0</v>
      </c>
      <c r="AL24" s="229">
        <f>'Revenue matching'!AL44</f>
        <v>0</v>
      </c>
      <c r="AM24" s="229">
        <f>'Revenue matching'!AM44</f>
        <v>0</v>
      </c>
      <c r="AN24" s="229">
        <f>'Revenue matching'!AN44</f>
        <v>0</v>
      </c>
      <c r="AO24" s="229">
        <f>'Revenue matching'!AO44</f>
        <v>0</v>
      </c>
    </row>
    <row r="25" spans="3:43" x14ac:dyDescent="0.25">
      <c r="C25" s="76"/>
      <c r="F25" t="s">
        <v>256</v>
      </c>
      <c r="G25" t="s">
        <v>251</v>
      </c>
      <c r="H25" s="327"/>
      <c r="J25" s="229">
        <f>'Revenue matching'!J45</f>
        <v>0</v>
      </c>
      <c r="K25" s="229">
        <f>'Revenue matching'!K45</f>
        <v>0</v>
      </c>
      <c r="L25" s="229">
        <f>'Revenue matching'!L45</f>
        <v>0</v>
      </c>
      <c r="M25" s="229">
        <f>'Revenue matching'!M45</f>
        <v>0</v>
      </c>
      <c r="N25" s="229">
        <f>'Revenue matching'!N45</f>
        <v>0</v>
      </c>
      <c r="O25" s="229">
        <f>'Revenue matching'!O45</f>
        <v>0</v>
      </c>
      <c r="P25" s="229">
        <f>'Revenue matching'!P45</f>
        <v>0</v>
      </c>
      <c r="Q25" s="229">
        <f>'Revenue matching'!Q45</f>
        <v>0</v>
      </c>
      <c r="R25" s="229">
        <f>'Revenue matching'!R45</f>
        <v>4.2719194296801346</v>
      </c>
      <c r="S25" s="229">
        <f>'Revenue matching'!S45</f>
        <v>4.2719194296801346</v>
      </c>
      <c r="T25" s="229">
        <f>'Revenue matching'!T45</f>
        <v>4.2719194296801346</v>
      </c>
      <c r="U25" s="229">
        <f>'Revenue matching'!U45</f>
        <v>4.2719194296801346</v>
      </c>
      <c r="V25" s="229">
        <f>'Revenue matching'!V45</f>
        <v>4.2719194296801346</v>
      </c>
      <c r="W25" s="229">
        <f>'Revenue matching'!W45</f>
        <v>6.1822714517718973</v>
      </c>
      <c r="X25" s="229">
        <f>'Revenue matching'!X45</f>
        <v>6.1822714517718973</v>
      </c>
      <c r="Y25" s="229">
        <f>'Revenue matching'!Y45</f>
        <v>6.1822714517718973</v>
      </c>
      <c r="Z25" s="229">
        <f>'Revenue matching'!Z45</f>
        <v>6.1822714517718973</v>
      </c>
      <c r="AA25" s="229">
        <f>'Revenue matching'!AA45</f>
        <v>6.1822714517718973</v>
      </c>
      <c r="AB25" s="229">
        <f>'Revenue matching'!AB45</f>
        <v>7.3529287417940443</v>
      </c>
      <c r="AC25" s="229">
        <f>'Revenue matching'!AC45</f>
        <v>7.3529287417940443</v>
      </c>
      <c r="AD25" s="229">
        <f>'Revenue matching'!AD45</f>
        <v>7.3529287417940443</v>
      </c>
      <c r="AE25" s="229">
        <f>'Revenue matching'!AE45</f>
        <v>7.3529287417940443</v>
      </c>
      <c r="AF25" s="229">
        <f>'Revenue matching'!AF45</f>
        <v>7.3529287417940443</v>
      </c>
      <c r="AG25" s="229">
        <f>'Revenue matching'!AG45</f>
        <v>0</v>
      </c>
      <c r="AH25" s="229">
        <f>'Revenue matching'!AH45</f>
        <v>0</v>
      </c>
      <c r="AI25" s="229">
        <f>'Revenue matching'!AI45</f>
        <v>0</v>
      </c>
      <c r="AJ25" s="229">
        <f>'Revenue matching'!AJ45</f>
        <v>0</v>
      </c>
      <c r="AK25" s="229">
        <f>'Revenue matching'!AK45</f>
        <v>0</v>
      </c>
      <c r="AL25" s="229">
        <f>'Revenue matching'!AL45</f>
        <v>0</v>
      </c>
      <c r="AM25" s="229">
        <f>'Revenue matching'!AM45</f>
        <v>0</v>
      </c>
      <c r="AN25" s="229">
        <f>'Revenue matching'!AN45</f>
        <v>0</v>
      </c>
      <c r="AO25" s="229">
        <f>'Revenue matching'!AO45</f>
        <v>0</v>
      </c>
    </row>
    <row r="26" spans="3:43" x14ac:dyDescent="0.25">
      <c r="C26" s="76"/>
      <c r="F26" s="17" t="s">
        <v>257</v>
      </c>
      <c r="G26" s="17" t="s">
        <v>258</v>
      </c>
      <c r="H26" s="310"/>
      <c r="I26" s="300"/>
      <c r="J26" s="310">
        <f>'Revenue matching'!J46</f>
        <v>0</v>
      </c>
      <c r="K26" s="310">
        <f>'Revenue matching'!K46</f>
        <v>0</v>
      </c>
      <c r="L26" s="310">
        <f>'Revenue matching'!L46</f>
        <v>0</v>
      </c>
      <c r="M26" s="310">
        <f>'Revenue matching'!M46</f>
        <v>0</v>
      </c>
      <c r="N26" s="310">
        <f>'Revenue matching'!N46</f>
        <v>0</v>
      </c>
      <c r="O26" s="310">
        <f>'Revenue matching'!O46</f>
        <v>0</v>
      </c>
      <c r="P26" s="310">
        <f>'Revenue matching'!P46</f>
        <v>0</v>
      </c>
      <c r="Q26" s="310">
        <f>'Revenue matching'!Q46</f>
        <v>0</v>
      </c>
      <c r="R26" s="310">
        <f>'Revenue matching'!R46</f>
        <v>0.14921334832108674</v>
      </c>
      <c r="S26" s="310">
        <f>'Revenue matching'!S46</f>
        <v>0.14921334832108674</v>
      </c>
      <c r="T26" s="310">
        <f>'Revenue matching'!T46</f>
        <v>0.14921334832108674</v>
      </c>
      <c r="U26" s="310">
        <f>'Revenue matching'!U46</f>
        <v>0.14921334832108674</v>
      </c>
      <c r="V26" s="310">
        <f>'Revenue matching'!V46</f>
        <v>0.14921334832108674</v>
      </c>
      <c r="W26" s="310">
        <f>'Revenue matching'!W46</f>
        <v>7.5151983325622007E-2</v>
      </c>
      <c r="X26" s="310">
        <f>'Revenue matching'!X46</f>
        <v>7.5151983325622007E-2</v>
      </c>
      <c r="Y26" s="310">
        <f>'Revenue matching'!Y46</f>
        <v>7.5151983325622007E-2</v>
      </c>
      <c r="Z26" s="310">
        <f>'Revenue matching'!Z46</f>
        <v>7.5151983325622007E-2</v>
      </c>
      <c r="AA26" s="310">
        <f>'Revenue matching'!AA46</f>
        <v>7.5151983325622007E-2</v>
      </c>
      <c r="AB26" s="310">
        <f>'Revenue matching'!AB46</f>
        <v>4.7539599896088004E-2</v>
      </c>
      <c r="AC26" s="310">
        <f>'Revenue matching'!AC46</f>
        <v>4.7539599896088004E-2</v>
      </c>
      <c r="AD26" s="310">
        <f>'Revenue matching'!AD46</f>
        <v>4.7539599896088004E-2</v>
      </c>
      <c r="AE26" s="310">
        <f>'Revenue matching'!AE46</f>
        <v>4.7539599896088004E-2</v>
      </c>
      <c r="AF26" s="310">
        <f>'Revenue matching'!AF46</f>
        <v>4.7539599896088004E-2</v>
      </c>
      <c r="AG26" s="310">
        <f>'Revenue matching'!AG46</f>
        <v>0</v>
      </c>
      <c r="AH26" s="310">
        <f>'Revenue matching'!AH46</f>
        <v>0</v>
      </c>
      <c r="AI26" s="310">
        <f>'Revenue matching'!AI46</f>
        <v>0</v>
      </c>
      <c r="AJ26" s="310">
        <f>'Revenue matching'!AJ46</f>
        <v>0.13504878564133801</v>
      </c>
      <c r="AK26" s="310">
        <f>'Revenue matching'!AK46</f>
        <v>0</v>
      </c>
      <c r="AL26" s="310">
        <f>'Revenue matching'!AL46</f>
        <v>0.11742378853173932</v>
      </c>
      <c r="AM26" s="310">
        <f>'Revenue matching'!AM46</f>
        <v>0</v>
      </c>
      <c r="AN26" s="310">
        <f>'Revenue matching'!AN46</f>
        <v>9.5740261905297164E-2</v>
      </c>
      <c r="AO26" s="310">
        <f>'Revenue matching'!AO46</f>
        <v>0</v>
      </c>
      <c r="AP26" s="298"/>
      <c r="AQ26" s="298"/>
    </row>
    <row r="27" spans="3:43" x14ac:dyDescent="0.25">
      <c r="C27" s="76"/>
      <c r="E27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  <c r="AL27" s="211"/>
      <c r="AM27" s="211"/>
      <c r="AN27" s="211"/>
      <c r="AO27" s="211"/>
    </row>
    <row r="28" spans="3:43" x14ac:dyDescent="0.25">
      <c r="C28" s="5" t="str">
        <f ca="1">INDEX('Version control'!$H$36:$H$62,MATCH($A$1,'Version control'!$F$36:$F$62,0),1)&amp;"-B: Adders for revenue-matching"</f>
        <v>Section 520-B: Adders for revenue-matching</v>
      </c>
      <c r="D28" s="5"/>
      <c r="E28" s="5"/>
      <c r="F28" s="5"/>
      <c r="G28" s="5"/>
      <c r="H28" s="5"/>
      <c r="I28" s="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205"/>
      <c r="AA28" s="205"/>
      <c r="AB28" s="205"/>
      <c r="AC28" s="205"/>
      <c r="AD28" s="205"/>
      <c r="AE28" s="205"/>
      <c r="AF28" s="205"/>
      <c r="AG28" s="205"/>
      <c r="AH28" s="205"/>
      <c r="AI28" s="205"/>
      <c r="AJ28" s="205"/>
      <c r="AK28" s="205"/>
      <c r="AL28" s="205"/>
      <c r="AM28" s="205"/>
      <c r="AN28" s="205"/>
      <c r="AO28" s="205"/>
      <c r="AP28" s="5"/>
      <c r="AQ28" s="5"/>
    </row>
    <row r="29" spans="3:43" x14ac:dyDescent="0.25"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  <c r="AL29" s="211"/>
      <c r="AM29" s="211"/>
      <c r="AN29" s="211"/>
      <c r="AO29" s="211"/>
    </row>
    <row r="30" spans="3:43" x14ac:dyDescent="0.25">
      <c r="E30" s="76" t="s">
        <v>1224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  <c r="AL30" s="211"/>
      <c r="AM30" s="211"/>
      <c r="AN30" s="211"/>
      <c r="AO30" s="211"/>
    </row>
    <row r="31" spans="3:43" x14ac:dyDescent="0.25">
      <c r="E31" s="73" t="s">
        <v>1252</v>
      </c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1"/>
    </row>
    <row r="32" spans="3:43" x14ac:dyDescent="0.25">
      <c r="E32" s="76"/>
      <c r="F32" s="80" t="s">
        <v>134</v>
      </c>
      <c r="G32" s="80" t="s">
        <v>183</v>
      </c>
      <c r="H32" s="307"/>
      <c r="I32" s="296"/>
      <c r="J32" s="297">
        <f>'Revenue matching'!J413</f>
        <v>0</v>
      </c>
      <c r="K32" s="297">
        <f>'Revenue matching'!K413</f>
        <v>0</v>
      </c>
      <c r="L32" s="297">
        <f>'Revenue matching'!L413</f>
        <v>0</v>
      </c>
      <c r="M32" s="297">
        <f>'Revenue matching'!M413</f>
        <v>0</v>
      </c>
      <c r="N32" s="297">
        <f>'Revenue matching'!N413</f>
        <v>0</v>
      </c>
      <c r="O32" s="297">
        <f>'Revenue matching'!O413</f>
        <v>0</v>
      </c>
      <c r="P32" s="297">
        <f>'Revenue matching'!P413</f>
        <v>0</v>
      </c>
      <c r="Q32" s="297">
        <f>'Revenue matching'!Q413</f>
        <v>0</v>
      </c>
      <c r="R32" s="297">
        <f>'Revenue matching'!R413</f>
        <v>0</v>
      </c>
      <c r="S32" s="297">
        <f>'Revenue matching'!S413</f>
        <v>0</v>
      </c>
      <c r="T32" s="297">
        <f>'Revenue matching'!T413</f>
        <v>0</v>
      </c>
      <c r="U32" s="297">
        <f>'Revenue matching'!U413</f>
        <v>0</v>
      </c>
      <c r="V32" s="297">
        <f>'Revenue matching'!V413</f>
        <v>0</v>
      </c>
      <c r="W32" s="297">
        <f>'Revenue matching'!W413</f>
        <v>0</v>
      </c>
      <c r="X32" s="297">
        <f>'Revenue matching'!X413</f>
        <v>0</v>
      </c>
      <c r="Y32" s="297">
        <f>'Revenue matching'!Y413</f>
        <v>0</v>
      </c>
      <c r="Z32" s="297">
        <f>'Revenue matching'!Z413</f>
        <v>0</v>
      </c>
      <c r="AA32" s="297">
        <f>'Revenue matching'!AA413</f>
        <v>0</v>
      </c>
      <c r="AB32" s="297">
        <f>'Revenue matching'!AB413</f>
        <v>0</v>
      </c>
      <c r="AC32" s="297">
        <f>'Revenue matching'!AC413</f>
        <v>0</v>
      </c>
      <c r="AD32" s="297">
        <f>'Revenue matching'!AD413</f>
        <v>0</v>
      </c>
      <c r="AE32" s="297">
        <f>'Revenue matching'!AE413</f>
        <v>0</v>
      </c>
      <c r="AF32" s="297">
        <f>'Revenue matching'!AF413</f>
        <v>0</v>
      </c>
      <c r="AG32" s="297">
        <f>'Revenue matching'!AG413</f>
        <v>2.4794192083976947</v>
      </c>
      <c r="AH32" s="297">
        <f>'Revenue matching'!AH413</f>
        <v>0</v>
      </c>
      <c r="AI32" s="297">
        <f>'Revenue matching'!AI413</f>
        <v>0</v>
      </c>
      <c r="AJ32" s="297">
        <f>'Revenue matching'!AJ413</f>
        <v>0</v>
      </c>
      <c r="AK32" s="297">
        <f>'Revenue matching'!AK413</f>
        <v>0</v>
      </c>
      <c r="AL32" s="297">
        <f>'Revenue matching'!AL413</f>
        <v>0</v>
      </c>
      <c r="AM32" s="297">
        <f>'Revenue matching'!AM413</f>
        <v>0</v>
      </c>
      <c r="AN32" s="297">
        <f>'Revenue matching'!AN413</f>
        <v>0</v>
      </c>
      <c r="AO32" s="297">
        <f>'Revenue matching'!AO413</f>
        <v>0</v>
      </c>
      <c r="AP32" s="298"/>
      <c r="AQ32" s="298"/>
    </row>
    <row r="33" spans="3:43" x14ac:dyDescent="0.25">
      <c r="E33" s="76"/>
      <c r="F33" t="s">
        <v>135</v>
      </c>
      <c r="G33" t="s">
        <v>183</v>
      </c>
      <c r="H33" s="363"/>
      <c r="I33" s="298"/>
      <c r="J33" s="299">
        <f>'Revenue matching'!J414</f>
        <v>0</v>
      </c>
      <c r="K33" s="299">
        <f>'Revenue matching'!K414</f>
        <v>0</v>
      </c>
      <c r="L33" s="299">
        <f>'Revenue matching'!L414</f>
        <v>0</v>
      </c>
      <c r="M33" s="299">
        <f>'Revenue matching'!M414</f>
        <v>0</v>
      </c>
      <c r="N33" s="299">
        <f>'Revenue matching'!N414</f>
        <v>0</v>
      </c>
      <c r="O33" s="299">
        <f>'Revenue matching'!O414</f>
        <v>0</v>
      </c>
      <c r="P33" s="299">
        <f>'Revenue matching'!P414</f>
        <v>0</v>
      </c>
      <c r="Q33" s="299">
        <f>'Revenue matching'!Q414</f>
        <v>0</v>
      </c>
      <c r="R33" s="299">
        <f>'Revenue matching'!R414</f>
        <v>0</v>
      </c>
      <c r="S33" s="299">
        <f>'Revenue matching'!S414</f>
        <v>0</v>
      </c>
      <c r="T33" s="299">
        <f>'Revenue matching'!T414</f>
        <v>0</v>
      </c>
      <c r="U33" s="299">
        <f>'Revenue matching'!U414</f>
        <v>0</v>
      </c>
      <c r="V33" s="299">
        <f>'Revenue matching'!V414</f>
        <v>0</v>
      </c>
      <c r="W33" s="299">
        <f>'Revenue matching'!W414</f>
        <v>0</v>
      </c>
      <c r="X33" s="299">
        <f>'Revenue matching'!X414</f>
        <v>0</v>
      </c>
      <c r="Y33" s="299">
        <f>'Revenue matching'!Y414</f>
        <v>0</v>
      </c>
      <c r="Z33" s="299">
        <f>'Revenue matching'!Z414</f>
        <v>0</v>
      </c>
      <c r="AA33" s="299">
        <f>'Revenue matching'!AA414</f>
        <v>0</v>
      </c>
      <c r="AB33" s="299">
        <f>'Revenue matching'!AB414</f>
        <v>0</v>
      </c>
      <c r="AC33" s="299">
        <f>'Revenue matching'!AC414</f>
        <v>0</v>
      </c>
      <c r="AD33" s="299">
        <f>'Revenue matching'!AD414</f>
        <v>0</v>
      </c>
      <c r="AE33" s="299">
        <f>'Revenue matching'!AE414</f>
        <v>0</v>
      </c>
      <c r="AF33" s="299">
        <f>'Revenue matching'!AF414</f>
        <v>0</v>
      </c>
      <c r="AG33" s="299">
        <f>'Revenue matching'!AG414</f>
        <v>2.4794192083976947</v>
      </c>
      <c r="AH33" s="299">
        <f>'Revenue matching'!AH414</f>
        <v>0</v>
      </c>
      <c r="AI33" s="299">
        <f>'Revenue matching'!AI414</f>
        <v>0</v>
      </c>
      <c r="AJ33" s="299">
        <f>'Revenue matching'!AJ414</f>
        <v>0</v>
      </c>
      <c r="AK33" s="299">
        <f>'Revenue matching'!AK414</f>
        <v>0</v>
      </c>
      <c r="AL33" s="299">
        <f>'Revenue matching'!AL414</f>
        <v>0</v>
      </c>
      <c r="AM33" s="299">
        <f>'Revenue matching'!AM414</f>
        <v>0</v>
      </c>
      <c r="AN33" s="299">
        <f>'Revenue matching'!AN414</f>
        <v>0</v>
      </c>
      <c r="AO33" s="299">
        <f>'Revenue matching'!AO414</f>
        <v>0</v>
      </c>
      <c r="AP33" s="298"/>
      <c r="AQ33" s="298"/>
    </row>
    <row r="34" spans="3:43" x14ac:dyDescent="0.25">
      <c r="E34" s="76"/>
      <c r="F34" t="s">
        <v>136</v>
      </c>
      <c r="G34" t="s">
        <v>183</v>
      </c>
      <c r="H34" s="363"/>
      <c r="I34" s="298"/>
      <c r="J34" s="299">
        <f>'Revenue matching'!J415</f>
        <v>0</v>
      </c>
      <c r="K34" s="299">
        <f>'Revenue matching'!K415</f>
        <v>0</v>
      </c>
      <c r="L34" s="299">
        <f>'Revenue matching'!L415</f>
        <v>0</v>
      </c>
      <c r="M34" s="299">
        <f>'Revenue matching'!M415</f>
        <v>0</v>
      </c>
      <c r="N34" s="299">
        <f>'Revenue matching'!N415</f>
        <v>0</v>
      </c>
      <c r="O34" s="299">
        <f>'Revenue matching'!O415</f>
        <v>0</v>
      </c>
      <c r="P34" s="299">
        <f>'Revenue matching'!P415</f>
        <v>0</v>
      </c>
      <c r="Q34" s="299">
        <f>'Revenue matching'!Q415</f>
        <v>0</v>
      </c>
      <c r="R34" s="299">
        <f>'Revenue matching'!R415</f>
        <v>0</v>
      </c>
      <c r="S34" s="299">
        <f>'Revenue matching'!S415</f>
        <v>0</v>
      </c>
      <c r="T34" s="299">
        <f>'Revenue matching'!T415</f>
        <v>0</v>
      </c>
      <c r="U34" s="299">
        <f>'Revenue matching'!U415</f>
        <v>0</v>
      </c>
      <c r="V34" s="299">
        <f>'Revenue matching'!V415</f>
        <v>0</v>
      </c>
      <c r="W34" s="299">
        <f>'Revenue matching'!W415</f>
        <v>0</v>
      </c>
      <c r="X34" s="299">
        <f>'Revenue matching'!X415</f>
        <v>0</v>
      </c>
      <c r="Y34" s="299">
        <f>'Revenue matching'!Y415</f>
        <v>0</v>
      </c>
      <c r="Z34" s="299">
        <f>'Revenue matching'!Z415</f>
        <v>0</v>
      </c>
      <c r="AA34" s="299">
        <f>'Revenue matching'!AA415</f>
        <v>0</v>
      </c>
      <c r="AB34" s="299">
        <f>'Revenue matching'!AB415</f>
        <v>0</v>
      </c>
      <c r="AC34" s="299">
        <f>'Revenue matching'!AC415</f>
        <v>0</v>
      </c>
      <c r="AD34" s="299">
        <f>'Revenue matching'!AD415</f>
        <v>0</v>
      </c>
      <c r="AE34" s="299">
        <f>'Revenue matching'!AE415</f>
        <v>0</v>
      </c>
      <c r="AF34" s="299">
        <f>'Revenue matching'!AF415</f>
        <v>0</v>
      </c>
      <c r="AG34" s="299">
        <f>'Revenue matching'!AG415</f>
        <v>2.4794192083976947</v>
      </c>
      <c r="AH34" s="299">
        <f>'Revenue matching'!AH415</f>
        <v>0</v>
      </c>
      <c r="AI34" s="299">
        <f>'Revenue matching'!AI415</f>
        <v>0</v>
      </c>
      <c r="AJ34" s="299">
        <f>'Revenue matching'!AJ415</f>
        <v>0</v>
      </c>
      <c r="AK34" s="299">
        <f>'Revenue matching'!AK415</f>
        <v>0</v>
      </c>
      <c r="AL34" s="299">
        <f>'Revenue matching'!AL415</f>
        <v>0</v>
      </c>
      <c r="AM34" s="299">
        <f>'Revenue matching'!AM415</f>
        <v>0</v>
      </c>
      <c r="AN34" s="299">
        <f>'Revenue matching'!AN415</f>
        <v>0</v>
      </c>
      <c r="AO34" s="299">
        <f>'Revenue matching'!AO415</f>
        <v>0</v>
      </c>
      <c r="AP34" s="298"/>
      <c r="AQ34" s="298"/>
    </row>
    <row r="35" spans="3:43" x14ac:dyDescent="0.25">
      <c r="E35" s="76"/>
      <c r="F35" t="s">
        <v>254</v>
      </c>
      <c r="G35" t="s">
        <v>252</v>
      </c>
      <c r="H35" s="327"/>
      <c r="J35" s="299">
        <f>'Revenue matching'!J416</f>
        <v>20.126324912958196</v>
      </c>
      <c r="K35" s="299">
        <f>'Revenue matching'!K416</f>
        <v>0</v>
      </c>
      <c r="L35" s="299">
        <f>'Revenue matching'!L416</f>
        <v>0</v>
      </c>
      <c r="M35" s="299">
        <f>'Revenue matching'!M416</f>
        <v>25.436828488471388</v>
      </c>
      <c r="N35" s="299">
        <f>'Revenue matching'!N416</f>
        <v>58.449659098606475</v>
      </c>
      <c r="O35" s="299">
        <f>'Revenue matching'!O416</f>
        <v>126.22980935694616</v>
      </c>
      <c r="P35" s="299">
        <f>'Revenue matching'!P416</f>
        <v>371.0921857468964</v>
      </c>
      <c r="Q35" s="299">
        <f>'Revenue matching'!Q416</f>
        <v>0</v>
      </c>
      <c r="R35" s="299">
        <f>'Revenue matching'!R416</f>
        <v>0</v>
      </c>
      <c r="S35" s="299">
        <f>'Revenue matching'!S416</f>
        <v>689.19812882403505</v>
      </c>
      <c r="T35" s="299">
        <f>'Revenue matching'!T416</f>
        <v>1204.3467233520016</v>
      </c>
      <c r="U35" s="299">
        <f>'Revenue matching'!U416</f>
        <v>2030.8549997303344</v>
      </c>
      <c r="V35" s="299">
        <f>'Revenue matching'!V416</f>
        <v>4422.0488416156977</v>
      </c>
      <c r="W35" s="299">
        <f>'Revenue matching'!W416</f>
        <v>0</v>
      </c>
      <c r="X35" s="299">
        <f>'Revenue matching'!X416</f>
        <v>689.19812882403482</v>
      </c>
      <c r="Y35" s="299">
        <f>'Revenue matching'!Y416</f>
        <v>1204.3467233520016</v>
      </c>
      <c r="Z35" s="299">
        <f>'Revenue matching'!Z416</f>
        <v>2030.8549997303344</v>
      </c>
      <c r="AA35" s="299">
        <f>'Revenue matching'!AA416</f>
        <v>4422.0488416156959</v>
      </c>
      <c r="AB35" s="299">
        <f>'Revenue matching'!AB416</f>
        <v>0</v>
      </c>
      <c r="AC35" s="299">
        <f>'Revenue matching'!AC416</f>
        <v>3444.8041543515374</v>
      </c>
      <c r="AD35" s="299">
        <f>'Revenue matching'!AD416</f>
        <v>10445.42996253825</v>
      </c>
      <c r="AE35" s="299">
        <f>'Revenue matching'!AE416</f>
        <v>21292.783356458938</v>
      </c>
      <c r="AF35" s="299">
        <f>'Revenue matching'!AF416</f>
        <v>56474.835013725322</v>
      </c>
      <c r="AG35" s="299">
        <f>'Revenue matching'!AG416</f>
        <v>0</v>
      </c>
      <c r="AH35" s="299">
        <f>'Revenue matching'!AH416</f>
        <v>0</v>
      </c>
      <c r="AI35" s="299">
        <f>'Revenue matching'!AI416</f>
        <v>0</v>
      </c>
      <c r="AJ35" s="299">
        <f>'Revenue matching'!AJ416</f>
        <v>0</v>
      </c>
      <c r="AK35" s="299">
        <f>'Revenue matching'!AK416</f>
        <v>0</v>
      </c>
      <c r="AL35" s="299">
        <f>'Revenue matching'!AL416</f>
        <v>0</v>
      </c>
      <c r="AM35" s="299">
        <f>'Revenue matching'!AM416</f>
        <v>0</v>
      </c>
      <c r="AN35" s="299">
        <f>'Revenue matching'!AN416</f>
        <v>0</v>
      </c>
      <c r="AO35" s="299">
        <f>'Revenue matching'!AO416</f>
        <v>0</v>
      </c>
    </row>
    <row r="36" spans="3:43" x14ac:dyDescent="0.25">
      <c r="E36" s="76"/>
      <c r="F36" t="s">
        <v>255</v>
      </c>
      <c r="G36" t="s">
        <v>251</v>
      </c>
      <c r="H36" s="327"/>
      <c r="J36" s="234"/>
      <c r="K36" s="234"/>
      <c r="L36" s="234"/>
      <c r="M36" s="234"/>
      <c r="N36" s="234"/>
      <c r="O36" s="234"/>
      <c r="P36" s="234"/>
      <c r="Q36" s="234"/>
      <c r="R36" s="234"/>
      <c r="S36" s="234"/>
      <c r="T36" s="234"/>
      <c r="U36" s="234"/>
      <c r="V36" s="234"/>
      <c r="W36" s="234"/>
      <c r="X36" s="234"/>
      <c r="Y36" s="234"/>
      <c r="Z36" s="234"/>
      <c r="AA36" s="234"/>
      <c r="AB36" s="234"/>
      <c r="AC36" s="234"/>
      <c r="AD36" s="234"/>
      <c r="AE36" s="234"/>
      <c r="AF36" s="234"/>
      <c r="AG36" s="234"/>
      <c r="AH36" s="234"/>
      <c r="AI36" s="234"/>
      <c r="AJ36" s="234"/>
      <c r="AK36" s="234"/>
      <c r="AL36" s="234"/>
      <c r="AM36" s="234"/>
      <c r="AN36" s="234"/>
      <c r="AO36" s="234"/>
    </row>
    <row r="37" spans="3:43" x14ac:dyDescent="0.25">
      <c r="E37" s="76"/>
      <c r="F37" t="s">
        <v>256</v>
      </c>
      <c r="G37" t="s">
        <v>251</v>
      </c>
      <c r="H37" s="327"/>
      <c r="J37" s="234"/>
      <c r="K37" s="234"/>
      <c r="L37" s="234"/>
      <c r="M37" s="234"/>
      <c r="N37" s="234"/>
      <c r="O37" s="234"/>
      <c r="P37" s="234"/>
      <c r="Q37" s="234"/>
      <c r="R37" s="234"/>
      <c r="S37" s="234"/>
      <c r="T37" s="234"/>
      <c r="U37" s="234"/>
      <c r="V37" s="234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34"/>
      <c r="AH37" s="234"/>
      <c r="AI37" s="234"/>
      <c r="AJ37" s="234"/>
      <c r="AK37" s="234"/>
      <c r="AL37" s="234"/>
      <c r="AM37" s="234"/>
      <c r="AN37" s="234"/>
      <c r="AO37" s="234"/>
    </row>
    <row r="38" spans="3:43" x14ac:dyDescent="0.25">
      <c r="E38" s="76"/>
      <c r="F38" s="17" t="s">
        <v>257</v>
      </c>
      <c r="G38" s="17" t="s">
        <v>258</v>
      </c>
      <c r="H38" s="310"/>
      <c r="I38" s="300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305"/>
      <c r="Y38" s="305"/>
      <c r="Z38" s="305"/>
      <c r="AA38" s="305"/>
      <c r="AB38" s="305"/>
      <c r="AC38" s="305"/>
      <c r="AD38" s="305"/>
      <c r="AE38" s="305"/>
      <c r="AF38" s="305"/>
      <c r="AG38" s="305"/>
      <c r="AH38" s="305"/>
      <c r="AI38" s="305"/>
      <c r="AJ38" s="305"/>
      <c r="AK38" s="305"/>
      <c r="AL38" s="305"/>
      <c r="AM38" s="305"/>
      <c r="AN38" s="305"/>
      <c r="AO38" s="305"/>
      <c r="AP38" s="298"/>
      <c r="AQ38" s="298"/>
    </row>
    <row r="39" spans="3:43" x14ac:dyDescent="0.25">
      <c r="D39" s="76"/>
      <c r="E39"/>
    </row>
    <row r="40" spans="3:43" x14ac:dyDescent="0.25">
      <c r="C40" s="5" t="str">
        <f ca="1">INDEX('Version control'!$H$36:$H$62,MATCH($A$1,'Version control'!$F$36:$F$62,0),1)&amp;"-C: Adder to fixed charge for allocated pass-through costs"</f>
        <v>Section 520-C: Adder to fixed charge for allocated pass-through costs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</row>
    <row r="42" spans="3:43" x14ac:dyDescent="0.25">
      <c r="E42" s="76" t="s">
        <v>971</v>
      </c>
    </row>
    <row r="43" spans="3:43" x14ac:dyDescent="0.25">
      <c r="E43" s="73" t="s">
        <v>980</v>
      </c>
    </row>
    <row r="44" spans="3:43" x14ac:dyDescent="0.25">
      <c r="E44" s="76"/>
      <c r="F44" s="80" t="s">
        <v>134</v>
      </c>
      <c r="G44" s="80" t="s">
        <v>183</v>
      </c>
      <c r="H44" s="307"/>
      <c r="I44" s="296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1"/>
    </row>
    <row r="45" spans="3:43" x14ac:dyDescent="0.25">
      <c r="E45" s="76"/>
      <c r="F45" t="s">
        <v>135</v>
      </c>
      <c r="G45" t="s">
        <v>183</v>
      </c>
      <c r="H45" s="363"/>
      <c r="I45" s="298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  <c r="V45" s="234"/>
      <c r="W45" s="234"/>
      <c r="X45" s="234"/>
      <c r="Y45" s="234"/>
      <c r="Z45" s="234"/>
      <c r="AA45" s="234"/>
      <c r="AB45" s="234"/>
      <c r="AC45" s="234"/>
      <c r="AD45" s="234"/>
      <c r="AE45" s="234"/>
      <c r="AF45" s="234"/>
      <c r="AG45" s="234"/>
      <c r="AH45" s="234"/>
      <c r="AI45" s="234"/>
      <c r="AJ45" s="234"/>
      <c r="AK45" s="234"/>
      <c r="AL45" s="234"/>
      <c r="AM45" s="234"/>
      <c r="AN45" s="234"/>
      <c r="AO45" s="234"/>
    </row>
    <row r="46" spans="3:43" x14ac:dyDescent="0.25">
      <c r="E46" s="76"/>
      <c r="F46" t="s">
        <v>136</v>
      </c>
      <c r="G46" t="s">
        <v>183</v>
      </c>
      <c r="H46" s="363"/>
      <c r="I46" s="298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  <c r="V46" s="234"/>
      <c r="W46" s="234"/>
      <c r="X46" s="234"/>
      <c r="Y46" s="234"/>
      <c r="Z46" s="234"/>
      <c r="AA46" s="234"/>
      <c r="AB46" s="234"/>
      <c r="AC46" s="234"/>
      <c r="AD46" s="234"/>
      <c r="AE46" s="234"/>
      <c r="AF46" s="234"/>
      <c r="AG46" s="234"/>
      <c r="AH46" s="234"/>
      <c r="AI46" s="234"/>
      <c r="AJ46" s="234"/>
      <c r="AK46" s="234"/>
      <c r="AL46" s="234"/>
      <c r="AM46" s="234"/>
      <c r="AN46" s="234"/>
      <c r="AO46" s="234"/>
    </row>
    <row r="47" spans="3:43" x14ac:dyDescent="0.25">
      <c r="E47" s="76"/>
      <c r="F47" t="s">
        <v>254</v>
      </c>
      <c r="G47" t="s">
        <v>252</v>
      </c>
      <c r="H47" s="327"/>
      <c r="J47" s="215">
        <f>'Revenue matching'!J48</f>
        <v>0.47711249480445828</v>
      </c>
      <c r="K47" s="215">
        <f>'Revenue matching'!K48</f>
        <v>0</v>
      </c>
      <c r="L47" s="215">
        <f>'Revenue matching'!L48</f>
        <v>0.31129700540177602</v>
      </c>
      <c r="M47" s="215">
        <f>'Revenue matching'!M48</f>
        <v>0.31129700540177602</v>
      </c>
      <c r="N47" s="215">
        <f>'Revenue matching'!N48</f>
        <v>0.31129700540177602</v>
      </c>
      <c r="O47" s="215">
        <f>'Revenue matching'!O48</f>
        <v>0.31129700540177602</v>
      </c>
      <c r="P47" s="215">
        <f>'Revenue matching'!P48</f>
        <v>0.31129700540177602</v>
      </c>
      <c r="Q47" s="215">
        <f>'Revenue matching'!Q48</f>
        <v>0</v>
      </c>
      <c r="R47" s="215">
        <f>'Revenue matching'!R48</f>
        <v>0.31129700540177602</v>
      </c>
      <c r="S47" s="215">
        <f>'Revenue matching'!S48</f>
        <v>0.31129700540177602</v>
      </c>
      <c r="T47" s="215">
        <f>'Revenue matching'!T48</f>
        <v>0.31129700540177602</v>
      </c>
      <c r="U47" s="215">
        <f>'Revenue matching'!U48</f>
        <v>0.31129700540177602</v>
      </c>
      <c r="V47" s="215">
        <f>'Revenue matching'!V48</f>
        <v>0.31129700540177602</v>
      </c>
      <c r="W47" s="215">
        <f>'Revenue matching'!W48</f>
        <v>0.31129700540177602</v>
      </c>
      <c r="X47" s="215">
        <f>'Revenue matching'!X48</f>
        <v>0.31129700540177602</v>
      </c>
      <c r="Y47" s="215">
        <f>'Revenue matching'!Y48</f>
        <v>0.31129700540177602</v>
      </c>
      <c r="Z47" s="215">
        <f>'Revenue matching'!Z48</f>
        <v>0.31129700540177602</v>
      </c>
      <c r="AA47" s="215">
        <f>'Revenue matching'!AA48</f>
        <v>0.31129700540177602</v>
      </c>
      <c r="AB47" s="215">
        <f>'Revenue matching'!AB48</f>
        <v>0.31129700540177602</v>
      </c>
      <c r="AC47" s="215">
        <f>'Revenue matching'!AC48</f>
        <v>0.31129700540177602</v>
      </c>
      <c r="AD47" s="215">
        <f>'Revenue matching'!AD48</f>
        <v>0.31129700540177602</v>
      </c>
      <c r="AE47" s="215">
        <f>'Revenue matching'!AE48</f>
        <v>0.31129700540177602</v>
      </c>
      <c r="AF47" s="215">
        <f>'Revenue matching'!AF48</f>
        <v>0.31129700540177602</v>
      </c>
      <c r="AG47" s="215">
        <f>'Revenue matching'!AG48</f>
        <v>0</v>
      </c>
      <c r="AH47" s="215">
        <f>'Revenue matching'!AH48</f>
        <v>0</v>
      </c>
      <c r="AI47" s="215">
        <f>'Revenue matching'!AI48</f>
        <v>0</v>
      </c>
      <c r="AJ47" s="215">
        <f>'Revenue matching'!AJ48</f>
        <v>0</v>
      </c>
      <c r="AK47" s="215">
        <f>'Revenue matching'!AK48</f>
        <v>0</v>
      </c>
      <c r="AL47" s="215">
        <f>'Revenue matching'!AL48</f>
        <v>0</v>
      </c>
      <c r="AM47" s="215">
        <f>'Revenue matching'!AM48</f>
        <v>0</v>
      </c>
      <c r="AN47" s="215">
        <f>'Revenue matching'!AN48</f>
        <v>0</v>
      </c>
      <c r="AO47" s="215">
        <f>'Revenue matching'!AO48</f>
        <v>0</v>
      </c>
    </row>
    <row r="48" spans="3:43" x14ac:dyDescent="0.25">
      <c r="E48" s="76"/>
      <c r="F48" t="s">
        <v>255</v>
      </c>
      <c r="G48" t="s">
        <v>251</v>
      </c>
      <c r="H48" s="327"/>
      <c r="J48" s="234"/>
      <c r="K48" s="234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D48" s="234"/>
      <c r="AE48" s="234"/>
      <c r="AF48" s="234"/>
      <c r="AG48" s="234"/>
      <c r="AH48" s="234"/>
      <c r="AI48" s="234"/>
      <c r="AJ48" s="234"/>
      <c r="AK48" s="234"/>
      <c r="AL48" s="234"/>
      <c r="AM48" s="234"/>
      <c r="AN48" s="234"/>
      <c r="AO48" s="234"/>
    </row>
    <row r="49" spans="3:43" x14ac:dyDescent="0.25">
      <c r="E49" s="76"/>
      <c r="F49" t="s">
        <v>256</v>
      </c>
      <c r="G49" t="s">
        <v>251</v>
      </c>
      <c r="H49" s="327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34"/>
      <c r="X49" s="234"/>
      <c r="Y49" s="234"/>
      <c r="Z49" s="234"/>
      <c r="AA49" s="234"/>
      <c r="AB49" s="234"/>
      <c r="AC49" s="234"/>
      <c r="AD49" s="234"/>
      <c r="AE49" s="234"/>
      <c r="AF49" s="234"/>
      <c r="AG49" s="234"/>
      <c r="AH49" s="234"/>
      <c r="AI49" s="234"/>
      <c r="AJ49" s="234"/>
      <c r="AK49" s="234"/>
      <c r="AL49" s="234"/>
      <c r="AM49" s="234"/>
      <c r="AN49" s="234"/>
      <c r="AO49" s="234"/>
    </row>
    <row r="50" spans="3:43" x14ac:dyDescent="0.25">
      <c r="E50" s="76"/>
      <c r="F50" s="17" t="s">
        <v>257</v>
      </c>
      <c r="G50" s="17" t="s">
        <v>258</v>
      </c>
      <c r="H50" s="310"/>
      <c r="I50" s="300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305"/>
      <c r="Y50" s="305"/>
      <c r="Z50" s="305"/>
      <c r="AA50" s="305"/>
      <c r="AB50" s="305"/>
      <c r="AC50" s="305"/>
      <c r="AD50" s="305"/>
      <c r="AE50" s="305"/>
      <c r="AF50" s="305"/>
      <c r="AG50" s="305"/>
      <c r="AH50" s="305"/>
      <c r="AI50" s="305"/>
      <c r="AJ50" s="305"/>
      <c r="AK50" s="305"/>
      <c r="AL50" s="305"/>
      <c r="AM50" s="305"/>
      <c r="AN50" s="305"/>
      <c r="AO50" s="305"/>
    </row>
    <row r="51" spans="3:43" x14ac:dyDescent="0.25">
      <c r="D51" s="76"/>
      <c r="E51"/>
    </row>
    <row r="52" spans="3:43" x14ac:dyDescent="0.25">
      <c r="C52" s="5" t="str">
        <f ca="1">INDEX('Version control'!$H$36:$H$62,MATCH($A$1,'Version control'!$F$36:$F$62,0),1)&amp;"-D: LDNO discounts"</f>
        <v>Section 520-D: LDNO discounts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</row>
    <row r="54" spans="3:43" x14ac:dyDescent="0.25">
      <c r="E54" s="327"/>
      <c r="F54" s="457" t="s">
        <v>1028</v>
      </c>
      <c r="G54" s="457" t="s">
        <v>426</v>
      </c>
      <c r="J54" s="327">
        <f>'Fixed inputs'!J170</f>
        <v>1</v>
      </c>
      <c r="K54" s="327">
        <f>'Fixed inputs'!K170</f>
        <v>2</v>
      </c>
      <c r="L54" s="327">
        <f>'Fixed inputs'!L170</f>
        <v>3</v>
      </c>
      <c r="M54" s="327">
        <f>'Fixed inputs'!M170</f>
        <v>3</v>
      </c>
      <c r="N54" s="327">
        <f>'Fixed inputs'!N170</f>
        <v>3</v>
      </c>
      <c r="O54" s="327">
        <f>'Fixed inputs'!O170</f>
        <v>3</v>
      </c>
      <c r="P54" s="327">
        <f>'Fixed inputs'!P170</f>
        <v>3</v>
      </c>
      <c r="Q54" s="327">
        <f>'Fixed inputs'!Q170</f>
        <v>4</v>
      </c>
      <c r="R54" s="327">
        <f>'Fixed inputs'!R170</f>
        <v>5</v>
      </c>
      <c r="S54" s="327">
        <f>'Fixed inputs'!S170</f>
        <v>5</v>
      </c>
      <c r="T54" s="327">
        <f>'Fixed inputs'!T170</f>
        <v>5</v>
      </c>
      <c r="U54" s="327">
        <f>'Fixed inputs'!U170</f>
        <v>5</v>
      </c>
      <c r="V54" s="327">
        <f>'Fixed inputs'!V170</f>
        <v>5</v>
      </c>
      <c r="W54" s="327">
        <f>'Fixed inputs'!W170</f>
        <v>6</v>
      </c>
      <c r="X54" s="327">
        <f>'Fixed inputs'!X170</f>
        <v>6</v>
      </c>
      <c r="Y54" s="327">
        <f>'Fixed inputs'!Y170</f>
        <v>6</v>
      </c>
      <c r="Z54" s="327">
        <f>'Fixed inputs'!Z170</f>
        <v>6</v>
      </c>
      <c r="AA54" s="327">
        <f>'Fixed inputs'!AA170</f>
        <v>6</v>
      </c>
      <c r="AB54" s="327">
        <f>'Fixed inputs'!AB170</f>
        <v>7</v>
      </c>
      <c r="AC54" s="327">
        <f>'Fixed inputs'!AC170</f>
        <v>7</v>
      </c>
      <c r="AD54" s="327">
        <f>'Fixed inputs'!AD170</f>
        <v>7</v>
      </c>
      <c r="AE54" s="327">
        <f>'Fixed inputs'!AE170</f>
        <v>7</v>
      </c>
      <c r="AF54" s="327">
        <f>'Fixed inputs'!AF170</f>
        <v>7</v>
      </c>
      <c r="AG54" s="327">
        <f>'Fixed inputs'!AG170</f>
        <v>8</v>
      </c>
      <c r="AH54" s="327">
        <f>'Fixed inputs'!AH170</f>
        <v>9</v>
      </c>
      <c r="AI54" s="327">
        <f>'Fixed inputs'!AI170</f>
        <v>10</v>
      </c>
      <c r="AJ54" s="327">
        <f>'Fixed inputs'!AJ170</f>
        <v>11</v>
      </c>
      <c r="AK54" s="327">
        <f>'Fixed inputs'!AK170</f>
        <v>12</v>
      </c>
      <c r="AL54" s="327">
        <f>'Fixed inputs'!AL170</f>
        <v>13</v>
      </c>
      <c r="AM54" s="327">
        <f>'Fixed inputs'!AM170</f>
        <v>14</v>
      </c>
      <c r="AN54" s="327">
        <f>'Fixed inputs'!AN170</f>
        <v>15</v>
      </c>
      <c r="AO54" s="327">
        <f>'Fixed inputs'!AO170</f>
        <v>16</v>
      </c>
    </row>
    <row r="56" spans="3:43" ht="60" x14ac:dyDescent="0.25">
      <c r="E56" s="76" t="s">
        <v>413</v>
      </c>
      <c r="I56" t="s">
        <v>359</v>
      </c>
      <c r="J56" s="431" t="s">
        <v>925</v>
      </c>
      <c r="K56" s="431" t="s">
        <v>926</v>
      </c>
      <c r="L56" s="431" t="s">
        <v>927</v>
      </c>
      <c r="M56" s="431" t="s">
        <v>928</v>
      </c>
      <c r="N56" s="431" t="s">
        <v>929</v>
      </c>
      <c r="O56" s="431" t="s">
        <v>930</v>
      </c>
      <c r="P56" s="431" t="s">
        <v>931</v>
      </c>
      <c r="Q56" s="431" t="s">
        <v>932</v>
      </c>
      <c r="R56" s="431" t="s">
        <v>933</v>
      </c>
      <c r="S56" s="431" t="s">
        <v>934</v>
      </c>
      <c r="T56" s="431" t="s">
        <v>935</v>
      </c>
      <c r="U56" s="431" t="s">
        <v>936</v>
      </c>
      <c r="V56" s="431" t="s">
        <v>937</v>
      </c>
      <c r="W56" s="431" t="s">
        <v>938</v>
      </c>
      <c r="X56" s="431" t="s">
        <v>939</v>
      </c>
      <c r="Y56" s="431" t="s">
        <v>940</v>
      </c>
    </row>
    <row r="57" spans="3:43" x14ac:dyDescent="0.25">
      <c r="E57" s="76"/>
      <c r="F57" s="80" t="s">
        <v>134</v>
      </c>
      <c r="G57" s="80" t="s">
        <v>94</v>
      </c>
      <c r="H57" s="118"/>
      <c r="I57" s="80"/>
      <c r="J57" s="424">
        <f>'Volume adjustments'!J315</f>
        <v>0.40624392198207837</v>
      </c>
      <c r="K57" s="424">
        <f>'Volume adjustments'!K315</f>
        <v>0.40624392198207837</v>
      </c>
      <c r="L57" s="424">
        <f>'Volume adjustments'!L315</f>
        <v>0.40624392198207837</v>
      </c>
      <c r="M57" s="424">
        <f>'Volume adjustments'!M315</f>
        <v>0.40624392198207837</v>
      </c>
      <c r="N57" s="424">
        <f>'Volume adjustments'!N315</f>
        <v>0.40624392198207837</v>
      </c>
      <c r="O57" s="424">
        <f>'Volume adjustments'!O315</f>
        <v>0</v>
      </c>
      <c r="P57" s="424">
        <f>'Volume adjustments'!P315</f>
        <v>0</v>
      </c>
      <c r="Q57" s="424">
        <f>'Volume adjustments'!Q315</f>
        <v>0.40624392198207837</v>
      </c>
      <c r="R57" s="424">
        <f>'Volume adjustments'!R315</f>
        <v>0</v>
      </c>
      <c r="S57" s="424">
        <f>'Volume adjustments'!S315</f>
        <v>0</v>
      </c>
      <c r="T57" s="424">
        <f>'Volume adjustments'!T315</f>
        <v>0</v>
      </c>
      <c r="U57" s="424">
        <f>'Volume adjustments'!U315</f>
        <v>0</v>
      </c>
      <c r="V57" s="424">
        <f>'Volume adjustments'!V315</f>
        <v>0</v>
      </c>
      <c r="W57" s="424">
        <f>'Volume adjustments'!W315</f>
        <v>0</v>
      </c>
      <c r="X57" s="424">
        <f>'Volume adjustments'!X315</f>
        <v>0</v>
      </c>
      <c r="Y57" s="424">
        <f>'Volume adjustments'!Y315</f>
        <v>0</v>
      </c>
    </row>
    <row r="58" spans="3:43" x14ac:dyDescent="0.25">
      <c r="E58" s="76"/>
      <c r="F58" t="s">
        <v>135</v>
      </c>
      <c r="G58" t="s">
        <v>94</v>
      </c>
      <c r="H58" s="327"/>
      <c r="J58" s="425">
        <f>'Volume adjustments'!J316</f>
        <v>0.40624392198207837</v>
      </c>
      <c r="K58" s="425">
        <f>'Volume adjustments'!K316</f>
        <v>0.40624392198207837</v>
      </c>
      <c r="L58" s="425">
        <f>'Volume adjustments'!L316</f>
        <v>0.40624392198207837</v>
      </c>
      <c r="M58" s="425">
        <f>'Volume adjustments'!M316</f>
        <v>0.40624392198207837</v>
      </c>
      <c r="N58" s="425">
        <f>'Volume adjustments'!N316</f>
        <v>0.40624392198207837</v>
      </c>
      <c r="O58" s="425">
        <f>'Volume adjustments'!O316</f>
        <v>0</v>
      </c>
      <c r="P58" s="425">
        <f>'Volume adjustments'!P316</f>
        <v>0</v>
      </c>
      <c r="Q58" s="425">
        <f>'Volume adjustments'!Q316</f>
        <v>0.40624392198207837</v>
      </c>
      <c r="R58" s="425">
        <f>'Volume adjustments'!R316</f>
        <v>0</v>
      </c>
      <c r="S58" s="425">
        <f>'Volume adjustments'!S316</f>
        <v>0</v>
      </c>
      <c r="T58" s="425">
        <f>'Volume adjustments'!T316</f>
        <v>0</v>
      </c>
      <c r="U58" s="425">
        <f>'Volume adjustments'!U316</f>
        <v>0</v>
      </c>
      <c r="V58" s="425">
        <f>'Volume adjustments'!V316</f>
        <v>0</v>
      </c>
      <c r="W58" s="425">
        <f>'Volume adjustments'!W316</f>
        <v>0</v>
      </c>
      <c r="X58" s="425">
        <f>'Volume adjustments'!X316</f>
        <v>0</v>
      </c>
      <c r="Y58" s="425">
        <f>'Volume adjustments'!Y316</f>
        <v>0</v>
      </c>
    </row>
    <row r="59" spans="3:43" x14ac:dyDescent="0.25">
      <c r="E59" s="76"/>
      <c r="F59" t="s">
        <v>136</v>
      </c>
      <c r="G59" t="s">
        <v>94</v>
      </c>
      <c r="H59" s="327"/>
      <c r="J59" s="425">
        <f>'Volume adjustments'!J317</f>
        <v>0.40624392198207837</v>
      </c>
      <c r="K59" s="425">
        <f>'Volume adjustments'!K317</f>
        <v>0.40624392198207837</v>
      </c>
      <c r="L59" s="425">
        <f>'Volume adjustments'!L317</f>
        <v>0.40624392198207837</v>
      </c>
      <c r="M59" s="425">
        <f>'Volume adjustments'!M317</f>
        <v>0.40624392198207837</v>
      </c>
      <c r="N59" s="425">
        <f>'Volume adjustments'!N317</f>
        <v>0.40624392198207837</v>
      </c>
      <c r="O59" s="425">
        <f>'Volume adjustments'!O317</f>
        <v>0</v>
      </c>
      <c r="P59" s="425">
        <f>'Volume adjustments'!P317</f>
        <v>0</v>
      </c>
      <c r="Q59" s="425">
        <f>'Volume adjustments'!Q317</f>
        <v>0.40624392198207837</v>
      </c>
      <c r="R59" s="425">
        <f>'Volume adjustments'!R317</f>
        <v>0</v>
      </c>
      <c r="S59" s="425">
        <f>'Volume adjustments'!S317</f>
        <v>0</v>
      </c>
      <c r="T59" s="425">
        <f>'Volume adjustments'!T317</f>
        <v>0</v>
      </c>
      <c r="U59" s="425">
        <f>'Volume adjustments'!U317</f>
        <v>0</v>
      </c>
      <c r="V59" s="425">
        <f>'Volume adjustments'!V317</f>
        <v>0</v>
      </c>
      <c r="W59" s="425">
        <f>'Volume adjustments'!W317</f>
        <v>0</v>
      </c>
      <c r="X59" s="425">
        <f>'Volume adjustments'!X317</f>
        <v>0</v>
      </c>
      <c r="Y59" s="425">
        <f>'Volume adjustments'!Y317</f>
        <v>0</v>
      </c>
    </row>
    <row r="60" spans="3:43" x14ac:dyDescent="0.25">
      <c r="E60" s="76"/>
      <c r="F60" t="s">
        <v>254</v>
      </c>
      <c r="G60" t="s">
        <v>94</v>
      </c>
      <c r="H60" s="327"/>
      <c r="J60" s="425">
        <f>'Volume adjustments'!J318</f>
        <v>0.40624392198207837</v>
      </c>
      <c r="K60" s="425">
        <f>'Volume adjustments'!K318</f>
        <v>0.40624392198207837</v>
      </c>
      <c r="L60" s="425">
        <f>'Volume adjustments'!L318</f>
        <v>0.40624392198207837</v>
      </c>
      <c r="M60" s="425">
        <f>'Volume adjustments'!M318</f>
        <v>0.40624392198207837</v>
      </c>
      <c r="N60" s="425">
        <f>'Volume adjustments'!N318</f>
        <v>0.40624392198207837</v>
      </c>
      <c r="O60" s="425">
        <f>'Volume adjustments'!O318</f>
        <v>0</v>
      </c>
      <c r="P60" s="425">
        <f>'Volume adjustments'!P318</f>
        <v>0</v>
      </c>
      <c r="Q60" s="425">
        <f>'Volume adjustments'!Q318</f>
        <v>0.40624392198207837</v>
      </c>
      <c r="R60" s="425">
        <f>'Volume adjustments'!R318</f>
        <v>1</v>
      </c>
      <c r="S60" s="425">
        <f>'Volume adjustments'!S318</f>
        <v>1</v>
      </c>
      <c r="T60" s="425">
        <f>'Volume adjustments'!T318</f>
        <v>1</v>
      </c>
      <c r="U60" s="425">
        <f>'Volume adjustments'!U318</f>
        <v>1</v>
      </c>
      <c r="V60" s="425">
        <f>'Volume adjustments'!V318</f>
        <v>1</v>
      </c>
      <c r="W60" s="425">
        <f>'Volume adjustments'!W318</f>
        <v>1</v>
      </c>
      <c r="X60" s="425">
        <f>'Volume adjustments'!X318</f>
        <v>1</v>
      </c>
      <c r="Y60" s="425">
        <f>'Volume adjustments'!Y318</f>
        <v>1</v>
      </c>
    </row>
    <row r="61" spans="3:43" x14ac:dyDescent="0.25">
      <c r="E61" s="76"/>
      <c r="F61" t="s">
        <v>255</v>
      </c>
      <c r="G61" t="s">
        <v>94</v>
      </c>
      <c r="H61" s="327"/>
      <c r="J61" s="425">
        <f>'Volume adjustments'!J319</f>
        <v>0.40624392198207837</v>
      </c>
      <c r="K61" s="425">
        <f>'Volume adjustments'!K319</f>
        <v>0.40624392198207837</v>
      </c>
      <c r="L61" s="425">
        <f>'Volume adjustments'!L319</f>
        <v>0.40624392198207837</v>
      </c>
      <c r="M61" s="425">
        <f>'Volume adjustments'!M319</f>
        <v>0.40624392198207837</v>
      </c>
      <c r="N61" s="425">
        <f>'Volume adjustments'!N319</f>
        <v>0.40624392198207837</v>
      </c>
      <c r="O61" s="425">
        <f>'Volume adjustments'!O319</f>
        <v>0</v>
      </c>
      <c r="P61" s="425">
        <f>'Volume adjustments'!P319</f>
        <v>0</v>
      </c>
      <c r="Q61" s="425">
        <f>'Volume adjustments'!Q319</f>
        <v>0.40624392198207837</v>
      </c>
      <c r="R61" s="425">
        <f>'Volume adjustments'!R319</f>
        <v>0</v>
      </c>
      <c r="S61" s="425">
        <f>'Volume adjustments'!S319</f>
        <v>0</v>
      </c>
      <c r="T61" s="425">
        <f>'Volume adjustments'!T319</f>
        <v>0</v>
      </c>
      <c r="U61" s="425">
        <f>'Volume adjustments'!U319</f>
        <v>0</v>
      </c>
      <c r="V61" s="425">
        <f>'Volume adjustments'!V319</f>
        <v>0</v>
      </c>
      <c r="W61" s="425">
        <f>'Volume adjustments'!W319</f>
        <v>0</v>
      </c>
      <c r="X61" s="425">
        <f>'Volume adjustments'!X319</f>
        <v>0</v>
      </c>
      <c r="Y61" s="425">
        <f>'Volume adjustments'!Y319</f>
        <v>0</v>
      </c>
    </row>
    <row r="62" spans="3:43" x14ac:dyDescent="0.25">
      <c r="E62" s="76"/>
      <c r="F62" t="s">
        <v>256</v>
      </c>
      <c r="G62" t="s">
        <v>94</v>
      </c>
      <c r="H62" s="327"/>
      <c r="J62" s="425">
        <f>'Volume adjustments'!J320</f>
        <v>0.40624392198207837</v>
      </c>
      <c r="K62" s="425">
        <f>'Volume adjustments'!K320</f>
        <v>0.40624392198207837</v>
      </c>
      <c r="L62" s="425">
        <f>'Volume adjustments'!L320</f>
        <v>0.40624392198207837</v>
      </c>
      <c r="M62" s="425">
        <f>'Volume adjustments'!M320</f>
        <v>0.40624392198207837</v>
      </c>
      <c r="N62" s="425">
        <f>'Volume adjustments'!N320</f>
        <v>0.40624392198207837</v>
      </c>
      <c r="O62" s="425">
        <f>'Volume adjustments'!O320</f>
        <v>0</v>
      </c>
      <c r="P62" s="425">
        <f>'Volume adjustments'!P320</f>
        <v>0</v>
      </c>
      <c r="Q62" s="425">
        <f>'Volume adjustments'!Q320</f>
        <v>0.40624392198207837</v>
      </c>
      <c r="R62" s="425">
        <f>'Volume adjustments'!R320</f>
        <v>0</v>
      </c>
      <c r="S62" s="425">
        <f>'Volume adjustments'!S320</f>
        <v>0</v>
      </c>
      <c r="T62" s="425">
        <f>'Volume adjustments'!T320</f>
        <v>0</v>
      </c>
      <c r="U62" s="425">
        <f>'Volume adjustments'!U320</f>
        <v>0</v>
      </c>
      <c r="V62" s="425">
        <f>'Volume adjustments'!V320</f>
        <v>0</v>
      </c>
      <c r="W62" s="425">
        <f>'Volume adjustments'!W320</f>
        <v>0</v>
      </c>
      <c r="X62" s="425">
        <f>'Volume adjustments'!X320</f>
        <v>0</v>
      </c>
      <c r="Y62" s="425">
        <f>'Volume adjustments'!Y320</f>
        <v>0</v>
      </c>
    </row>
    <row r="63" spans="3:43" x14ac:dyDescent="0.25">
      <c r="E63" s="76"/>
      <c r="F63" s="17" t="s">
        <v>257</v>
      </c>
      <c r="G63" s="17" t="s">
        <v>94</v>
      </c>
      <c r="H63" s="97"/>
      <c r="I63" s="17"/>
      <c r="J63" s="426">
        <f>'Volume adjustments'!J321</f>
        <v>0.40624392198207837</v>
      </c>
      <c r="K63" s="426">
        <f>'Volume adjustments'!K321</f>
        <v>0.40624392198207837</v>
      </c>
      <c r="L63" s="426">
        <f>'Volume adjustments'!L321</f>
        <v>0.40624392198207837</v>
      </c>
      <c r="M63" s="426">
        <f>'Volume adjustments'!M321</f>
        <v>0.40624392198207837</v>
      </c>
      <c r="N63" s="426">
        <f>'Volume adjustments'!N321</f>
        <v>0.40624392198207837</v>
      </c>
      <c r="O63" s="426">
        <f>'Volume adjustments'!O321</f>
        <v>0</v>
      </c>
      <c r="P63" s="426">
        <f>'Volume adjustments'!P321</f>
        <v>0</v>
      </c>
      <c r="Q63" s="426">
        <f>'Volume adjustments'!Q321</f>
        <v>0.40624392198207837</v>
      </c>
      <c r="R63" s="426">
        <f>'Volume adjustments'!R321</f>
        <v>0</v>
      </c>
      <c r="S63" s="426">
        <f>'Volume adjustments'!S321</f>
        <v>0</v>
      </c>
      <c r="T63" s="426">
        <f>'Volume adjustments'!T321</f>
        <v>0</v>
      </c>
      <c r="U63" s="426">
        <f>'Volume adjustments'!U321</f>
        <v>0</v>
      </c>
      <c r="V63" s="426">
        <f>'Volume adjustments'!V321</f>
        <v>0</v>
      </c>
      <c r="W63" s="426">
        <f>'Volume adjustments'!W321</f>
        <v>0</v>
      </c>
      <c r="X63" s="426">
        <f>'Volume adjustments'!X321</f>
        <v>0</v>
      </c>
      <c r="Y63" s="426">
        <f>'Volume adjustments'!Y321</f>
        <v>0</v>
      </c>
    </row>
    <row r="64" spans="3:43" x14ac:dyDescent="0.25">
      <c r="E64"/>
    </row>
    <row r="65" spans="4:43" ht="60" x14ac:dyDescent="0.25">
      <c r="E65" s="76" t="s">
        <v>414</v>
      </c>
      <c r="I65" t="s">
        <v>359</v>
      </c>
      <c r="J65" s="431" t="s">
        <v>925</v>
      </c>
      <c r="K65" s="431" t="s">
        <v>926</v>
      </c>
      <c r="L65" s="431" t="s">
        <v>927</v>
      </c>
      <c r="M65" s="431" t="s">
        <v>928</v>
      </c>
      <c r="N65" s="431" t="s">
        <v>929</v>
      </c>
      <c r="O65" s="431" t="s">
        <v>930</v>
      </c>
      <c r="P65" s="431" t="s">
        <v>931</v>
      </c>
      <c r="Q65" s="431" t="s">
        <v>932</v>
      </c>
      <c r="R65" s="431" t="s">
        <v>933</v>
      </c>
      <c r="S65" s="431" t="s">
        <v>934</v>
      </c>
      <c r="T65" s="431" t="s">
        <v>935</v>
      </c>
      <c r="U65" s="431" t="s">
        <v>936</v>
      </c>
      <c r="V65" s="431" t="s">
        <v>937</v>
      </c>
      <c r="W65" s="431" t="s">
        <v>938</v>
      </c>
      <c r="X65" s="431" t="s">
        <v>939</v>
      </c>
      <c r="Y65" s="431" t="s">
        <v>940</v>
      </c>
    </row>
    <row r="66" spans="4:43" x14ac:dyDescent="0.25">
      <c r="E66" s="76"/>
      <c r="F66" s="80" t="s">
        <v>134</v>
      </c>
      <c r="G66" s="80" t="s">
        <v>94</v>
      </c>
      <c r="H66" s="118"/>
      <c r="I66" s="80"/>
      <c r="J66" s="424">
        <f>'Volume adjustments'!J324</f>
        <v>0.60699642425647604</v>
      </c>
      <c r="K66" s="424">
        <f>'Volume adjustments'!K324</f>
        <v>0.60699642425647604</v>
      </c>
      <c r="L66" s="424">
        <f>'Volume adjustments'!L324</f>
        <v>0.60699642425647604</v>
      </c>
      <c r="M66" s="424">
        <f>'Volume adjustments'!M324</f>
        <v>0.60699642425647604</v>
      </c>
      <c r="N66" s="424">
        <f>'Volume adjustments'!N324</f>
        <v>0.60699642425647604</v>
      </c>
      <c r="O66" s="424">
        <f>'Volume adjustments'!O324</f>
        <v>0.33703941159411843</v>
      </c>
      <c r="P66" s="424">
        <f>'Volume adjustments'!P324</f>
        <v>0.23936190643348279</v>
      </c>
      <c r="Q66" s="424">
        <f>'Volume adjustments'!Q324</f>
        <v>0.60699642425647604</v>
      </c>
      <c r="R66" s="424">
        <f>'Volume adjustments'!R324</f>
        <v>0</v>
      </c>
      <c r="S66" s="424">
        <f>'Volume adjustments'!S324</f>
        <v>0</v>
      </c>
      <c r="T66" s="424">
        <f>'Volume adjustments'!T324</f>
        <v>0</v>
      </c>
      <c r="U66" s="424">
        <f>'Volume adjustments'!U324</f>
        <v>0</v>
      </c>
      <c r="V66" s="424">
        <f>'Volume adjustments'!V324</f>
        <v>0</v>
      </c>
      <c r="W66" s="424">
        <f>'Volume adjustments'!W324</f>
        <v>0</v>
      </c>
      <c r="X66" s="424">
        <f>'Volume adjustments'!X324</f>
        <v>0</v>
      </c>
      <c r="Y66" s="424">
        <f>'Volume adjustments'!Y324</f>
        <v>0</v>
      </c>
    </row>
    <row r="67" spans="4:43" x14ac:dyDescent="0.25">
      <c r="E67" s="76"/>
      <c r="F67" t="s">
        <v>135</v>
      </c>
      <c r="G67" t="s">
        <v>94</v>
      </c>
      <c r="H67" s="327"/>
      <c r="J67" s="425">
        <f>'Volume adjustments'!J325</f>
        <v>0.60699642425647604</v>
      </c>
      <c r="K67" s="425">
        <f>'Volume adjustments'!K325</f>
        <v>0.60699642425647604</v>
      </c>
      <c r="L67" s="425">
        <f>'Volume adjustments'!L325</f>
        <v>0.60699642425647604</v>
      </c>
      <c r="M67" s="425">
        <f>'Volume adjustments'!M325</f>
        <v>0.60699642425647604</v>
      </c>
      <c r="N67" s="425">
        <f>'Volume adjustments'!N325</f>
        <v>0.60699642425647604</v>
      </c>
      <c r="O67" s="425">
        <f>'Volume adjustments'!O325</f>
        <v>0.33703941159411843</v>
      </c>
      <c r="P67" s="425">
        <f>'Volume adjustments'!P325</f>
        <v>0.23936190643348279</v>
      </c>
      <c r="Q67" s="425">
        <f>'Volume adjustments'!Q325</f>
        <v>0.60699642425647604</v>
      </c>
      <c r="R67" s="425">
        <f>'Volume adjustments'!R325</f>
        <v>0</v>
      </c>
      <c r="S67" s="425">
        <f>'Volume adjustments'!S325</f>
        <v>0</v>
      </c>
      <c r="T67" s="425">
        <f>'Volume adjustments'!T325</f>
        <v>0</v>
      </c>
      <c r="U67" s="425">
        <f>'Volume adjustments'!U325</f>
        <v>0</v>
      </c>
      <c r="V67" s="425">
        <f>'Volume adjustments'!V325</f>
        <v>0</v>
      </c>
      <c r="W67" s="425">
        <f>'Volume adjustments'!W325</f>
        <v>0</v>
      </c>
      <c r="X67" s="425">
        <f>'Volume adjustments'!X325</f>
        <v>0</v>
      </c>
      <c r="Y67" s="425">
        <f>'Volume adjustments'!Y325</f>
        <v>0</v>
      </c>
    </row>
    <row r="68" spans="4:43" x14ac:dyDescent="0.25">
      <c r="E68" s="76"/>
      <c r="F68" t="s">
        <v>136</v>
      </c>
      <c r="G68" t="s">
        <v>94</v>
      </c>
      <c r="H68" s="327"/>
      <c r="J68" s="425">
        <f>'Volume adjustments'!J326</f>
        <v>0.60699642425647604</v>
      </c>
      <c r="K68" s="425">
        <f>'Volume adjustments'!K326</f>
        <v>0.60699642425647604</v>
      </c>
      <c r="L68" s="425">
        <f>'Volume adjustments'!L326</f>
        <v>0.60699642425647604</v>
      </c>
      <c r="M68" s="425">
        <f>'Volume adjustments'!M326</f>
        <v>0.60699642425647604</v>
      </c>
      <c r="N68" s="425">
        <f>'Volume adjustments'!N326</f>
        <v>0.60699642425647604</v>
      </c>
      <c r="O68" s="425">
        <f>'Volume adjustments'!O326</f>
        <v>0.33703941159411843</v>
      </c>
      <c r="P68" s="425">
        <f>'Volume adjustments'!P326</f>
        <v>0.23936190643348279</v>
      </c>
      <c r="Q68" s="425">
        <f>'Volume adjustments'!Q326</f>
        <v>0.60699642425647604</v>
      </c>
      <c r="R68" s="425">
        <f>'Volume adjustments'!R326</f>
        <v>0</v>
      </c>
      <c r="S68" s="425">
        <f>'Volume adjustments'!S326</f>
        <v>0</v>
      </c>
      <c r="T68" s="425">
        <f>'Volume adjustments'!T326</f>
        <v>0</v>
      </c>
      <c r="U68" s="425">
        <f>'Volume adjustments'!U326</f>
        <v>0</v>
      </c>
      <c r="V68" s="425">
        <f>'Volume adjustments'!V326</f>
        <v>0</v>
      </c>
      <c r="W68" s="425">
        <f>'Volume adjustments'!W326</f>
        <v>0</v>
      </c>
      <c r="X68" s="425">
        <f>'Volume adjustments'!X326</f>
        <v>0</v>
      </c>
      <c r="Y68" s="425">
        <f>'Volume adjustments'!Y326</f>
        <v>0</v>
      </c>
    </row>
    <row r="69" spans="4:43" x14ac:dyDescent="0.25">
      <c r="E69" s="76"/>
      <c r="F69" t="s">
        <v>254</v>
      </c>
      <c r="G69" t="s">
        <v>94</v>
      </c>
      <c r="H69" s="327"/>
      <c r="J69" s="425">
        <f>'Volume adjustments'!J327</f>
        <v>0.60699642425647604</v>
      </c>
      <c r="K69" s="425">
        <f>'Volume adjustments'!K327</f>
        <v>0.60699642425647604</v>
      </c>
      <c r="L69" s="425">
        <f>'Volume adjustments'!L327</f>
        <v>0.60699642425647604</v>
      </c>
      <c r="M69" s="425">
        <f>'Volume adjustments'!M327</f>
        <v>0.60699642425647604</v>
      </c>
      <c r="N69" s="425">
        <f>'Volume adjustments'!N327</f>
        <v>0.60699642425647604</v>
      </c>
      <c r="O69" s="425">
        <f>'Volume adjustments'!O327</f>
        <v>0.33703941159411843</v>
      </c>
      <c r="P69" s="425">
        <f>'Volume adjustments'!P327</f>
        <v>0.23936190643348279</v>
      </c>
      <c r="Q69" s="425">
        <f>'Volume adjustments'!Q327</f>
        <v>0.60699642425647604</v>
      </c>
      <c r="R69" s="425">
        <f>'Volume adjustments'!R327</f>
        <v>1</v>
      </c>
      <c r="S69" s="425">
        <f>'Volume adjustments'!S327</f>
        <v>1</v>
      </c>
      <c r="T69" s="425">
        <f>'Volume adjustments'!T327</f>
        <v>1</v>
      </c>
      <c r="U69" s="425">
        <f>'Volume adjustments'!U327</f>
        <v>1</v>
      </c>
      <c r="V69" s="425">
        <f>'Volume adjustments'!V327</f>
        <v>1</v>
      </c>
      <c r="W69" s="425">
        <f>'Volume adjustments'!W327</f>
        <v>1</v>
      </c>
      <c r="X69" s="425">
        <f>'Volume adjustments'!X327</f>
        <v>1</v>
      </c>
      <c r="Y69" s="425">
        <f>'Volume adjustments'!Y327</f>
        <v>1</v>
      </c>
    </row>
    <row r="70" spans="4:43" x14ac:dyDescent="0.25">
      <c r="E70" s="76"/>
      <c r="F70" t="s">
        <v>255</v>
      </c>
      <c r="G70" t="s">
        <v>94</v>
      </c>
      <c r="H70" s="327"/>
      <c r="J70" s="425">
        <f>'Volume adjustments'!J328</f>
        <v>0.60699642425647604</v>
      </c>
      <c r="K70" s="425">
        <f>'Volume adjustments'!K328</f>
        <v>0.60699642425647604</v>
      </c>
      <c r="L70" s="425">
        <f>'Volume adjustments'!L328</f>
        <v>0.60699642425647604</v>
      </c>
      <c r="M70" s="425">
        <f>'Volume adjustments'!M328</f>
        <v>0.60699642425647604</v>
      </c>
      <c r="N70" s="425">
        <f>'Volume adjustments'!N328</f>
        <v>0.60699642425647604</v>
      </c>
      <c r="O70" s="425">
        <f>'Volume adjustments'!O328</f>
        <v>0.33703941159411843</v>
      </c>
      <c r="P70" s="425">
        <f>'Volume adjustments'!P328</f>
        <v>0.23936190643348279</v>
      </c>
      <c r="Q70" s="425">
        <f>'Volume adjustments'!Q328</f>
        <v>0.60699642425647604</v>
      </c>
      <c r="R70" s="425">
        <f>'Volume adjustments'!R328</f>
        <v>0</v>
      </c>
      <c r="S70" s="425">
        <f>'Volume adjustments'!S328</f>
        <v>0</v>
      </c>
      <c r="T70" s="425">
        <f>'Volume adjustments'!T328</f>
        <v>0</v>
      </c>
      <c r="U70" s="425">
        <f>'Volume adjustments'!U328</f>
        <v>0</v>
      </c>
      <c r="V70" s="425">
        <f>'Volume adjustments'!V328</f>
        <v>0</v>
      </c>
      <c r="W70" s="425">
        <f>'Volume adjustments'!W328</f>
        <v>0</v>
      </c>
      <c r="X70" s="425">
        <f>'Volume adjustments'!X328</f>
        <v>0</v>
      </c>
      <c r="Y70" s="425">
        <f>'Volume adjustments'!Y328</f>
        <v>0</v>
      </c>
    </row>
    <row r="71" spans="4:43" x14ac:dyDescent="0.25">
      <c r="E71" s="76"/>
      <c r="F71" t="s">
        <v>256</v>
      </c>
      <c r="G71" t="s">
        <v>94</v>
      </c>
      <c r="H71" s="327"/>
      <c r="J71" s="425">
        <f>'Volume adjustments'!J329</f>
        <v>0.60699642425647604</v>
      </c>
      <c r="K71" s="425">
        <f>'Volume adjustments'!K329</f>
        <v>0.60699642425647604</v>
      </c>
      <c r="L71" s="425">
        <f>'Volume adjustments'!L329</f>
        <v>0.60699642425647604</v>
      </c>
      <c r="M71" s="425">
        <f>'Volume adjustments'!M329</f>
        <v>0.60699642425647604</v>
      </c>
      <c r="N71" s="425">
        <f>'Volume adjustments'!N329</f>
        <v>0.60699642425647604</v>
      </c>
      <c r="O71" s="425">
        <f>'Volume adjustments'!O329</f>
        <v>0.33703941159411843</v>
      </c>
      <c r="P71" s="425">
        <f>'Volume adjustments'!P329</f>
        <v>0.23936190643348279</v>
      </c>
      <c r="Q71" s="425">
        <f>'Volume adjustments'!Q329</f>
        <v>0.60699642425647604</v>
      </c>
      <c r="R71" s="425">
        <f>'Volume adjustments'!R329</f>
        <v>0</v>
      </c>
      <c r="S71" s="425">
        <f>'Volume adjustments'!S329</f>
        <v>0</v>
      </c>
      <c r="T71" s="425">
        <f>'Volume adjustments'!T329</f>
        <v>0</v>
      </c>
      <c r="U71" s="425">
        <f>'Volume adjustments'!U329</f>
        <v>0</v>
      </c>
      <c r="V71" s="425">
        <f>'Volume adjustments'!V329</f>
        <v>0</v>
      </c>
      <c r="W71" s="425">
        <f>'Volume adjustments'!W329</f>
        <v>0</v>
      </c>
      <c r="X71" s="425">
        <f>'Volume adjustments'!X329</f>
        <v>0</v>
      </c>
      <c r="Y71" s="425">
        <f>'Volume adjustments'!Y329</f>
        <v>0</v>
      </c>
    </row>
    <row r="72" spans="4:43" x14ac:dyDescent="0.25">
      <c r="E72" s="76"/>
      <c r="F72" s="17" t="s">
        <v>257</v>
      </c>
      <c r="G72" s="17" t="s">
        <v>94</v>
      </c>
      <c r="H72" s="97"/>
      <c r="I72" s="17"/>
      <c r="J72" s="426">
        <f>'Volume adjustments'!J330</f>
        <v>0.60699642425647604</v>
      </c>
      <c r="K72" s="426">
        <f>'Volume adjustments'!K330</f>
        <v>0.60699642425647604</v>
      </c>
      <c r="L72" s="426">
        <f>'Volume adjustments'!L330</f>
        <v>0.60699642425647604</v>
      </c>
      <c r="M72" s="426">
        <f>'Volume adjustments'!M330</f>
        <v>0.60699642425647604</v>
      </c>
      <c r="N72" s="426">
        <f>'Volume adjustments'!N330</f>
        <v>0.60699642425647604</v>
      </c>
      <c r="O72" s="426">
        <f>'Volume adjustments'!O330</f>
        <v>0.33703941159411843</v>
      </c>
      <c r="P72" s="426">
        <f>'Volume adjustments'!P330</f>
        <v>0.23936190643348279</v>
      </c>
      <c r="Q72" s="426">
        <f>'Volume adjustments'!Q330</f>
        <v>0.60699642425647604</v>
      </c>
      <c r="R72" s="426">
        <f>'Volume adjustments'!R330</f>
        <v>0</v>
      </c>
      <c r="S72" s="426">
        <f>'Volume adjustments'!S330</f>
        <v>0</v>
      </c>
      <c r="T72" s="426">
        <f>'Volume adjustments'!T330</f>
        <v>0</v>
      </c>
      <c r="U72" s="426">
        <f>'Volume adjustments'!U330</f>
        <v>0</v>
      </c>
      <c r="V72" s="426">
        <f>'Volume adjustments'!V330</f>
        <v>0</v>
      </c>
      <c r="W72" s="426">
        <f>'Volume adjustments'!W330</f>
        <v>0</v>
      </c>
      <c r="X72" s="426">
        <f>'Volume adjustments'!X330</f>
        <v>0</v>
      </c>
      <c r="Y72" s="426">
        <f>'Volume adjustments'!Y330</f>
        <v>0</v>
      </c>
    </row>
    <row r="73" spans="4:43" x14ac:dyDescent="0.25">
      <c r="E73"/>
    </row>
    <row r="74" spans="4:43" x14ac:dyDescent="0.25">
      <c r="D74"/>
      <c r="E74" s="76" t="s">
        <v>413</v>
      </c>
      <c r="I74" t="s">
        <v>359</v>
      </c>
      <c r="AQ74" t="s">
        <v>915</v>
      </c>
    </row>
    <row r="75" spans="4:43" x14ac:dyDescent="0.25">
      <c r="D75"/>
      <c r="E75" s="76"/>
      <c r="F75" s="80" t="s">
        <v>134</v>
      </c>
      <c r="G75" s="80" t="s">
        <v>94</v>
      </c>
      <c r="H75" s="118"/>
      <c r="I75" s="80"/>
      <c r="J75" s="152">
        <f>INDEX($J57:$Y57,J$54)</f>
        <v>0.40624392198207837</v>
      </c>
      <c r="K75" s="152">
        <f t="shared" ref="K75:AO75" si="0">INDEX($J57:$Y57,K$54)</f>
        <v>0.40624392198207837</v>
      </c>
      <c r="L75" s="152">
        <f t="shared" si="0"/>
        <v>0.40624392198207837</v>
      </c>
      <c r="M75" s="152">
        <f t="shared" si="0"/>
        <v>0.40624392198207837</v>
      </c>
      <c r="N75" s="152">
        <f t="shared" si="0"/>
        <v>0.40624392198207837</v>
      </c>
      <c r="O75" s="152">
        <f t="shared" si="0"/>
        <v>0.40624392198207837</v>
      </c>
      <c r="P75" s="152">
        <f t="shared" si="0"/>
        <v>0.40624392198207837</v>
      </c>
      <c r="Q75" s="152">
        <f t="shared" si="0"/>
        <v>0.40624392198207837</v>
      </c>
      <c r="R75" s="152">
        <f t="shared" si="0"/>
        <v>0.40624392198207837</v>
      </c>
      <c r="S75" s="152">
        <f t="shared" si="0"/>
        <v>0.40624392198207837</v>
      </c>
      <c r="T75" s="152">
        <f t="shared" si="0"/>
        <v>0.40624392198207837</v>
      </c>
      <c r="U75" s="152">
        <f t="shared" si="0"/>
        <v>0.40624392198207837</v>
      </c>
      <c r="V75" s="152">
        <f t="shared" si="0"/>
        <v>0.40624392198207837</v>
      </c>
      <c r="W75" s="152">
        <f t="shared" si="0"/>
        <v>0</v>
      </c>
      <c r="X75" s="152">
        <f t="shared" si="0"/>
        <v>0</v>
      </c>
      <c r="Y75" s="152">
        <f t="shared" si="0"/>
        <v>0</v>
      </c>
      <c r="Z75" s="152">
        <f t="shared" si="0"/>
        <v>0</v>
      </c>
      <c r="AA75" s="152">
        <f t="shared" si="0"/>
        <v>0</v>
      </c>
      <c r="AB75" s="152">
        <f t="shared" si="0"/>
        <v>0</v>
      </c>
      <c r="AC75" s="152">
        <f t="shared" si="0"/>
        <v>0</v>
      </c>
      <c r="AD75" s="152">
        <f t="shared" si="0"/>
        <v>0</v>
      </c>
      <c r="AE75" s="152">
        <f t="shared" si="0"/>
        <v>0</v>
      </c>
      <c r="AF75" s="152">
        <f t="shared" si="0"/>
        <v>0</v>
      </c>
      <c r="AG75" s="152">
        <f t="shared" si="0"/>
        <v>0.40624392198207837</v>
      </c>
      <c r="AH75" s="152">
        <f t="shared" si="0"/>
        <v>0</v>
      </c>
      <c r="AI75" s="152">
        <f t="shared" si="0"/>
        <v>0</v>
      </c>
      <c r="AJ75" s="152">
        <f t="shared" si="0"/>
        <v>0</v>
      </c>
      <c r="AK75" s="152">
        <f t="shared" si="0"/>
        <v>0</v>
      </c>
      <c r="AL75" s="152">
        <f t="shared" si="0"/>
        <v>0</v>
      </c>
      <c r="AM75" s="152">
        <f t="shared" si="0"/>
        <v>0</v>
      </c>
      <c r="AN75" s="152">
        <f t="shared" si="0"/>
        <v>0</v>
      </c>
      <c r="AO75" s="152">
        <f t="shared" si="0"/>
        <v>0</v>
      </c>
    </row>
    <row r="76" spans="4:43" x14ac:dyDescent="0.25">
      <c r="D76"/>
      <c r="E76" s="76"/>
      <c r="F76" t="s">
        <v>135</v>
      </c>
      <c r="G76" t="s">
        <v>94</v>
      </c>
      <c r="H76" s="327"/>
      <c r="J76" s="338">
        <f t="shared" ref="J76:AO81" si="1">INDEX($J58:$Y58,J$54)</f>
        <v>0.40624392198207837</v>
      </c>
      <c r="K76" s="338">
        <f t="shared" si="1"/>
        <v>0.40624392198207837</v>
      </c>
      <c r="L76" s="338">
        <f t="shared" si="1"/>
        <v>0.40624392198207837</v>
      </c>
      <c r="M76" s="338">
        <f t="shared" si="1"/>
        <v>0.40624392198207837</v>
      </c>
      <c r="N76" s="338">
        <f t="shared" si="1"/>
        <v>0.40624392198207837</v>
      </c>
      <c r="O76" s="338">
        <f t="shared" si="1"/>
        <v>0.40624392198207837</v>
      </c>
      <c r="P76" s="338">
        <f t="shared" si="1"/>
        <v>0.40624392198207837</v>
      </c>
      <c r="Q76" s="338">
        <f t="shared" si="1"/>
        <v>0.40624392198207837</v>
      </c>
      <c r="R76" s="338">
        <f t="shared" si="1"/>
        <v>0.40624392198207837</v>
      </c>
      <c r="S76" s="338">
        <f t="shared" si="1"/>
        <v>0.40624392198207837</v>
      </c>
      <c r="T76" s="338">
        <f t="shared" si="1"/>
        <v>0.40624392198207837</v>
      </c>
      <c r="U76" s="338">
        <f t="shared" si="1"/>
        <v>0.40624392198207837</v>
      </c>
      <c r="V76" s="338">
        <f t="shared" si="1"/>
        <v>0.40624392198207837</v>
      </c>
      <c r="W76" s="338">
        <f t="shared" si="1"/>
        <v>0</v>
      </c>
      <c r="X76" s="338">
        <f t="shared" si="1"/>
        <v>0</v>
      </c>
      <c r="Y76" s="338">
        <f t="shared" si="1"/>
        <v>0</v>
      </c>
      <c r="Z76" s="338">
        <f t="shared" si="1"/>
        <v>0</v>
      </c>
      <c r="AA76" s="338">
        <f t="shared" si="1"/>
        <v>0</v>
      </c>
      <c r="AB76" s="338">
        <f t="shared" si="1"/>
        <v>0</v>
      </c>
      <c r="AC76" s="338">
        <f t="shared" si="1"/>
        <v>0</v>
      </c>
      <c r="AD76" s="338">
        <f t="shared" si="1"/>
        <v>0</v>
      </c>
      <c r="AE76" s="338">
        <f t="shared" si="1"/>
        <v>0</v>
      </c>
      <c r="AF76" s="338">
        <f t="shared" si="1"/>
        <v>0</v>
      </c>
      <c r="AG76" s="338">
        <f t="shared" si="1"/>
        <v>0.40624392198207837</v>
      </c>
      <c r="AH76" s="338">
        <f t="shared" si="1"/>
        <v>0</v>
      </c>
      <c r="AI76" s="338">
        <f t="shared" si="1"/>
        <v>0</v>
      </c>
      <c r="AJ76" s="338">
        <f t="shared" si="1"/>
        <v>0</v>
      </c>
      <c r="AK76" s="338">
        <f t="shared" si="1"/>
        <v>0</v>
      </c>
      <c r="AL76" s="338">
        <f t="shared" si="1"/>
        <v>0</v>
      </c>
      <c r="AM76" s="338">
        <f t="shared" si="1"/>
        <v>0</v>
      </c>
      <c r="AN76" s="338">
        <f t="shared" si="1"/>
        <v>0</v>
      </c>
      <c r="AO76" s="338">
        <f t="shared" si="1"/>
        <v>0</v>
      </c>
    </row>
    <row r="77" spans="4:43" x14ac:dyDescent="0.25">
      <c r="D77"/>
      <c r="E77" s="76"/>
      <c r="F77" t="s">
        <v>136</v>
      </c>
      <c r="G77" t="s">
        <v>94</v>
      </c>
      <c r="H77" s="327"/>
      <c r="J77" s="338">
        <f t="shared" si="1"/>
        <v>0.40624392198207837</v>
      </c>
      <c r="K77" s="338">
        <f t="shared" si="1"/>
        <v>0.40624392198207837</v>
      </c>
      <c r="L77" s="338">
        <f t="shared" si="1"/>
        <v>0.40624392198207837</v>
      </c>
      <c r="M77" s="338">
        <f t="shared" si="1"/>
        <v>0.40624392198207837</v>
      </c>
      <c r="N77" s="338">
        <f t="shared" si="1"/>
        <v>0.40624392198207837</v>
      </c>
      <c r="O77" s="338">
        <f t="shared" si="1"/>
        <v>0.40624392198207837</v>
      </c>
      <c r="P77" s="338">
        <f t="shared" si="1"/>
        <v>0.40624392198207837</v>
      </c>
      <c r="Q77" s="338">
        <f t="shared" si="1"/>
        <v>0.40624392198207837</v>
      </c>
      <c r="R77" s="338">
        <f t="shared" si="1"/>
        <v>0.40624392198207837</v>
      </c>
      <c r="S77" s="338">
        <f t="shared" si="1"/>
        <v>0.40624392198207837</v>
      </c>
      <c r="T77" s="338">
        <f t="shared" si="1"/>
        <v>0.40624392198207837</v>
      </c>
      <c r="U77" s="338">
        <f t="shared" si="1"/>
        <v>0.40624392198207837</v>
      </c>
      <c r="V77" s="338">
        <f t="shared" si="1"/>
        <v>0.40624392198207837</v>
      </c>
      <c r="W77" s="338">
        <f t="shared" si="1"/>
        <v>0</v>
      </c>
      <c r="X77" s="338">
        <f t="shared" si="1"/>
        <v>0</v>
      </c>
      <c r="Y77" s="338">
        <f t="shared" si="1"/>
        <v>0</v>
      </c>
      <c r="Z77" s="338">
        <f t="shared" si="1"/>
        <v>0</v>
      </c>
      <c r="AA77" s="338">
        <f t="shared" si="1"/>
        <v>0</v>
      </c>
      <c r="AB77" s="338">
        <f t="shared" si="1"/>
        <v>0</v>
      </c>
      <c r="AC77" s="338">
        <f t="shared" si="1"/>
        <v>0</v>
      </c>
      <c r="AD77" s="338">
        <f t="shared" si="1"/>
        <v>0</v>
      </c>
      <c r="AE77" s="338">
        <f t="shared" si="1"/>
        <v>0</v>
      </c>
      <c r="AF77" s="338">
        <f t="shared" si="1"/>
        <v>0</v>
      </c>
      <c r="AG77" s="338">
        <f t="shared" si="1"/>
        <v>0.40624392198207837</v>
      </c>
      <c r="AH77" s="338">
        <f t="shared" si="1"/>
        <v>0</v>
      </c>
      <c r="AI77" s="338">
        <f t="shared" si="1"/>
        <v>0</v>
      </c>
      <c r="AJ77" s="338">
        <f t="shared" si="1"/>
        <v>0</v>
      </c>
      <c r="AK77" s="338">
        <f t="shared" si="1"/>
        <v>0</v>
      </c>
      <c r="AL77" s="338">
        <f t="shared" si="1"/>
        <v>0</v>
      </c>
      <c r="AM77" s="338">
        <f t="shared" si="1"/>
        <v>0</v>
      </c>
      <c r="AN77" s="338">
        <f t="shared" si="1"/>
        <v>0</v>
      </c>
      <c r="AO77" s="338">
        <f t="shared" si="1"/>
        <v>0</v>
      </c>
    </row>
    <row r="78" spans="4:43" x14ac:dyDescent="0.25">
      <c r="D78"/>
      <c r="E78" s="76"/>
      <c r="F78" t="s">
        <v>254</v>
      </c>
      <c r="G78" t="s">
        <v>94</v>
      </c>
      <c r="H78" s="327"/>
      <c r="J78" s="338">
        <f t="shared" si="1"/>
        <v>0.40624392198207837</v>
      </c>
      <c r="K78" s="338">
        <f t="shared" si="1"/>
        <v>0.40624392198207837</v>
      </c>
      <c r="L78" s="338">
        <f t="shared" si="1"/>
        <v>0.40624392198207837</v>
      </c>
      <c r="M78" s="338">
        <f t="shared" si="1"/>
        <v>0.40624392198207837</v>
      </c>
      <c r="N78" s="338">
        <f t="shared" si="1"/>
        <v>0.40624392198207837</v>
      </c>
      <c r="O78" s="338">
        <f t="shared" si="1"/>
        <v>0.40624392198207837</v>
      </c>
      <c r="P78" s="338">
        <f t="shared" si="1"/>
        <v>0.40624392198207837</v>
      </c>
      <c r="Q78" s="338">
        <f t="shared" si="1"/>
        <v>0.40624392198207837</v>
      </c>
      <c r="R78" s="338">
        <f t="shared" si="1"/>
        <v>0.40624392198207837</v>
      </c>
      <c r="S78" s="338">
        <f t="shared" si="1"/>
        <v>0.40624392198207837</v>
      </c>
      <c r="T78" s="338">
        <f t="shared" si="1"/>
        <v>0.40624392198207837</v>
      </c>
      <c r="U78" s="338">
        <f t="shared" si="1"/>
        <v>0.40624392198207837</v>
      </c>
      <c r="V78" s="338">
        <f t="shared" si="1"/>
        <v>0.40624392198207837</v>
      </c>
      <c r="W78" s="338">
        <f t="shared" si="1"/>
        <v>0</v>
      </c>
      <c r="X78" s="338">
        <f t="shared" si="1"/>
        <v>0</v>
      </c>
      <c r="Y78" s="338">
        <f t="shared" si="1"/>
        <v>0</v>
      </c>
      <c r="Z78" s="338">
        <f t="shared" si="1"/>
        <v>0</v>
      </c>
      <c r="AA78" s="338">
        <f t="shared" si="1"/>
        <v>0</v>
      </c>
      <c r="AB78" s="338">
        <f t="shared" si="1"/>
        <v>0</v>
      </c>
      <c r="AC78" s="338">
        <f t="shared" si="1"/>
        <v>0</v>
      </c>
      <c r="AD78" s="338">
        <f t="shared" si="1"/>
        <v>0</v>
      </c>
      <c r="AE78" s="338">
        <f t="shared" si="1"/>
        <v>0</v>
      </c>
      <c r="AF78" s="338">
        <f t="shared" si="1"/>
        <v>0</v>
      </c>
      <c r="AG78" s="338">
        <f t="shared" si="1"/>
        <v>0.40624392198207837</v>
      </c>
      <c r="AH78" s="338">
        <f t="shared" si="1"/>
        <v>1</v>
      </c>
      <c r="AI78" s="338">
        <f t="shared" si="1"/>
        <v>1</v>
      </c>
      <c r="AJ78" s="338">
        <f t="shared" si="1"/>
        <v>1</v>
      </c>
      <c r="AK78" s="338">
        <f t="shared" si="1"/>
        <v>1</v>
      </c>
      <c r="AL78" s="338">
        <f t="shared" si="1"/>
        <v>1</v>
      </c>
      <c r="AM78" s="338">
        <f t="shared" si="1"/>
        <v>1</v>
      </c>
      <c r="AN78" s="338">
        <f t="shared" si="1"/>
        <v>1</v>
      </c>
      <c r="AO78" s="338">
        <f t="shared" si="1"/>
        <v>1</v>
      </c>
    </row>
    <row r="79" spans="4:43" x14ac:dyDescent="0.25">
      <c r="D79"/>
      <c r="E79" s="76"/>
      <c r="F79" t="s">
        <v>255</v>
      </c>
      <c r="G79" t="s">
        <v>94</v>
      </c>
      <c r="H79" s="327"/>
      <c r="J79" s="338">
        <f t="shared" si="1"/>
        <v>0.40624392198207837</v>
      </c>
      <c r="K79" s="338">
        <f t="shared" si="1"/>
        <v>0.40624392198207837</v>
      </c>
      <c r="L79" s="338">
        <f t="shared" si="1"/>
        <v>0.40624392198207837</v>
      </c>
      <c r="M79" s="338">
        <f t="shared" si="1"/>
        <v>0.40624392198207837</v>
      </c>
      <c r="N79" s="338">
        <f t="shared" si="1"/>
        <v>0.40624392198207837</v>
      </c>
      <c r="O79" s="338">
        <f t="shared" si="1"/>
        <v>0.40624392198207837</v>
      </c>
      <c r="P79" s="338">
        <f t="shared" si="1"/>
        <v>0.40624392198207837</v>
      </c>
      <c r="Q79" s="338">
        <f t="shared" si="1"/>
        <v>0.40624392198207837</v>
      </c>
      <c r="R79" s="338">
        <f t="shared" si="1"/>
        <v>0.40624392198207837</v>
      </c>
      <c r="S79" s="338">
        <f t="shared" si="1"/>
        <v>0.40624392198207837</v>
      </c>
      <c r="T79" s="338">
        <f t="shared" si="1"/>
        <v>0.40624392198207837</v>
      </c>
      <c r="U79" s="338">
        <f t="shared" si="1"/>
        <v>0.40624392198207837</v>
      </c>
      <c r="V79" s="338">
        <f t="shared" si="1"/>
        <v>0.40624392198207837</v>
      </c>
      <c r="W79" s="338">
        <f t="shared" si="1"/>
        <v>0</v>
      </c>
      <c r="X79" s="338">
        <f t="shared" si="1"/>
        <v>0</v>
      </c>
      <c r="Y79" s="338">
        <f t="shared" si="1"/>
        <v>0</v>
      </c>
      <c r="Z79" s="338">
        <f t="shared" si="1"/>
        <v>0</v>
      </c>
      <c r="AA79" s="338">
        <f t="shared" si="1"/>
        <v>0</v>
      </c>
      <c r="AB79" s="338">
        <f t="shared" si="1"/>
        <v>0</v>
      </c>
      <c r="AC79" s="338">
        <f t="shared" si="1"/>
        <v>0</v>
      </c>
      <c r="AD79" s="338">
        <f t="shared" si="1"/>
        <v>0</v>
      </c>
      <c r="AE79" s="338">
        <f t="shared" si="1"/>
        <v>0</v>
      </c>
      <c r="AF79" s="338">
        <f t="shared" si="1"/>
        <v>0</v>
      </c>
      <c r="AG79" s="338">
        <f t="shared" si="1"/>
        <v>0.40624392198207837</v>
      </c>
      <c r="AH79" s="338">
        <f t="shared" si="1"/>
        <v>0</v>
      </c>
      <c r="AI79" s="338">
        <f t="shared" si="1"/>
        <v>0</v>
      </c>
      <c r="AJ79" s="338">
        <f t="shared" si="1"/>
        <v>0</v>
      </c>
      <c r="AK79" s="338">
        <f t="shared" si="1"/>
        <v>0</v>
      </c>
      <c r="AL79" s="338">
        <f t="shared" si="1"/>
        <v>0</v>
      </c>
      <c r="AM79" s="338">
        <f t="shared" si="1"/>
        <v>0</v>
      </c>
      <c r="AN79" s="338">
        <f t="shared" si="1"/>
        <v>0</v>
      </c>
      <c r="AO79" s="338">
        <f t="shared" si="1"/>
        <v>0</v>
      </c>
    </row>
    <row r="80" spans="4:43" x14ac:dyDescent="0.25">
      <c r="D80"/>
      <c r="E80" s="76"/>
      <c r="F80" t="s">
        <v>256</v>
      </c>
      <c r="G80" t="s">
        <v>94</v>
      </c>
      <c r="H80" s="327"/>
      <c r="J80" s="338">
        <f t="shared" si="1"/>
        <v>0.40624392198207837</v>
      </c>
      <c r="K80" s="338">
        <f t="shared" si="1"/>
        <v>0.40624392198207837</v>
      </c>
      <c r="L80" s="338">
        <f t="shared" si="1"/>
        <v>0.40624392198207837</v>
      </c>
      <c r="M80" s="338">
        <f t="shared" si="1"/>
        <v>0.40624392198207837</v>
      </c>
      <c r="N80" s="338">
        <f t="shared" si="1"/>
        <v>0.40624392198207837</v>
      </c>
      <c r="O80" s="338">
        <f t="shared" si="1"/>
        <v>0.40624392198207837</v>
      </c>
      <c r="P80" s="338">
        <f t="shared" si="1"/>
        <v>0.40624392198207837</v>
      </c>
      <c r="Q80" s="338">
        <f t="shared" si="1"/>
        <v>0.40624392198207837</v>
      </c>
      <c r="R80" s="338">
        <f t="shared" si="1"/>
        <v>0.40624392198207837</v>
      </c>
      <c r="S80" s="338">
        <f t="shared" si="1"/>
        <v>0.40624392198207837</v>
      </c>
      <c r="T80" s="338">
        <f t="shared" si="1"/>
        <v>0.40624392198207837</v>
      </c>
      <c r="U80" s="338">
        <f t="shared" si="1"/>
        <v>0.40624392198207837</v>
      </c>
      <c r="V80" s="338">
        <f t="shared" si="1"/>
        <v>0.40624392198207837</v>
      </c>
      <c r="W80" s="338">
        <f t="shared" si="1"/>
        <v>0</v>
      </c>
      <c r="X80" s="338">
        <f t="shared" si="1"/>
        <v>0</v>
      </c>
      <c r="Y80" s="338">
        <f t="shared" si="1"/>
        <v>0</v>
      </c>
      <c r="Z80" s="338">
        <f t="shared" si="1"/>
        <v>0</v>
      </c>
      <c r="AA80" s="338">
        <f t="shared" si="1"/>
        <v>0</v>
      </c>
      <c r="AB80" s="338">
        <f t="shared" si="1"/>
        <v>0</v>
      </c>
      <c r="AC80" s="338">
        <f t="shared" si="1"/>
        <v>0</v>
      </c>
      <c r="AD80" s="338">
        <f t="shared" si="1"/>
        <v>0</v>
      </c>
      <c r="AE80" s="338">
        <f t="shared" si="1"/>
        <v>0</v>
      </c>
      <c r="AF80" s="338">
        <f t="shared" si="1"/>
        <v>0</v>
      </c>
      <c r="AG80" s="338">
        <f t="shared" si="1"/>
        <v>0.40624392198207837</v>
      </c>
      <c r="AH80" s="338">
        <f t="shared" si="1"/>
        <v>0</v>
      </c>
      <c r="AI80" s="338">
        <f t="shared" si="1"/>
        <v>0</v>
      </c>
      <c r="AJ80" s="338">
        <f t="shared" si="1"/>
        <v>0</v>
      </c>
      <c r="AK80" s="338">
        <f t="shared" si="1"/>
        <v>0</v>
      </c>
      <c r="AL80" s="338">
        <f t="shared" si="1"/>
        <v>0</v>
      </c>
      <c r="AM80" s="338">
        <f t="shared" si="1"/>
        <v>0</v>
      </c>
      <c r="AN80" s="338">
        <f t="shared" si="1"/>
        <v>0</v>
      </c>
      <c r="AO80" s="338">
        <f t="shared" si="1"/>
        <v>0</v>
      </c>
    </row>
    <row r="81" spans="3:43" x14ac:dyDescent="0.25">
      <c r="D81"/>
      <c r="E81" s="76"/>
      <c r="F81" s="17" t="s">
        <v>257</v>
      </c>
      <c r="G81" s="17" t="s">
        <v>94</v>
      </c>
      <c r="H81" s="97"/>
      <c r="I81" s="17"/>
      <c r="J81" s="153">
        <f t="shared" si="1"/>
        <v>0.40624392198207837</v>
      </c>
      <c r="K81" s="153">
        <f t="shared" si="1"/>
        <v>0.40624392198207837</v>
      </c>
      <c r="L81" s="153">
        <f t="shared" si="1"/>
        <v>0.40624392198207837</v>
      </c>
      <c r="M81" s="153">
        <f t="shared" si="1"/>
        <v>0.40624392198207837</v>
      </c>
      <c r="N81" s="153">
        <f t="shared" si="1"/>
        <v>0.40624392198207837</v>
      </c>
      <c r="O81" s="153">
        <f t="shared" si="1"/>
        <v>0.40624392198207837</v>
      </c>
      <c r="P81" s="153">
        <f t="shared" si="1"/>
        <v>0.40624392198207837</v>
      </c>
      <c r="Q81" s="153">
        <f t="shared" si="1"/>
        <v>0.40624392198207837</v>
      </c>
      <c r="R81" s="153">
        <f t="shared" si="1"/>
        <v>0.40624392198207837</v>
      </c>
      <c r="S81" s="153">
        <f t="shared" si="1"/>
        <v>0.40624392198207837</v>
      </c>
      <c r="T81" s="153">
        <f t="shared" si="1"/>
        <v>0.40624392198207837</v>
      </c>
      <c r="U81" s="153">
        <f t="shared" si="1"/>
        <v>0.40624392198207837</v>
      </c>
      <c r="V81" s="153">
        <f t="shared" si="1"/>
        <v>0.40624392198207837</v>
      </c>
      <c r="W81" s="153">
        <f t="shared" si="1"/>
        <v>0</v>
      </c>
      <c r="X81" s="153">
        <f t="shared" si="1"/>
        <v>0</v>
      </c>
      <c r="Y81" s="153">
        <f t="shared" si="1"/>
        <v>0</v>
      </c>
      <c r="Z81" s="153">
        <f t="shared" si="1"/>
        <v>0</v>
      </c>
      <c r="AA81" s="153">
        <f t="shared" si="1"/>
        <v>0</v>
      </c>
      <c r="AB81" s="153">
        <f t="shared" si="1"/>
        <v>0</v>
      </c>
      <c r="AC81" s="153">
        <f t="shared" si="1"/>
        <v>0</v>
      </c>
      <c r="AD81" s="153">
        <f t="shared" si="1"/>
        <v>0</v>
      </c>
      <c r="AE81" s="153">
        <f t="shared" si="1"/>
        <v>0</v>
      </c>
      <c r="AF81" s="153">
        <f t="shared" si="1"/>
        <v>0</v>
      </c>
      <c r="AG81" s="153">
        <f t="shared" si="1"/>
        <v>0.40624392198207837</v>
      </c>
      <c r="AH81" s="153">
        <f t="shared" si="1"/>
        <v>0</v>
      </c>
      <c r="AI81" s="153">
        <f t="shared" si="1"/>
        <v>0</v>
      </c>
      <c r="AJ81" s="153">
        <f t="shared" si="1"/>
        <v>0</v>
      </c>
      <c r="AK81" s="153">
        <f t="shared" si="1"/>
        <v>0</v>
      </c>
      <c r="AL81" s="153">
        <f t="shared" si="1"/>
        <v>0</v>
      </c>
      <c r="AM81" s="153">
        <f t="shared" si="1"/>
        <v>0</v>
      </c>
      <c r="AN81" s="153">
        <f t="shared" si="1"/>
        <v>0</v>
      </c>
      <c r="AO81" s="153">
        <f t="shared" si="1"/>
        <v>0</v>
      </c>
    </row>
    <row r="82" spans="3:43" x14ac:dyDescent="0.25">
      <c r="D82" s="76"/>
      <c r="E82"/>
    </row>
    <row r="83" spans="3:43" x14ac:dyDescent="0.25">
      <c r="D83"/>
      <c r="E83" s="76" t="s">
        <v>414</v>
      </c>
      <c r="I83" t="s">
        <v>359</v>
      </c>
      <c r="AQ83" t="s">
        <v>915</v>
      </c>
    </row>
    <row r="84" spans="3:43" x14ac:dyDescent="0.25">
      <c r="D84"/>
      <c r="E84" s="76"/>
      <c r="F84" s="80" t="s">
        <v>134</v>
      </c>
      <c r="G84" s="80" t="s">
        <v>94</v>
      </c>
      <c r="H84" s="118"/>
      <c r="I84" s="80"/>
      <c r="J84" s="152">
        <f>INDEX($J66:$Y66,J$54)</f>
        <v>0.60699642425647604</v>
      </c>
      <c r="K84" s="152">
        <f t="shared" ref="K84:AO84" si="2">INDEX($J66:$Y66,K$54)</f>
        <v>0.60699642425647604</v>
      </c>
      <c r="L84" s="152">
        <f t="shared" si="2"/>
        <v>0.60699642425647604</v>
      </c>
      <c r="M84" s="152">
        <f t="shared" si="2"/>
        <v>0.60699642425647604</v>
      </c>
      <c r="N84" s="152">
        <f t="shared" si="2"/>
        <v>0.60699642425647604</v>
      </c>
      <c r="O84" s="152">
        <f t="shared" si="2"/>
        <v>0.60699642425647604</v>
      </c>
      <c r="P84" s="152">
        <f t="shared" si="2"/>
        <v>0.60699642425647604</v>
      </c>
      <c r="Q84" s="152">
        <f t="shared" si="2"/>
        <v>0.60699642425647604</v>
      </c>
      <c r="R84" s="152">
        <f t="shared" si="2"/>
        <v>0.60699642425647604</v>
      </c>
      <c r="S84" s="152">
        <f t="shared" si="2"/>
        <v>0.60699642425647604</v>
      </c>
      <c r="T84" s="152">
        <f t="shared" si="2"/>
        <v>0.60699642425647604</v>
      </c>
      <c r="U84" s="152">
        <f t="shared" si="2"/>
        <v>0.60699642425647604</v>
      </c>
      <c r="V84" s="152">
        <f t="shared" si="2"/>
        <v>0.60699642425647604</v>
      </c>
      <c r="W84" s="152">
        <f t="shared" si="2"/>
        <v>0.33703941159411843</v>
      </c>
      <c r="X84" s="152">
        <f t="shared" si="2"/>
        <v>0.33703941159411843</v>
      </c>
      <c r="Y84" s="152">
        <f t="shared" si="2"/>
        <v>0.33703941159411843</v>
      </c>
      <c r="Z84" s="152">
        <f t="shared" si="2"/>
        <v>0.33703941159411843</v>
      </c>
      <c r="AA84" s="152">
        <f t="shared" si="2"/>
        <v>0.33703941159411843</v>
      </c>
      <c r="AB84" s="152">
        <f t="shared" si="2"/>
        <v>0.23936190643348279</v>
      </c>
      <c r="AC84" s="152">
        <f t="shared" si="2"/>
        <v>0.23936190643348279</v>
      </c>
      <c r="AD84" s="152">
        <f t="shared" si="2"/>
        <v>0.23936190643348279</v>
      </c>
      <c r="AE84" s="152">
        <f t="shared" si="2"/>
        <v>0.23936190643348279</v>
      </c>
      <c r="AF84" s="152">
        <f t="shared" si="2"/>
        <v>0.23936190643348279</v>
      </c>
      <c r="AG84" s="152">
        <f t="shared" si="2"/>
        <v>0.60699642425647604</v>
      </c>
      <c r="AH84" s="152">
        <f t="shared" si="2"/>
        <v>0</v>
      </c>
      <c r="AI84" s="152">
        <f t="shared" si="2"/>
        <v>0</v>
      </c>
      <c r="AJ84" s="152">
        <f t="shared" si="2"/>
        <v>0</v>
      </c>
      <c r="AK84" s="152">
        <f t="shared" si="2"/>
        <v>0</v>
      </c>
      <c r="AL84" s="152">
        <f t="shared" si="2"/>
        <v>0</v>
      </c>
      <c r="AM84" s="152">
        <f t="shared" si="2"/>
        <v>0</v>
      </c>
      <c r="AN84" s="152">
        <f t="shared" si="2"/>
        <v>0</v>
      </c>
      <c r="AO84" s="152">
        <f t="shared" si="2"/>
        <v>0</v>
      </c>
    </row>
    <row r="85" spans="3:43" x14ac:dyDescent="0.25">
      <c r="D85"/>
      <c r="E85" s="76"/>
      <c r="F85" t="s">
        <v>135</v>
      </c>
      <c r="G85" t="s">
        <v>94</v>
      </c>
      <c r="H85" s="327"/>
      <c r="J85" s="338">
        <f t="shared" ref="J85:AO90" si="3">INDEX($J67:$Y67,J$54)</f>
        <v>0.60699642425647604</v>
      </c>
      <c r="K85" s="338">
        <f t="shared" si="3"/>
        <v>0.60699642425647604</v>
      </c>
      <c r="L85" s="338">
        <f t="shared" si="3"/>
        <v>0.60699642425647604</v>
      </c>
      <c r="M85" s="338">
        <f t="shared" si="3"/>
        <v>0.60699642425647604</v>
      </c>
      <c r="N85" s="338">
        <f t="shared" si="3"/>
        <v>0.60699642425647604</v>
      </c>
      <c r="O85" s="338">
        <f t="shared" si="3"/>
        <v>0.60699642425647604</v>
      </c>
      <c r="P85" s="338">
        <f t="shared" si="3"/>
        <v>0.60699642425647604</v>
      </c>
      <c r="Q85" s="338">
        <f t="shared" si="3"/>
        <v>0.60699642425647604</v>
      </c>
      <c r="R85" s="338">
        <f t="shared" si="3"/>
        <v>0.60699642425647604</v>
      </c>
      <c r="S85" s="338">
        <f t="shared" si="3"/>
        <v>0.60699642425647604</v>
      </c>
      <c r="T85" s="338">
        <f t="shared" si="3"/>
        <v>0.60699642425647604</v>
      </c>
      <c r="U85" s="338">
        <f t="shared" si="3"/>
        <v>0.60699642425647604</v>
      </c>
      <c r="V85" s="338">
        <f t="shared" si="3"/>
        <v>0.60699642425647604</v>
      </c>
      <c r="W85" s="338">
        <f t="shared" si="3"/>
        <v>0.33703941159411843</v>
      </c>
      <c r="X85" s="338">
        <f t="shared" si="3"/>
        <v>0.33703941159411843</v>
      </c>
      <c r="Y85" s="338">
        <f t="shared" si="3"/>
        <v>0.33703941159411843</v>
      </c>
      <c r="Z85" s="338">
        <f t="shared" si="3"/>
        <v>0.33703941159411843</v>
      </c>
      <c r="AA85" s="338">
        <f t="shared" si="3"/>
        <v>0.33703941159411843</v>
      </c>
      <c r="AB85" s="338">
        <f t="shared" si="3"/>
        <v>0.23936190643348279</v>
      </c>
      <c r="AC85" s="338">
        <f t="shared" si="3"/>
        <v>0.23936190643348279</v>
      </c>
      <c r="AD85" s="338">
        <f t="shared" si="3"/>
        <v>0.23936190643348279</v>
      </c>
      <c r="AE85" s="338">
        <f t="shared" si="3"/>
        <v>0.23936190643348279</v>
      </c>
      <c r="AF85" s="338">
        <f t="shared" si="3"/>
        <v>0.23936190643348279</v>
      </c>
      <c r="AG85" s="338">
        <f t="shared" si="3"/>
        <v>0.60699642425647604</v>
      </c>
      <c r="AH85" s="338">
        <f t="shared" si="3"/>
        <v>0</v>
      </c>
      <c r="AI85" s="338">
        <f t="shared" si="3"/>
        <v>0</v>
      </c>
      <c r="AJ85" s="338">
        <f t="shared" si="3"/>
        <v>0</v>
      </c>
      <c r="AK85" s="338">
        <f t="shared" si="3"/>
        <v>0</v>
      </c>
      <c r="AL85" s="338">
        <f t="shared" si="3"/>
        <v>0</v>
      </c>
      <c r="AM85" s="338">
        <f t="shared" si="3"/>
        <v>0</v>
      </c>
      <c r="AN85" s="338">
        <f t="shared" si="3"/>
        <v>0</v>
      </c>
      <c r="AO85" s="338">
        <f t="shared" si="3"/>
        <v>0</v>
      </c>
    </row>
    <row r="86" spans="3:43" x14ac:dyDescent="0.25">
      <c r="D86"/>
      <c r="E86" s="76"/>
      <c r="F86" t="s">
        <v>136</v>
      </c>
      <c r="G86" t="s">
        <v>94</v>
      </c>
      <c r="H86" s="327"/>
      <c r="J86" s="338">
        <f t="shared" si="3"/>
        <v>0.60699642425647604</v>
      </c>
      <c r="K86" s="338">
        <f t="shared" si="3"/>
        <v>0.60699642425647604</v>
      </c>
      <c r="L86" s="338">
        <f t="shared" si="3"/>
        <v>0.60699642425647604</v>
      </c>
      <c r="M86" s="338">
        <f t="shared" si="3"/>
        <v>0.60699642425647604</v>
      </c>
      <c r="N86" s="338">
        <f t="shared" si="3"/>
        <v>0.60699642425647604</v>
      </c>
      <c r="O86" s="338">
        <f t="shared" si="3"/>
        <v>0.60699642425647604</v>
      </c>
      <c r="P86" s="338">
        <f t="shared" si="3"/>
        <v>0.60699642425647604</v>
      </c>
      <c r="Q86" s="338">
        <f t="shared" si="3"/>
        <v>0.60699642425647604</v>
      </c>
      <c r="R86" s="338">
        <f t="shared" si="3"/>
        <v>0.60699642425647604</v>
      </c>
      <c r="S86" s="338">
        <f t="shared" si="3"/>
        <v>0.60699642425647604</v>
      </c>
      <c r="T86" s="338">
        <f t="shared" si="3"/>
        <v>0.60699642425647604</v>
      </c>
      <c r="U86" s="338">
        <f t="shared" si="3"/>
        <v>0.60699642425647604</v>
      </c>
      <c r="V86" s="338">
        <f t="shared" si="3"/>
        <v>0.60699642425647604</v>
      </c>
      <c r="W86" s="338">
        <f t="shared" si="3"/>
        <v>0.33703941159411843</v>
      </c>
      <c r="X86" s="338">
        <f t="shared" si="3"/>
        <v>0.33703941159411843</v>
      </c>
      <c r="Y86" s="338">
        <f t="shared" si="3"/>
        <v>0.33703941159411843</v>
      </c>
      <c r="Z86" s="338">
        <f t="shared" si="3"/>
        <v>0.33703941159411843</v>
      </c>
      <c r="AA86" s="338">
        <f t="shared" si="3"/>
        <v>0.33703941159411843</v>
      </c>
      <c r="AB86" s="338">
        <f t="shared" si="3"/>
        <v>0.23936190643348279</v>
      </c>
      <c r="AC86" s="338">
        <f t="shared" si="3"/>
        <v>0.23936190643348279</v>
      </c>
      <c r="AD86" s="338">
        <f t="shared" si="3"/>
        <v>0.23936190643348279</v>
      </c>
      <c r="AE86" s="338">
        <f t="shared" si="3"/>
        <v>0.23936190643348279</v>
      </c>
      <c r="AF86" s="338">
        <f t="shared" si="3"/>
        <v>0.23936190643348279</v>
      </c>
      <c r="AG86" s="338">
        <f t="shared" si="3"/>
        <v>0.60699642425647604</v>
      </c>
      <c r="AH86" s="338">
        <f t="shared" si="3"/>
        <v>0</v>
      </c>
      <c r="AI86" s="338">
        <f t="shared" si="3"/>
        <v>0</v>
      </c>
      <c r="AJ86" s="338">
        <f t="shared" si="3"/>
        <v>0</v>
      </c>
      <c r="AK86" s="338">
        <f t="shared" si="3"/>
        <v>0</v>
      </c>
      <c r="AL86" s="338">
        <f t="shared" si="3"/>
        <v>0</v>
      </c>
      <c r="AM86" s="338">
        <f t="shared" si="3"/>
        <v>0</v>
      </c>
      <c r="AN86" s="338">
        <f t="shared" si="3"/>
        <v>0</v>
      </c>
      <c r="AO86" s="338">
        <f t="shared" si="3"/>
        <v>0</v>
      </c>
    </row>
    <row r="87" spans="3:43" x14ac:dyDescent="0.25">
      <c r="D87"/>
      <c r="E87" s="76"/>
      <c r="F87" t="s">
        <v>254</v>
      </c>
      <c r="G87" t="s">
        <v>94</v>
      </c>
      <c r="H87" s="327"/>
      <c r="J87" s="338">
        <f t="shared" si="3"/>
        <v>0.60699642425647604</v>
      </c>
      <c r="K87" s="338">
        <f t="shared" si="3"/>
        <v>0.60699642425647604</v>
      </c>
      <c r="L87" s="338">
        <f t="shared" si="3"/>
        <v>0.60699642425647604</v>
      </c>
      <c r="M87" s="338">
        <f t="shared" si="3"/>
        <v>0.60699642425647604</v>
      </c>
      <c r="N87" s="338">
        <f t="shared" si="3"/>
        <v>0.60699642425647604</v>
      </c>
      <c r="O87" s="338">
        <f t="shared" si="3"/>
        <v>0.60699642425647604</v>
      </c>
      <c r="P87" s="338">
        <f t="shared" si="3"/>
        <v>0.60699642425647604</v>
      </c>
      <c r="Q87" s="338">
        <f t="shared" si="3"/>
        <v>0.60699642425647604</v>
      </c>
      <c r="R87" s="338">
        <f t="shared" si="3"/>
        <v>0.60699642425647604</v>
      </c>
      <c r="S87" s="338">
        <f t="shared" si="3"/>
        <v>0.60699642425647604</v>
      </c>
      <c r="T87" s="338">
        <f t="shared" si="3"/>
        <v>0.60699642425647604</v>
      </c>
      <c r="U87" s="338">
        <f t="shared" si="3"/>
        <v>0.60699642425647604</v>
      </c>
      <c r="V87" s="338">
        <f t="shared" si="3"/>
        <v>0.60699642425647604</v>
      </c>
      <c r="W87" s="338">
        <f t="shared" si="3"/>
        <v>0.33703941159411843</v>
      </c>
      <c r="X87" s="338">
        <f t="shared" si="3"/>
        <v>0.33703941159411843</v>
      </c>
      <c r="Y87" s="338">
        <f t="shared" si="3"/>
        <v>0.33703941159411843</v>
      </c>
      <c r="Z87" s="338">
        <f t="shared" si="3"/>
        <v>0.33703941159411843</v>
      </c>
      <c r="AA87" s="338">
        <f t="shared" si="3"/>
        <v>0.33703941159411843</v>
      </c>
      <c r="AB87" s="338">
        <f t="shared" si="3"/>
        <v>0.23936190643348279</v>
      </c>
      <c r="AC87" s="338">
        <f t="shared" si="3"/>
        <v>0.23936190643348279</v>
      </c>
      <c r="AD87" s="338">
        <f t="shared" si="3"/>
        <v>0.23936190643348279</v>
      </c>
      <c r="AE87" s="338">
        <f t="shared" si="3"/>
        <v>0.23936190643348279</v>
      </c>
      <c r="AF87" s="338">
        <f t="shared" si="3"/>
        <v>0.23936190643348279</v>
      </c>
      <c r="AG87" s="338">
        <f t="shared" si="3"/>
        <v>0.60699642425647604</v>
      </c>
      <c r="AH87" s="338">
        <f t="shared" si="3"/>
        <v>1</v>
      </c>
      <c r="AI87" s="338">
        <f t="shared" si="3"/>
        <v>1</v>
      </c>
      <c r="AJ87" s="338">
        <f t="shared" si="3"/>
        <v>1</v>
      </c>
      <c r="AK87" s="338">
        <f t="shared" si="3"/>
        <v>1</v>
      </c>
      <c r="AL87" s="338">
        <f t="shared" si="3"/>
        <v>1</v>
      </c>
      <c r="AM87" s="338">
        <f t="shared" si="3"/>
        <v>1</v>
      </c>
      <c r="AN87" s="338">
        <f t="shared" si="3"/>
        <v>1</v>
      </c>
      <c r="AO87" s="338">
        <f t="shared" si="3"/>
        <v>1</v>
      </c>
    </row>
    <row r="88" spans="3:43" x14ac:dyDescent="0.25">
      <c r="D88"/>
      <c r="E88" s="76"/>
      <c r="F88" t="s">
        <v>255</v>
      </c>
      <c r="G88" t="s">
        <v>94</v>
      </c>
      <c r="H88" s="327"/>
      <c r="J88" s="338">
        <f t="shared" si="3"/>
        <v>0.60699642425647604</v>
      </c>
      <c r="K88" s="338">
        <f t="shared" si="3"/>
        <v>0.60699642425647604</v>
      </c>
      <c r="L88" s="338">
        <f t="shared" si="3"/>
        <v>0.60699642425647604</v>
      </c>
      <c r="M88" s="338">
        <f t="shared" si="3"/>
        <v>0.60699642425647604</v>
      </c>
      <c r="N88" s="338">
        <f t="shared" si="3"/>
        <v>0.60699642425647604</v>
      </c>
      <c r="O88" s="338">
        <f t="shared" si="3"/>
        <v>0.60699642425647604</v>
      </c>
      <c r="P88" s="338">
        <f t="shared" si="3"/>
        <v>0.60699642425647604</v>
      </c>
      <c r="Q88" s="338">
        <f t="shared" si="3"/>
        <v>0.60699642425647604</v>
      </c>
      <c r="R88" s="338">
        <f t="shared" si="3"/>
        <v>0.60699642425647604</v>
      </c>
      <c r="S88" s="338">
        <f t="shared" si="3"/>
        <v>0.60699642425647604</v>
      </c>
      <c r="T88" s="338">
        <f t="shared" si="3"/>
        <v>0.60699642425647604</v>
      </c>
      <c r="U88" s="338">
        <f t="shared" si="3"/>
        <v>0.60699642425647604</v>
      </c>
      <c r="V88" s="338">
        <f t="shared" si="3"/>
        <v>0.60699642425647604</v>
      </c>
      <c r="W88" s="338">
        <f t="shared" si="3"/>
        <v>0.33703941159411843</v>
      </c>
      <c r="X88" s="338">
        <f t="shared" si="3"/>
        <v>0.33703941159411843</v>
      </c>
      <c r="Y88" s="338">
        <f t="shared" si="3"/>
        <v>0.33703941159411843</v>
      </c>
      <c r="Z88" s="338">
        <f t="shared" si="3"/>
        <v>0.33703941159411843</v>
      </c>
      <c r="AA88" s="338">
        <f t="shared" si="3"/>
        <v>0.33703941159411843</v>
      </c>
      <c r="AB88" s="338">
        <f t="shared" si="3"/>
        <v>0.23936190643348279</v>
      </c>
      <c r="AC88" s="338">
        <f t="shared" si="3"/>
        <v>0.23936190643348279</v>
      </c>
      <c r="AD88" s="338">
        <f t="shared" si="3"/>
        <v>0.23936190643348279</v>
      </c>
      <c r="AE88" s="338">
        <f t="shared" si="3"/>
        <v>0.23936190643348279</v>
      </c>
      <c r="AF88" s="338">
        <f t="shared" si="3"/>
        <v>0.23936190643348279</v>
      </c>
      <c r="AG88" s="338">
        <f t="shared" si="3"/>
        <v>0.60699642425647604</v>
      </c>
      <c r="AH88" s="338">
        <f t="shared" si="3"/>
        <v>0</v>
      </c>
      <c r="AI88" s="338">
        <f t="shared" si="3"/>
        <v>0</v>
      </c>
      <c r="AJ88" s="338">
        <f t="shared" si="3"/>
        <v>0</v>
      </c>
      <c r="AK88" s="338">
        <f t="shared" si="3"/>
        <v>0</v>
      </c>
      <c r="AL88" s="338">
        <f t="shared" si="3"/>
        <v>0</v>
      </c>
      <c r="AM88" s="338">
        <f t="shared" si="3"/>
        <v>0</v>
      </c>
      <c r="AN88" s="338">
        <f t="shared" si="3"/>
        <v>0</v>
      </c>
      <c r="AO88" s="338">
        <f t="shared" si="3"/>
        <v>0</v>
      </c>
    </row>
    <row r="89" spans="3:43" x14ac:dyDescent="0.25">
      <c r="D89"/>
      <c r="E89" s="76"/>
      <c r="F89" t="s">
        <v>256</v>
      </c>
      <c r="G89" t="s">
        <v>94</v>
      </c>
      <c r="H89" s="327"/>
      <c r="J89" s="338">
        <f t="shared" si="3"/>
        <v>0.60699642425647604</v>
      </c>
      <c r="K89" s="338">
        <f t="shared" si="3"/>
        <v>0.60699642425647604</v>
      </c>
      <c r="L89" s="338">
        <f t="shared" si="3"/>
        <v>0.60699642425647604</v>
      </c>
      <c r="M89" s="338">
        <f t="shared" si="3"/>
        <v>0.60699642425647604</v>
      </c>
      <c r="N89" s="338">
        <f t="shared" si="3"/>
        <v>0.60699642425647604</v>
      </c>
      <c r="O89" s="338">
        <f t="shared" si="3"/>
        <v>0.60699642425647604</v>
      </c>
      <c r="P89" s="338">
        <f t="shared" si="3"/>
        <v>0.60699642425647604</v>
      </c>
      <c r="Q89" s="338">
        <f t="shared" si="3"/>
        <v>0.60699642425647604</v>
      </c>
      <c r="R89" s="338">
        <f t="shared" si="3"/>
        <v>0.60699642425647604</v>
      </c>
      <c r="S89" s="338">
        <f t="shared" si="3"/>
        <v>0.60699642425647604</v>
      </c>
      <c r="T89" s="338">
        <f t="shared" si="3"/>
        <v>0.60699642425647604</v>
      </c>
      <c r="U89" s="338">
        <f t="shared" si="3"/>
        <v>0.60699642425647604</v>
      </c>
      <c r="V89" s="338">
        <f t="shared" si="3"/>
        <v>0.60699642425647604</v>
      </c>
      <c r="W89" s="338">
        <f t="shared" si="3"/>
        <v>0.33703941159411843</v>
      </c>
      <c r="X89" s="338">
        <f t="shared" si="3"/>
        <v>0.33703941159411843</v>
      </c>
      <c r="Y89" s="338">
        <f t="shared" si="3"/>
        <v>0.33703941159411843</v>
      </c>
      <c r="Z89" s="338">
        <f t="shared" si="3"/>
        <v>0.33703941159411843</v>
      </c>
      <c r="AA89" s="338">
        <f t="shared" si="3"/>
        <v>0.33703941159411843</v>
      </c>
      <c r="AB89" s="338">
        <f t="shared" si="3"/>
        <v>0.23936190643348279</v>
      </c>
      <c r="AC89" s="338">
        <f t="shared" si="3"/>
        <v>0.23936190643348279</v>
      </c>
      <c r="AD89" s="338">
        <f t="shared" si="3"/>
        <v>0.23936190643348279</v>
      </c>
      <c r="AE89" s="338">
        <f t="shared" si="3"/>
        <v>0.23936190643348279</v>
      </c>
      <c r="AF89" s="338">
        <f t="shared" si="3"/>
        <v>0.23936190643348279</v>
      </c>
      <c r="AG89" s="338">
        <f t="shared" si="3"/>
        <v>0.60699642425647604</v>
      </c>
      <c r="AH89" s="338">
        <f t="shared" si="3"/>
        <v>0</v>
      </c>
      <c r="AI89" s="338">
        <f t="shared" si="3"/>
        <v>0</v>
      </c>
      <c r="AJ89" s="338">
        <f t="shared" si="3"/>
        <v>0</v>
      </c>
      <c r="AK89" s="338">
        <f t="shared" si="3"/>
        <v>0</v>
      </c>
      <c r="AL89" s="338">
        <f t="shared" si="3"/>
        <v>0</v>
      </c>
      <c r="AM89" s="338">
        <f t="shared" si="3"/>
        <v>0</v>
      </c>
      <c r="AN89" s="338">
        <f t="shared" si="3"/>
        <v>0</v>
      </c>
      <c r="AO89" s="338">
        <f t="shared" si="3"/>
        <v>0</v>
      </c>
    </row>
    <row r="90" spans="3:43" x14ac:dyDescent="0.25">
      <c r="D90"/>
      <c r="E90" s="76"/>
      <c r="F90" s="17" t="s">
        <v>257</v>
      </c>
      <c r="G90" s="17" t="s">
        <v>94</v>
      </c>
      <c r="H90" s="97"/>
      <c r="I90" s="17"/>
      <c r="J90" s="153">
        <f t="shared" si="3"/>
        <v>0.60699642425647604</v>
      </c>
      <c r="K90" s="153">
        <f t="shared" si="3"/>
        <v>0.60699642425647604</v>
      </c>
      <c r="L90" s="153">
        <f t="shared" si="3"/>
        <v>0.60699642425647604</v>
      </c>
      <c r="M90" s="153">
        <f t="shared" si="3"/>
        <v>0.60699642425647604</v>
      </c>
      <c r="N90" s="153">
        <f t="shared" si="3"/>
        <v>0.60699642425647604</v>
      </c>
      <c r="O90" s="153">
        <f t="shared" si="3"/>
        <v>0.60699642425647604</v>
      </c>
      <c r="P90" s="153">
        <f t="shared" si="3"/>
        <v>0.60699642425647604</v>
      </c>
      <c r="Q90" s="153">
        <f t="shared" si="3"/>
        <v>0.60699642425647604</v>
      </c>
      <c r="R90" s="153">
        <f t="shared" si="3"/>
        <v>0.60699642425647604</v>
      </c>
      <c r="S90" s="153">
        <f t="shared" si="3"/>
        <v>0.60699642425647604</v>
      </c>
      <c r="T90" s="153">
        <f t="shared" si="3"/>
        <v>0.60699642425647604</v>
      </c>
      <c r="U90" s="153">
        <f t="shared" si="3"/>
        <v>0.60699642425647604</v>
      </c>
      <c r="V90" s="153">
        <f t="shared" si="3"/>
        <v>0.60699642425647604</v>
      </c>
      <c r="W90" s="153">
        <f t="shared" si="3"/>
        <v>0.33703941159411843</v>
      </c>
      <c r="X90" s="153">
        <f t="shared" si="3"/>
        <v>0.33703941159411843</v>
      </c>
      <c r="Y90" s="153">
        <f t="shared" si="3"/>
        <v>0.33703941159411843</v>
      </c>
      <c r="Z90" s="153">
        <f t="shared" si="3"/>
        <v>0.33703941159411843</v>
      </c>
      <c r="AA90" s="153">
        <f t="shared" si="3"/>
        <v>0.33703941159411843</v>
      </c>
      <c r="AB90" s="153">
        <f t="shared" si="3"/>
        <v>0.23936190643348279</v>
      </c>
      <c r="AC90" s="153">
        <f t="shared" si="3"/>
        <v>0.23936190643348279</v>
      </c>
      <c r="AD90" s="153">
        <f t="shared" si="3"/>
        <v>0.23936190643348279</v>
      </c>
      <c r="AE90" s="153">
        <f t="shared" si="3"/>
        <v>0.23936190643348279</v>
      </c>
      <c r="AF90" s="153">
        <f t="shared" si="3"/>
        <v>0.23936190643348279</v>
      </c>
      <c r="AG90" s="153">
        <f t="shared" si="3"/>
        <v>0.60699642425647604</v>
      </c>
      <c r="AH90" s="153">
        <f t="shared" si="3"/>
        <v>0</v>
      </c>
      <c r="AI90" s="153">
        <f t="shared" si="3"/>
        <v>0</v>
      </c>
      <c r="AJ90" s="153">
        <f t="shared" si="3"/>
        <v>0</v>
      </c>
      <c r="AK90" s="153">
        <f t="shared" si="3"/>
        <v>0</v>
      </c>
      <c r="AL90" s="153">
        <f t="shared" si="3"/>
        <v>0</v>
      </c>
      <c r="AM90" s="153">
        <f t="shared" si="3"/>
        <v>0</v>
      </c>
      <c r="AN90" s="153">
        <f t="shared" si="3"/>
        <v>0</v>
      </c>
      <c r="AO90" s="153">
        <f t="shared" si="3"/>
        <v>0</v>
      </c>
    </row>
    <row r="91" spans="3:43" x14ac:dyDescent="0.25">
      <c r="D91" s="76"/>
      <c r="E91"/>
    </row>
    <row r="92" spans="3:43" x14ac:dyDescent="0.25">
      <c r="C92" s="5" t="str">
        <f ca="1">INDEX('Version control'!$H$36:$H$62,MATCH($A$1,'Version control'!$F$36:$F$62,0),1)&amp;"-E: Decimal places for rounding"</f>
        <v>Section 520-E: Decimal places for rounding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</row>
    <row r="94" spans="3:43" x14ac:dyDescent="0.25">
      <c r="E94" s="52" t="s">
        <v>260</v>
      </c>
      <c r="I94" t="s">
        <v>359</v>
      </c>
      <c r="AQ94" t="s">
        <v>698</v>
      </c>
    </row>
    <row r="95" spans="3:43" x14ac:dyDescent="0.25">
      <c r="C95" s="76"/>
      <c r="F95" s="80" t="s">
        <v>134</v>
      </c>
      <c r="G95" s="80" t="s">
        <v>426</v>
      </c>
      <c r="H95" s="118">
        <f>'Fixed inputs'!H25</f>
        <v>3</v>
      </c>
    </row>
    <row r="96" spans="3:43" x14ac:dyDescent="0.25">
      <c r="C96" s="76"/>
      <c r="F96" t="s">
        <v>135</v>
      </c>
      <c r="G96" t="s">
        <v>426</v>
      </c>
      <c r="H96" s="327">
        <f>'Fixed inputs'!H26</f>
        <v>3</v>
      </c>
    </row>
    <row r="97" spans="2:43" x14ac:dyDescent="0.25">
      <c r="C97" s="76"/>
      <c r="F97" t="s">
        <v>136</v>
      </c>
      <c r="G97" t="s">
        <v>426</v>
      </c>
      <c r="H97" s="327">
        <f>'Fixed inputs'!H27</f>
        <v>3</v>
      </c>
    </row>
    <row r="98" spans="2:43" x14ac:dyDescent="0.25">
      <c r="C98" s="76"/>
      <c r="F98" t="s">
        <v>254</v>
      </c>
      <c r="G98" t="s">
        <v>426</v>
      </c>
      <c r="H98" s="327">
        <f>'Fixed inputs'!H28</f>
        <v>2</v>
      </c>
    </row>
    <row r="99" spans="2:43" x14ac:dyDescent="0.25">
      <c r="C99" s="76"/>
      <c r="F99" t="s">
        <v>255</v>
      </c>
      <c r="G99" t="s">
        <v>426</v>
      </c>
      <c r="H99" s="327">
        <f>'Fixed inputs'!H29</f>
        <v>2</v>
      </c>
    </row>
    <row r="100" spans="2:43" x14ac:dyDescent="0.25">
      <c r="C100" s="76"/>
      <c r="F100" t="s">
        <v>256</v>
      </c>
      <c r="G100" t="s">
        <v>426</v>
      </c>
      <c r="H100" s="327">
        <f>'Fixed inputs'!H30</f>
        <v>2</v>
      </c>
    </row>
    <row r="101" spans="2:43" x14ac:dyDescent="0.25">
      <c r="C101" s="76"/>
      <c r="F101" s="17" t="s">
        <v>257</v>
      </c>
      <c r="G101" s="17" t="s">
        <v>426</v>
      </c>
      <c r="H101" s="97">
        <f>'Fixed inputs'!H31</f>
        <v>3</v>
      </c>
    </row>
    <row r="102" spans="2:43" x14ac:dyDescent="0.25">
      <c r="C102" s="76"/>
    </row>
    <row r="103" spans="2:43" x14ac:dyDescent="0.25">
      <c r="B103" s="82" t="s">
        <v>769</v>
      </c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  <c r="AD103" s="82"/>
      <c r="AE103" s="82"/>
      <c r="AF103" s="82"/>
      <c r="AG103" s="82"/>
      <c r="AH103" s="82"/>
      <c r="AI103" s="82"/>
      <c r="AJ103" s="82"/>
      <c r="AK103" s="82"/>
      <c r="AL103" s="82"/>
      <c r="AM103" s="82"/>
      <c r="AN103" s="82"/>
      <c r="AO103" s="82"/>
      <c r="AP103" s="82"/>
      <c r="AQ103" s="82"/>
    </row>
    <row r="105" spans="2:43" x14ac:dyDescent="0.25">
      <c r="C105" s="73" t="s">
        <v>770</v>
      </c>
    </row>
    <row r="107" spans="2:43" x14ac:dyDescent="0.25">
      <c r="C107" s="5" t="str">
        <f ca="1">INDEX('Version control'!$H$36:$H$62,MATCH($A$1,'Version control'!$F$36:$F$62,0),1)&amp;"-F: Tariff forecast, post-revenue matching"</f>
        <v>Section 520-F: Tariff forecast, post-revenue matching</v>
      </c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</row>
    <row r="109" spans="2:43" x14ac:dyDescent="0.25">
      <c r="D109"/>
      <c r="E109" s="52" t="s">
        <v>771</v>
      </c>
      <c r="F109" s="52"/>
    </row>
    <row r="110" spans="2:43" x14ac:dyDescent="0.25">
      <c r="D110"/>
      <c r="E110" s="76"/>
      <c r="F110" s="80" t="s">
        <v>134</v>
      </c>
      <c r="G110" s="80" t="s">
        <v>183</v>
      </c>
      <c r="H110" s="307"/>
      <c r="I110" s="296"/>
      <c r="J110" s="309">
        <f xml:space="preserve"> J20 + J32</f>
        <v>8.299709774288182</v>
      </c>
      <c r="K110" s="309">
        <f t="shared" ref="K110:AO116" si="4" xml:space="preserve"> K20 + K32</f>
        <v>8.299709774288182</v>
      </c>
      <c r="L110" s="309">
        <f t="shared" si="4"/>
        <v>10.017578595522124</v>
      </c>
      <c r="M110" s="309">
        <f t="shared" si="4"/>
        <v>10.017578595522124</v>
      </c>
      <c r="N110" s="309">
        <f t="shared" si="4"/>
        <v>10.017578595522124</v>
      </c>
      <c r="O110" s="309">
        <f t="shared" si="4"/>
        <v>10.017578595522124</v>
      </c>
      <c r="P110" s="309">
        <f t="shared" si="4"/>
        <v>10.017578595522124</v>
      </c>
      <c r="Q110" s="309">
        <f t="shared" si="4"/>
        <v>10.017578595522124</v>
      </c>
      <c r="R110" s="309">
        <f t="shared" si="4"/>
        <v>7.2441646887714617</v>
      </c>
      <c r="S110" s="309">
        <f t="shared" si="4"/>
        <v>7.2441646887714617</v>
      </c>
      <c r="T110" s="309">
        <f t="shared" si="4"/>
        <v>7.2441646887714617</v>
      </c>
      <c r="U110" s="309">
        <f t="shared" si="4"/>
        <v>7.2441646887714617</v>
      </c>
      <c r="V110" s="309">
        <f t="shared" si="4"/>
        <v>7.2441646887714617</v>
      </c>
      <c r="W110" s="309">
        <f t="shared" si="4"/>
        <v>4.1678200402601213</v>
      </c>
      <c r="X110" s="309">
        <f t="shared" si="4"/>
        <v>4.1678200402601213</v>
      </c>
      <c r="Y110" s="309">
        <f t="shared" si="4"/>
        <v>4.1678200402601213</v>
      </c>
      <c r="Z110" s="309">
        <f t="shared" si="4"/>
        <v>4.1678200402601213</v>
      </c>
      <c r="AA110" s="309">
        <f t="shared" si="4"/>
        <v>4.1678200402601213</v>
      </c>
      <c r="AB110" s="309">
        <f t="shared" si="4"/>
        <v>2.8865352453672846</v>
      </c>
      <c r="AC110" s="309">
        <f t="shared" si="4"/>
        <v>2.8865352453672846</v>
      </c>
      <c r="AD110" s="309">
        <f t="shared" si="4"/>
        <v>2.8865352453672846</v>
      </c>
      <c r="AE110" s="309">
        <f t="shared" si="4"/>
        <v>2.8865352453672846</v>
      </c>
      <c r="AF110" s="309">
        <f t="shared" si="4"/>
        <v>2.8865352453672846</v>
      </c>
      <c r="AG110" s="309">
        <f t="shared" si="4"/>
        <v>25.230084138548595</v>
      </c>
      <c r="AH110" s="309">
        <f t="shared" si="4"/>
        <v>-6.5281797312705345</v>
      </c>
      <c r="AI110" s="309">
        <f t="shared" si="4"/>
        <v>-5.6839788146925212</v>
      </c>
      <c r="AJ110" s="309">
        <f t="shared" si="4"/>
        <v>-6.5281797312705345</v>
      </c>
      <c r="AK110" s="309">
        <f t="shared" si="4"/>
        <v>-6.5281797312705345</v>
      </c>
      <c r="AL110" s="309">
        <f t="shared" si="4"/>
        <v>-5.6839788146925212</v>
      </c>
      <c r="AM110" s="309">
        <f t="shared" si="4"/>
        <v>-5.6839788146925212</v>
      </c>
      <c r="AN110" s="309">
        <f t="shared" si="4"/>
        <v>-3.5120732557973353</v>
      </c>
      <c r="AO110" s="309">
        <f t="shared" si="4"/>
        <v>-3.5120732557973353</v>
      </c>
      <c r="AP110" s="298"/>
      <c r="AQ110" s="298"/>
    </row>
    <row r="111" spans="2:43" x14ac:dyDescent="0.25">
      <c r="D111"/>
      <c r="E111" s="76"/>
      <c r="F111" t="s">
        <v>135</v>
      </c>
      <c r="G111" t="s">
        <v>183</v>
      </c>
      <c r="H111" s="363"/>
      <c r="I111" s="298"/>
      <c r="J111" s="364">
        <f t="shared" ref="J111:J116" si="5" xml:space="preserve"> J21 + J33</f>
        <v>0.95313219533521953</v>
      </c>
      <c r="K111" s="364">
        <f t="shared" si="4"/>
        <v>0.95313219533521953</v>
      </c>
      <c r="L111" s="364">
        <f t="shared" si="4"/>
        <v>1.150410910544398</v>
      </c>
      <c r="M111" s="364">
        <f t="shared" si="4"/>
        <v>1.150410910544398</v>
      </c>
      <c r="N111" s="364">
        <f t="shared" si="4"/>
        <v>1.150410910544398</v>
      </c>
      <c r="O111" s="364">
        <f t="shared" si="4"/>
        <v>1.150410910544398</v>
      </c>
      <c r="P111" s="364">
        <f t="shared" si="4"/>
        <v>1.150410910544398</v>
      </c>
      <c r="Q111" s="364">
        <f t="shared" si="4"/>
        <v>1.150410910544398</v>
      </c>
      <c r="R111" s="364">
        <f t="shared" si="4"/>
        <v>0.78722064913810097</v>
      </c>
      <c r="S111" s="364">
        <f t="shared" si="4"/>
        <v>0.78722064913810097</v>
      </c>
      <c r="T111" s="364">
        <f t="shared" si="4"/>
        <v>0.78722064913810097</v>
      </c>
      <c r="U111" s="364">
        <f t="shared" si="4"/>
        <v>0.78722064913810097</v>
      </c>
      <c r="V111" s="364">
        <f t="shared" si="4"/>
        <v>0.78722064913810097</v>
      </c>
      <c r="W111" s="364">
        <f t="shared" si="4"/>
        <v>0.37434886539562695</v>
      </c>
      <c r="X111" s="364">
        <f t="shared" si="4"/>
        <v>0.37434886539562695</v>
      </c>
      <c r="Y111" s="364">
        <f t="shared" si="4"/>
        <v>0.37434886539562695</v>
      </c>
      <c r="Z111" s="364">
        <f t="shared" si="4"/>
        <v>0.37434886539562695</v>
      </c>
      <c r="AA111" s="364">
        <f t="shared" si="4"/>
        <v>0.37434886539562695</v>
      </c>
      <c r="AB111" s="364">
        <f t="shared" si="4"/>
        <v>0.22923280291328646</v>
      </c>
      <c r="AC111" s="364">
        <f t="shared" si="4"/>
        <v>0.22923280291328646</v>
      </c>
      <c r="AD111" s="364">
        <f t="shared" si="4"/>
        <v>0.22923280291328646</v>
      </c>
      <c r="AE111" s="364">
        <f t="shared" si="4"/>
        <v>0.22923280291328646</v>
      </c>
      <c r="AF111" s="364">
        <f t="shared" si="4"/>
        <v>0.22923280291328646</v>
      </c>
      <c r="AG111" s="364">
        <f t="shared" si="4"/>
        <v>3.8374300354578343</v>
      </c>
      <c r="AH111" s="364">
        <f t="shared" si="4"/>
        <v>-0.74969106728101365</v>
      </c>
      <c r="AI111" s="364">
        <f t="shared" si="4"/>
        <v>-0.63496742960815677</v>
      </c>
      <c r="AJ111" s="364">
        <f t="shared" si="4"/>
        <v>-0.74969106728101365</v>
      </c>
      <c r="AK111" s="364">
        <f t="shared" si="4"/>
        <v>-0.74969106728101365</v>
      </c>
      <c r="AL111" s="364">
        <f t="shared" si="4"/>
        <v>-0.63496742960815677</v>
      </c>
      <c r="AM111" s="364">
        <f t="shared" si="4"/>
        <v>-0.63496742960815677</v>
      </c>
      <c r="AN111" s="364">
        <f t="shared" si="4"/>
        <v>-0.31331277837518495</v>
      </c>
      <c r="AO111" s="364">
        <f t="shared" si="4"/>
        <v>-0.31331277837518495</v>
      </c>
      <c r="AP111" s="298"/>
      <c r="AQ111" s="298"/>
    </row>
    <row r="112" spans="2:43" x14ac:dyDescent="0.25">
      <c r="D112"/>
      <c r="E112" s="76"/>
      <c r="F112" t="s">
        <v>136</v>
      </c>
      <c r="G112" t="s">
        <v>183</v>
      </c>
      <c r="H112" s="363"/>
      <c r="I112" s="298"/>
      <c r="J112" s="364">
        <f t="shared" si="5"/>
        <v>1.7003237233463812E-2</v>
      </c>
      <c r="K112" s="364">
        <f t="shared" si="4"/>
        <v>1.7003237233463812E-2</v>
      </c>
      <c r="L112" s="364">
        <f t="shared" si="4"/>
        <v>2.0522556811830232E-2</v>
      </c>
      <c r="M112" s="364">
        <f t="shared" si="4"/>
        <v>2.0522556811830232E-2</v>
      </c>
      <c r="N112" s="364">
        <f t="shared" si="4"/>
        <v>2.0522556811830232E-2</v>
      </c>
      <c r="O112" s="364">
        <f t="shared" si="4"/>
        <v>2.0522556811830232E-2</v>
      </c>
      <c r="P112" s="364">
        <f t="shared" si="4"/>
        <v>2.0522556811830232E-2</v>
      </c>
      <c r="Q112" s="364">
        <f t="shared" si="4"/>
        <v>2.0522556811830232E-2</v>
      </c>
      <c r="R112" s="364">
        <f t="shared" si="4"/>
        <v>1.3643911588587573E-2</v>
      </c>
      <c r="S112" s="364">
        <f t="shared" si="4"/>
        <v>1.3643911588587573E-2</v>
      </c>
      <c r="T112" s="364">
        <f t="shared" si="4"/>
        <v>1.3643911588587573E-2</v>
      </c>
      <c r="U112" s="364">
        <f t="shared" si="4"/>
        <v>1.3643911588587573E-2</v>
      </c>
      <c r="V112" s="364">
        <f t="shared" si="4"/>
        <v>1.3643911588587573E-2</v>
      </c>
      <c r="W112" s="364">
        <f t="shared" si="4"/>
        <v>5.7458313786606487E-3</v>
      </c>
      <c r="X112" s="364">
        <f t="shared" si="4"/>
        <v>5.7458313786606487E-3</v>
      </c>
      <c r="Y112" s="364">
        <f t="shared" si="4"/>
        <v>5.7458313786606487E-3</v>
      </c>
      <c r="Z112" s="364">
        <f t="shared" si="4"/>
        <v>5.7458313786606487E-3</v>
      </c>
      <c r="AA112" s="364">
        <f t="shared" si="4"/>
        <v>5.7458313786606487E-3</v>
      </c>
      <c r="AB112" s="364">
        <f t="shared" si="4"/>
        <v>3.17516871760074E-3</v>
      </c>
      <c r="AC112" s="364">
        <f t="shared" si="4"/>
        <v>3.17516871760074E-3</v>
      </c>
      <c r="AD112" s="364">
        <f t="shared" si="4"/>
        <v>3.17516871760074E-3</v>
      </c>
      <c r="AE112" s="364">
        <f t="shared" si="4"/>
        <v>3.17516871760074E-3</v>
      </c>
      <c r="AF112" s="364">
        <f t="shared" si="4"/>
        <v>3.17516871760074E-3</v>
      </c>
      <c r="AG112" s="364">
        <f t="shared" si="4"/>
        <v>2.9353943905638862</v>
      </c>
      <c r="AH112" s="364">
        <f t="shared" si="4"/>
        <v>-1.3373984355134004E-2</v>
      </c>
      <c r="AI112" s="364">
        <f t="shared" si="4"/>
        <v>-1.1168466179409052E-2</v>
      </c>
      <c r="AJ112" s="364">
        <f t="shared" si="4"/>
        <v>-1.3373984355134004E-2</v>
      </c>
      <c r="AK112" s="364">
        <f t="shared" si="4"/>
        <v>-1.3373984355134004E-2</v>
      </c>
      <c r="AL112" s="364">
        <f t="shared" si="4"/>
        <v>-1.1168466179409052E-2</v>
      </c>
      <c r="AM112" s="364">
        <f t="shared" si="4"/>
        <v>-1.1168466179409052E-2</v>
      </c>
      <c r="AN112" s="364">
        <f t="shared" si="4"/>
        <v>-4.7845614421207936E-3</v>
      </c>
      <c r="AO112" s="364">
        <f t="shared" si="4"/>
        <v>-4.7845614421207936E-3</v>
      </c>
      <c r="AP112" s="298"/>
      <c r="AQ112" s="298"/>
    </row>
    <row r="113" spans="3:43" x14ac:dyDescent="0.25">
      <c r="D113"/>
      <c r="E113" s="76"/>
      <c r="F113" t="s">
        <v>254</v>
      </c>
      <c r="G113" t="s">
        <v>252</v>
      </c>
      <c r="H113" s="327"/>
      <c r="J113" s="231">
        <f t="shared" si="5"/>
        <v>24.80870367645797</v>
      </c>
      <c r="K113" s="231">
        <f t="shared" si="4"/>
        <v>0</v>
      </c>
      <c r="L113" s="231">
        <f t="shared" si="4"/>
        <v>5.9909489853432492</v>
      </c>
      <c r="M113" s="231">
        <f t="shared" si="4"/>
        <v>31.427777473814636</v>
      </c>
      <c r="N113" s="231">
        <f t="shared" si="4"/>
        <v>64.440608083949726</v>
      </c>
      <c r="O113" s="231">
        <f t="shared" si="4"/>
        <v>132.2207583422894</v>
      </c>
      <c r="P113" s="231">
        <f t="shared" si="4"/>
        <v>377.08313473223967</v>
      </c>
      <c r="Q113" s="231">
        <f t="shared" si="4"/>
        <v>0</v>
      </c>
      <c r="R113" s="231">
        <f t="shared" si="4"/>
        <v>23.764953284910149</v>
      </c>
      <c r="S113" s="231">
        <f t="shared" si="4"/>
        <v>712.96308210894517</v>
      </c>
      <c r="T113" s="231">
        <f t="shared" si="4"/>
        <v>1228.1116766369119</v>
      </c>
      <c r="U113" s="231">
        <f t="shared" si="4"/>
        <v>2054.6199530152444</v>
      </c>
      <c r="V113" s="231">
        <f t="shared" si="4"/>
        <v>4445.8137949006077</v>
      </c>
      <c r="W113" s="231">
        <f t="shared" si="4"/>
        <v>8.3876305711447596</v>
      </c>
      <c r="X113" s="231">
        <f t="shared" si="4"/>
        <v>697.58575939517959</v>
      </c>
      <c r="Y113" s="231">
        <f t="shared" si="4"/>
        <v>1212.7343539231463</v>
      </c>
      <c r="Z113" s="231">
        <f t="shared" si="4"/>
        <v>2039.242630301479</v>
      </c>
      <c r="AA113" s="231">
        <f t="shared" si="4"/>
        <v>4430.4364721868405</v>
      </c>
      <c r="AB113" s="231">
        <f t="shared" si="4"/>
        <v>126.99377480279705</v>
      </c>
      <c r="AC113" s="231">
        <f t="shared" si="4"/>
        <v>3571.7979291543343</v>
      </c>
      <c r="AD113" s="231">
        <f t="shared" si="4"/>
        <v>10572.423737341047</v>
      </c>
      <c r="AE113" s="231">
        <f t="shared" si="4"/>
        <v>21419.777131261737</v>
      </c>
      <c r="AF113" s="231">
        <f t="shared" si="4"/>
        <v>56601.828788528117</v>
      </c>
      <c r="AG113" s="231">
        <f t="shared" si="4"/>
        <v>0</v>
      </c>
      <c r="AH113" s="231">
        <f t="shared" si="4"/>
        <v>0</v>
      </c>
      <c r="AI113" s="231">
        <f t="shared" si="4"/>
        <v>0</v>
      </c>
      <c r="AJ113" s="231">
        <f t="shared" si="4"/>
        <v>0</v>
      </c>
      <c r="AK113" s="231">
        <f t="shared" si="4"/>
        <v>0</v>
      </c>
      <c r="AL113" s="231">
        <f t="shared" si="4"/>
        <v>0</v>
      </c>
      <c r="AM113" s="231">
        <f t="shared" si="4"/>
        <v>0</v>
      </c>
      <c r="AN113" s="231">
        <f t="shared" si="4"/>
        <v>92.733244183596881</v>
      </c>
      <c r="AO113" s="231">
        <f t="shared" si="4"/>
        <v>92.733244183596881</v>
      </c>
    </row>
    <row r="114" spans="3:43" x14ac:dyDescent="0.25">
      <c r="D114"/>
      <c r="E114" s="76"/>
      <c r="F114" t="s">
        <v>255</v>
      </c>
      <c r="G114" t="s">
        <v>251</v>
      </c>
      <c r="H114" s="327"/>
      <c r="J114" s="231">
        <f t="shared" si="5"/>
        <v>0</v>
      </c>
      <c r="K114" s="231">
        <f t="shared" si="4"/>
        <v>0</v>
      </c>
      <c r="L114" s="231">
        <f t="shared" si="4"/>
        <v>0</v>
      </c>
      <c r="M114" s="231">
        <f t="shared" si="4"/>
        <v>0</v>
      </c>
      <c r="N114" s="231">
        <f t="shared" si="4"/>
        <v>0</v>
      </c>
      <c r="O114" s="231">
        <f t="shared" si="4"/>
        <v>0</v>
      </c>
      <c r="P114" s="231">
        <f t="shared" si="4"/>
        <v>0</v>
      </c>
      <c r="Q114" s="231">
        <f t="shared" si="4"/>
        <v>0</v>
      </c>
      <c r="R114" s="231">
        <f t="shared" si="4"/>
        <v>2.9404507692016573</v>
      </c>
      <c r="S114" s="231">
        <f t="shared" si="4"/>
        <v>2.9404507692016573</v>
      </c>
      <c r="T114" s="231">
        <f t="shared" si="4"/>
        <v>2.9404507692016573</v>
      </c>
      <c r="U114" s="231">
        <f t="shared" si="4"/>
        <v>2.9404507692016573</v>
      </c>
      <c r="V114" s="231">
        <f t="shared" si="4"/>
        <v>2.9404507692016573</v>
      </c>
      <c r="W114" s="231">
        <f t="shared" si="4"/>
        <v>5.4245039682001561</v>
      </c>
      <c r="X114" s="231">
        <f t="shared" si="4"/>
        <v>5.4245039682001561</v>
      </c>
      <c r="Y114" s="231">
        <f t="shared" si="4"/>
        <v>5.4245039682001561</v>
      </c>
      <c r="Z114" s="231">
        <f t="shared" si="4"/>
        <v>5.4245039682001561</v>
      </c>
      <c r="AA114" s="231">
        <f t="shared" si="4"/>
        <v>5.4245039682001561</v>
      </c>
      <c r="AB114" s="231">
        <f t="shared" si="4"/>
        <v>5.9690070627261953</v>
      </c>
      <c r="AC114" s="231">
        <f t="shared" si="4"/>
        <v>5.9690070627261953</v>
      </c>
      <c r="AD114" s="231">
        <f t="shared" si="4"/>
        <v>5.9690070627261953</v>
      </c>
      <c r="AE114" s="231">
        <f t="shared" si="4"/>
        <v>5.9690070627261953</v>
      </c>
      <c r="AF114" s="231">
        <f t="shared" si="4"/>
        <v>5.9690070627261953</v>
      </c>
      <c r="AG114" s="231">
        <f t="shared" si="4"/>
        <v>0</v>
      </c>
      <c r="AH114" s="231">
        <f t="shared" si="4"/>
        <v>0</v>
      </c>
      <c r="AI114" s="231">
        <f t="shared" si="4"/>
        <v>0</v>
      </c>
      <c r="AJ114" s="231">
        <f t="shared" si="4"/>
        <v>0</v>
      </c>
      <c r="AK114" s="231">
        <f t="shared" si="4"/>
        <v>0</v>
      </c>
      <c r="AL114" s="231">
        <f t="shared" si="4"/>
        <v>0</v>
      </c>
      <c r="AM114" s="231">
        <f t="shared" si="4"/>
        <v>0</v>
      </c>
      <c r="AN114" s="231">
        <f t="shared" si="4"/>
        <v>0</v>
      </c>
      <c r="AO114" s="231">
        <f t="shared" si="4"/>
        <v>0</v>
      </c>
    </row>
    <row r="115" spans="3:43" x14ac:dyDescent="0.25">
      <c r="D115"/>
      <c r="E115" s="76"/>
      <c r="F115" t="s">
        <v>256</v>
      </c>
      <c r="G115" t="s">
        <v>251</v>
      </c>
      <c r="H115" s="327"/>
      <c r="J115" s="231">
        <f t="shared" si="5"/>
        <v>0</v>
      </c>
      <c r="K115" s="231">
        <f t="shared" si="4"/>
        <v>0</v>
      </c>
      <c r="L115" s="231">
        <f t="shared" si="4"/>
        <v>0</v>
      </c>
      <c r="M115" s="231">
        <f t="shared" si="4"/>
        <v>0</v>
      </c>
      <c r="N115" s="231">
        <f t="shared" si="4"/>
        <v>0</v>
      </c>
      <c r="O115" s="231">
        <f t="shared" si="4"/>
        <v>0</v>
      </c>
      <c r="P115" s="231">
        <f t="shared" si="4"/>
        <v>0</v>
      </c>
      <c r="Q115" s="231">
        <f t="shared" si="4"/>
        <v>0</v>
      </c>
      <c r="R115" s="231">
        <f t="shared" si="4"/>
        <v>4.2719194296801346</v>
      </c>
      <c r="S115" s="231">
        <f t="shared" si="4"/>
        <v>4.2719194296801346</v>
      </c>
      <c r="T115" s="231">
        <f t="shared" si="4"/>
        <v>4.2719194296801346</v>
      </c>
      <c r="U115" s="231">
        <f t="shared" si="4"/>
        <v>4.2719194296801346</v>
      </c>
      <c r="V115" s="231">
        <f t="shared" si="4"/>
        <v>4.2719194296801346</v>
      </c>
      <c r="W115" s="231">
        <f t="shared" si="4"/>
        <v>6.1822714517718973</v>
      </c>
      <c r="X115" s="231">
        <f t="shared" si="4"/>
        <v>6.1822714517718973</v>
      </c>
      <c r="Y115" s="231">
        <f t="shared" si="4"/>
        <v>6.1822714517718973</v>
      </c>
      <c r="Z115" s="231">
        <f t="shared" si="4"/>
        <v>6.1822714517718973</v>
      </c>
      <c r="AA115" s="231">
        <f t="shared" si="4"/>
        <v>6.1822714517718973</v>
      </c>
      <c r="AB115" s="231">
        <f t="shared" si="4"/>
        <v>7.3529287417940443</v>
      </c>
      <c r="AC115" s="231">
        <f t="shared" si="4"/>
        <v>7.3529287417940443</v>
      </c>
      <c r="AD115" s="231">
        <f t="shared" si="4"/>
        <v>7.3529287417940443</v>
      </c>
      <c r="AE115" s="231">
        <f t="shared" si="4"/>
        <v>7.3529287417940443</v>
      </c>
      <c r="AF115" s="231">
        <f t="shared" si="4"/>
        <v>7.3529287417940443</v>
      </c>
      <c r="AG115" s="231">
        <f t="shared" si="4"/>
        <v>0</v>
      </c>
      <c r="AH115" s="231">
        <f t="shared" si="4"/>
        <v>0</v>
      </c>
      <c r="AI115" s="231">
        <f t="shared" si="4"/>
        <v>0</v>
      </c>
      <c r="AJ115" s="231">
        <f t="shared" si="4"/>
        <v>0</v>
      </c>
      <c r="AK115" s="231">
        <f t="shared" si="4"/>
        <v>0</v>
      </c>
      <c r="AL115" s="231">
        <f t="shared" si="4"/>
        <v>0</v>
      </c>
      <c r="AM115" s="231">
        <f t="shared" si="4"/>
        <v>0</v>
      </c>
      <c r="AN115" s="231">
        <f t="shared" si="4"/>
        <v>0</v>
      </c>
      <c r="AO115" s="231">
        <f t="shared" si="4"/>
        <v>0</v>
      </c>
    </row>
    <row r="116" spans="3:43" x14ac:dyDescent="0.25">
      <c r="D116"/>
      <c r="E116" s="76"/>
      <c r="F116" s="17" t="s">
        <v>257</v>
      </c>
      <c r="G116" s="17" t="s">
        <v>258</v>
      </c>
      <c r="H116" s="310"/>
      <c r="I116" s="300"/>
      <c r="J116" s="311">
        <f t="shared" si="5"/>
        <v>0</v>
      </c>
      <c r="K116" s="311">
        <f t="shared" si="4"/>
        <v>0</v>
      </c>
      <c r="L116" s="311">
        <f t="shared" si="4"/>
        <v>0</v>
      </c>
      <c r="M116" s="311">
        <f t="shared" si="4"/>
        <v>0</v>
      </c>
      <c r="N116" s="311">
        <f t="shared" si="4"/>
        <v>0</v>
      </c>
      <c r="O116" s="311">
        <f t="shared" si="4"/>
        <v>0</v>
      </c>
      <c r="P116" s="311">
        <f t="shared" si="4"/>
        <v>0</v>
      </c>
      <c r="Q116" s="311">
        <f t="shared" si="4"/>
        <v>0</v>
      </c>
      <c r="R116" s="311">
        <f t="shared" si="4"/>
        <v>0.14921334832108674</v>
      </c>
      <c r="S116" s="311">
        <f t="shared" si="4"/>
        <v>0.14921334832108674</v>
      </c>
      <c r="T116" s="311">
        <f t="shared" si="4"/>
        <v>0.14921334832108674</v>
      </c>
      <c r="U116" s="311">
        <f t="shared" si="4"/>
        <v>0.14921334832108674</v>
      </c>
      <c r="V116" s="311">
        <f t="shared" si="4"/>
        <v>0.14921334832108674</v>
      </c>
      <c r="W116" s="311">
        <f t="shared" si="4"/>
        <v>7.5151983325622007E-2</v>
      </c>
      <c r="X116" s="311">
        <f t="shared" si="4"/>
        <v>7.5151983325622007E-2</v>
      </c>
      <c r="Y116" s="311">
        <f t="shared" si="4"/>
        <v>7.5151983325622007E-2</v>
      </c>
      <c r="Z116" s="311">
        <f t="shared" si="4"/>
        <v>7.5151983325622007E-2</v>
      </c>
      <c r="AA116" s="311">
        <f t="shared" si="4"/>
        <v>7.5151983325622007E-2</v>
      </c>
      <c r="AB116" s="311">
        <f t="shared" si="4"/>
        <v>4.7539599896088004E-2</v>
      </c>
      <c r="AC116" s="311">
        <f t="shared" si="4"/>
        <v>4.7539599896088004E-2</v>
      </c>
      <c r="AD116" s="311">
        <f t="shared" si="4"/>
        <v>4.7539599896088004E-2</v>
      </c>
      <c r="AE116" s="311">
        <f t="shared" si="4"/>
        <v>4.7539599896088004E-2</v>
      </c>
      <c r="AF116" s="311">
        <f t="shared" si="4"/>
        <v>4.7539599896088004E-2</v>
      </c>
      <c r="AG116" s="311">
        <f t="shared" si="4"/>
        <v>0</v>
      </c>
      <c r="AH116" s="311">
        <f t="shared" si="4"/>
        <v>0</v>
      </c>
      <c r="AI116" s="311">
        <f t="shared" si="4"/>
        <v>0</v>
      </c>
      <c r="AJ116" s="311">
        <f t="shared" si="4"/>
        <v>0.13504878564133801</v>
      </c>
      <c r="AK116" s="311">
        <f t="shared" si="4"/>
        <v>0</v>
      </c>
      <c r="AL116" s="311">
        <f t="shared" si="4"/>
        <v>0.11742378853173932</v>
      </c>
      <c r="AM116" s="311">
        <f t="shared" si="4"/>
        <v>0</v>
      </c>
      <c r="AN116" s="311">
        <f t="shared" si="4"/>
        <v>9.5740261905297164E-2</v>
      </c>
      <c r="AO116" s="311">
        <f t="shared" si="4"/>
        <v>0</v>
      </c>
      <c r="AP116" s="298"/>
      <c r="AQ116" s="298"/>
    </row>
    <row r="117" spans="3:43" x14ac:dyDescent="0.25">
      <c r="D117" s="52"/>
      <c r="E117"/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  <c r="Z117" s="211"/>
      <c r="AA117" s="211"/>
      <c r="AB117" s="211"/>
      <c r="AC117" s="211"/>
      <c r="AD117" s="211"/>
      <c r="AE117" s="211"/>
      <c r="AF117" s="211"/>
      <c r="AG117" s="211"/>
      <c r="AH117" s="211"/>
      <c r="AI117" s="211"/>
      <c r="AJ117" s="211"/>
      <c r="AK117" s="211"/>
      <c r="AL117" s="211"/>
      <c r="AM117" s="211"/>
      <c r="AN117" s="211"/>
      <c r="AO117" s="211"/>
    </row>
    <row r="118" spans="3:43" x14ac:dyDescent="0.25">
      <c r="C118" s="5" t="str">
        <f ca="1">INDEX('Version control'!$H$36:$H$62,MATCH($A$1,'Version control'!$F$36:$F$62,0),1)&amp;"-G: Tariff forecast, post-adders &amp; discounting"</f>
        <v>Section 520-G: Tariff forecast, post-adders &amp; discounting</v>
      </c>
      <c r="D118" s="5"/>
      <c r="E118" s="5"/>
      <c r="F118" s="5"/>
      <c r="G118" s="5"/>
      <c r="H118" s="5"/>
      <c r="I118" s="5"/>
      <c r="J118" s="205"/>
      <c r="K118" s="205"/>
      <c r="L118" s="205"/>
      <c r="M118" s="205"/>
      <c r="N118" s="205"/>
      <c r="O118" s="205"/>
      <c r="P118" s="205"/>
      <c r="Q118" s="205"/>
      <c r="R118" s="205"/>
      <c r="S118" s="205"/>
      <c r="T118" s="205"/>
      <c r="U118" s="205"/>
      <c r="V118" s="205"/>
      <c r="W118" s="205"/>
      <c r="X118" s="205"/>
      <c r="Y118" s="205"/>
      <c r="Z118" s="205"/>
      <c r="AA118" s="205"/>
      <c r="AB118" s="205"/>
      <c r="AC118" s="205"/>
      <c r="AD118" s="205"/>
      <c r="AE118" s="205"/>
      <c r="AF118" s="205"/>
      <c r="AG118" s="205"/>
      <c r="AH118" s="205"/>
      <c r="AI118" s="205"/>
      <c r="AJ118" s="205"/>
      <c r="AK118" s="205"/>
      <c r="AL118" s="205"/>
      <c r="AM118" s="205"/>
      <c r="AN118" s="205"/>
      <c r="AO118" s="205"/>
      <c r="AP118" s="5"/>
      <c r="AQ118" s="5"/>
    </row>
    <row r="119" spans="3:43" x14ac:dyDescent="0.25"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  <c r="Z119" s="211"/>
      <c r="AA119" s="211"/>
      <c r="AB119" s="211"/>
      <c r="AC119" s="211"/>
      <c r="AD119" s="211"/>
      <c r="AE119" s="211"/>
      <c r="AF119" s="211"/>
      <c r="AG119" s="211"/>
      <c r="AH119" s="211"/>
      <c r="AI119" s="211"/>
      <c r="AJ119" s="211"/>
      <c r="AK119" s="211"/>
      <c r="AL119" s="211"/>
      <c r="AM119" s="211"/>
      <c r="AN119" s="211"/>
      <c r="AO119" s="211"/>
    </row>
    <row r="120" spans="3:43" x14ac:dyDescent="0.25">
      <c r="E120" s="52" t="s">
        <v>981</v>
      </c>
      <c r="F120" s="52"/>
      <c r="I120" t="s">
        <v>359</v>
      </c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  <c r="V120" s="211"/>
      <c r="W120" s="211"/>
      <c r="X120" s="211"/>
      <c r="Y120" s="211"/>
      <c r="Z120" s="211"/>
      <c r="AA120" s="211"/>
      <c r="AB120" s="211"/>
      <c r="AC120" s="211"/>
      <c r="AD120" s="211"/>
      <c r="AE120" s="211"/>
      <c r="AF120" s="211"/>
      <c r="AG120" s="211"/>
      <c r="AH120" s="211"/>
      <c r="AI120" s="211"/>
      <c r="AJ120" s="211"/>
      <c r="AK120" s="211"/>
      <c r="AL120" s="211"/>
      <c r="AM120" s="211"/>
      <c r="AN120" s="211"/>
      <c r="AO120" s="211"/>
      <c r="AQ120" t="s">
        <v>982</v>
      </c>
    </row>
    <row r="121" spans="3:43" x14ac:dyDescent="0.25">
      <c r="E121" s="76"/>
      <c r="F121" s="80" t="s">
        <v>134</v>
      </c>
      <c r="G121" s="80" t="s">
        <v>183</v>
      </c>
      <c r="H121" s="307"/>
      <c r="I121" s="296"/>
      <c r="J121" s="390">
        <f xml:space="preserve"> J110 + J44</f>
        <v>8.299709774288182</v>
      </c>
      <c r="K121" s="390">
        <f t="shared" ref="K121:AO127" si="6" xml:space="preserve"> K110 + K44</f>
        <v>8.299709774288182</v>
      </c>
      <c r="L121" s="390">
        <f t="shared" si="6"/>
        <v>10.017578595522124</v>
      </c>
      <c r="M121" s="390">
        <f t="shared" si="6"/>
        <v>10.017578595522124</v>
      </c>
      <c r="N121" s="390">
        <f t="shared" si="6"/>
        <v>10.017578595522124</v>
      </c>
      <c r="O121" s="390">
        <f t="shared" si="6"/>
        <v>10.017578595522124</v>
      </c>
      <c r="P121" s="390">
        <f t="shared" si="6"/>
        <v>10.017578595522124</v>
      </c>
      <c r="Q121" s="390">
        <f t="shared" si="6"/>
        <v>10.017578595522124</v>
      </c>
      <c r="R121" s="390">
        <f t="shared" si="6"/>
        <v>7.2441646887714617</v>
      </c>
      <c r="S121" s="390">
        <f t="shared" si="6"/>
        <v>7.2441646887714617</v>
      </c>
      <c r="T121" s="390">
        <f t="shared" si="6"/>
        <v>7.2441646887714617</v>
      </c>
      <c r="U121" s="390">
        <f t="shared" si="6"/>
        <v>7.2441646887714617</v>
      </c>
      <c r="V121" s="390">
        <f t="shared" si="6"/>
        <v>7.2441646887714617</v>
      </c>
      <c r="W121" s="390">
        <f t="shared" si="6"/>
        <v>4.1678200402601213</v>
      </c>
      <c r="X121" s="390">
        <f t="shared" si="6"/>
        <v>4.1678200402601213</v>
      </c>
      <c r="Y121" s="390">
        <f t="shared" si="6"/>
        <v>4.1678200402601213</v>
      </c>
      <c r="Z121" s="390">
        <f t="shared" si="6"/>
        <v>4.1678200402601213</v>
      </c>
      <c r="AA121" s="390">
        <f t="shared" si="6"/>
        <v>4.1678200402601213</v>
      </c>
      <c r="AB121" s="390">
        <f t="shared" si="6"/>
        <v>2.8865352453672846</v>
      </c>
      <c r="AC121" s="390">
        <f t="shared" si="6"/>
        <v>2.8865352453672846</v>
      </c>
      <c r="AD121" s="390">
        <f t="shared" si="6"/>
        <v>2.8865352453672846</v>
      </c>
      <c r="AE121" s="390">
        <f t="shared" si="6"/>
        <v>2.8865352453672846</v>
      </c>
      <c r="AF121" s="390">
        <f t="shared" si="6"/>
        <v>2.8865352453672846</v>
      </c>
      <c r="AG121" s="390">
        <f t="shared" si="6"/>
        <v>25.230084138548595</v>
      </c>
      <c r="AH121" s="390">
        <f t="shared" si="6"/>
        <v>-6.5281797312705345</v>
      </c>
      <c r="AI121" s="390">
        <f t="shared" si="6"/>
        <v>-5.6839788146925212</v>
      </c>
      <c r="AJ121" s="390">
        <f t="shared" si="6"/>
        <v>-6.5281797312705345</v>
      </c>
      <c r="AK121" s="390">
        <f t="shared" si="6"/>
        <v>-6.5281797312705345</v>
      </c>
      <c r="AL121" s="390">
        <f t="shared" si="6"/>
        <v>-5.6839788146925212</v>
      </c>
      <c r="AM121" s="390">
        <f t="shared" si="6"/>
        <v>-5.6839788146925212</v>
      </c>
      <c r="AN121" s="390">
        <f t="shared" si="6"/>
        <v>-3.5120732557973353</v>
      </c>
      <c r="AO121" s="390">
        <f t="shared" si="6"/>
        <v>-3.5120732557973353</v>
      </c>
      <c r="AP121" s="298"/>
      <c r="AQ121" s="298"/>
    </row>
    <row r="122" spans="3:43" x14ac:dyDescent="0.25">
      <c r="E122" s="76"/>
      <c r="F122" t="s">
        <v>135</v>
      </c>
      <c r="G122" t="s">
        <v>183</v>
      </c>
      <c r="H122" s="363"/>
      <c r="I122" s="298"/>
      <c r="J122" s="409">
        <f t="shared" ref="J122:J127" si="7" xml:space="preserve"> J111 + J45</f>
        <v>0.95313219533521953</v>
      </c>
      <c r="K122" s="409">
        <f t="shared" si="6"/>
        <v>0.95313219533521953</v>
      </c>
      <c r="L122" s="409">
        <f t="shared" si="6"/>
        <v>1.150410910544398</v>
      </c>
      <c r="M122" s="409">
        <f t="shared" si="6"/>
        <v>1.150410910544398</v>
      </c>
      <c r="N122" s="409">
        <f t="shared" si="6"/>
        <v>1.150410910544398</v>
      </c>
      <c r="O122" s="409">
        <f t="shared" si="6"/>
        <v>1.150410910544398</v>
      </c>
      <c r="P122" s="409">
        <f t="shared" si="6"/>
        <v>1.150410910544398</v>
      </c>
      <c r="Q122" s="409">
        <f t="shared" si="6"/>
        <v>1.150410910544398</v>
      </c>
      <c r="R122" s="409">
        <f t="shared" si="6"/>
        <v>0.78722064913810097</v>
      </c>
      <c r="S122" s="409">
        <f t="shared" si="6"/>
        <v>0.78722064913810097</v>
      </c>
      <c r="T122" s="409">
        <f t="shared" si="6"/>
        <v>0.78722064913810097</v>
      </c>
      <c r="U122" s="409">
        <f t="shared" si="6"/>
        <v>0.78722064913810097</v>
      </c>
      <c r="V122" s="409">
        <f t="shared" si="6"/>
        <v>0.78722064913810097</v>
      </c>
      <c r="W122" s="409">
        <f t="shared" si="6"/>
        <v>0.37434886539562695</v>
      </c>
      <c r="X122" s="409">
        <f t="shared" si="6"/>
        <v>0.37434886539562695</v>
      </c>
      <c r="Y122" s="409">
        <f t="shared" si="6"/>
        <v>0.37434886539562695</v>
      </c>
      <c r="Z122" s="409">
        <f t="shared" si="6"/>
        <v>0.37434886539562695</v>
      </c>
      <c r="AA122" s="409">
        <f t="shared" si="6"/>
        <v>0.37434886539562695</v>
      </c>
      <c r="AB122" s="409">
        <f t="shared" si="6"/>
        <v>0.22923280291328646</v>
      </c>
      <c r="AC122" s="409">
        <f t="shared" si="6"/>
        <v>0.22923280291328646</v>
      </c>
      <c r="AD122" s="409">
        <f t="shared" si="6"/>
        <v>0.22923280291328646</v>
      </c>
      <c r="AE122" s="409">
        <f t="shared" si="6"/>
        <v>0.22923280291328646</v>
      </c>
      <c r="AF122" s="409">
        <f t="shared" si="6"/>
        <v>0.22923280291328646</v>
      </c>
      <c r="AG122" s="409">
        <f t="shared" si="6"/>
        <v>3.8374300354578343</v>
      </c>
      <c r="AH122" s="409">
        <f t="shared" si="6"/>
        <v>-0.74969106728101365</v>
      </c>
      <c r="AI122" s="409">
        <f t="shared" si="6"/>
        <v>-0.63496742960815677</v>
      </c>
      <c r="AJ122" s="409">
        <f t="shared" si="6"/>
        <v>-0.74969106728101365</v>
      </c>
      <c r="AK122" s="409">
        <f t="shared" si="6"/>
        <v>-0.74969106728101365</v>
      </c>
      <c r="AL122" s="409">
        <f t="shared" si="6"/>
        <v>-0.63496742960815677</v>
      </c>
      <c r="AM122" s="409">
        <f t="shared" si="6"/>
        <v>-0.63496742960815677</v>
      </c>
      <c r="AN122" s="409">
        <f t="shared" si="6"/>
        <v>-0.31331277837518495</v>
      </c>
      <c r="AO122" s="409">
        <f t="shared" si="6"/>
        <v>-0.31331277837518495</v>
      </c>
      <c r="AP122" s="298"/>
      <c r="AQ122" s="298"/>
    </row>
    <row r="123" spans="3:43" x14ac:dyDescent="0.25">
      <c r="E123" s="76"/>
      <c r="F123" t="s">
        <v>136</v>
      </c>
      <c r="G123" t="s">
        <v>183</v>
      </c>
      <c r="H123" s="363"/>
      <c r="I123" s="298"/>
      <c r="J123" s="409">
        <f t="shared" si="7"/>
        <v>1.7003237233463812E-2</v>
      </c>
      <c r="K123" s="409">
        <f t="shared" si="6"/>
        <v>1.7003237233463812E-2</v>
      </c>
      <c r="L123" s="409">
        <f t="shared" si="6"/>
        <v>2.0522556811830232E-2</v>
      </c>
      <c r="M123" s="409">
        <f t="shared" si="6"/>
        <v>2.0522556811830232E-2</v>
      </c>
      <c r="N123" s="409">
        <f t="shared" si="6"/>
        <v>2.0522556811830232E-2</v>
      </c>
      <c r="O123" s="409">
        <f t="shared" si="6"/>
        <v>2.0522556811830232E-2</v>
      </c>
      <c r="P123" s="409">
        <f t="shared" si="6"/>
        <v>2.0522556811830232E-2</v>
      </c>
      <c r="Q123" s="409">
        <f t="shared" si="6"/>
        <v>2.0522556811830232E-2</v>
      </c>
      <c r="R123" s="409">
        <f t="shared" si="6"/>
        <v>1.3643911588587573E-2</v>
      </c>
      <c r="S123" s="409">
        <f t="shared" si="6"/>
        <v>1.3643911588587573E-2</v>
      </c>
      <c r="T123" s="409">
        <f t="shared" si="6"/>
        <v>1.3643911588587573E-2</v>
      </c>
      <c r="U123" s="409">
        <f t="shared" si="6"/>
        <v>1.3643911588587573E-2</v>
      </c>
      <c r="V123" s="409">
        <f t="shared" si="6"/>
        <v>1.3643911588587573E-2</v>
      </c>
      <c r="W123" s="409">
        <f t="shared" si="6"/>
        <v>5.7458313786606487E-3</v>
      </c>
      <c r="X123" s="409">
        <f t="shared" si="6"/>
        <v>5.7458313786606487E-3</v>
      </c>
      <c r="Y123" s="409">
        <f t="shared" si="6"/>
        <v>5.7458313786606487E-3</v>
      </c>
      <c r="Z123" s="409">
        <f t="shared" si="6"/>
        <v>5.7458313786606487E-3</v>
      </c>
      <c r="AA123" s="409">
        <f t="shared" si="6"/>
        <v>5.7458313786606487E-3</v>
      </c>
      <c r="AB123" s="409">
        <f t="shared" si="6"/>
        <v>3.17516871760074E-3</v>
      </c>
      <c r="AC123" s="409">
        <f t="shared" si="6"/>
        <v>3.17516871760074E-3</v>
      </c>
      <c r="AD123" s="409">
        <f t="shared" si="6"/>
        <v>3.17516871760074E-3</v>
      </c>
      <c r="AE123" s="409">
        <f t="shared" si="6"/>
        <v>3.17516871760074E-3</v>
      </c>
      <c r="AF123" s="409">
        <f t="shared" si="6"/>
        <v>3.17516871760074E-3</v>
      </c>
      <c r="AG123" s="409">
        <f t="shared" si="6"/>
        <v>2.9353943905638862</v>
      </c>
      <c r="AH123" s="409">
        <f t="shared" si="6"/>
        <v>-1.3373984355134004E-2</v>
      </c>
      <c r="AI123" s="409">
        <f t="shared" si="6"/>
        <v>-1.1168466179409052E-2</v>
      </c>
      <c r="AJ123" s="409">
        <f t="shared" si="6"/>
        <v>-1.3373984355134004E-2</v>
      </c>
      <c r="AK123" s="409">
        <f t="shared" si="6"/>
        <v>-1.3373984355134004E-2</v>
      </c>
      <c r="AL123" s="409">
        <f t="shared" si="6"/>
        <v>-1.1168466179409052E-2</v>
      </c>
      <c r="AM123" s="409">
        <f t="shared" si="6"/>
        <v>-1.1168466179409052E-2</v>
      </c>
      <c r="AN123" s="409">
        <f t="shared" si="6"/>
        <v>-4.7845614421207936E-3</v>
      </c>
      <c r="AO123" s="409">
        <f t="shared" si="6"/>
        <v>-4.7845614421207936E-3</v>
      </c>
      <c r="AP123" s="298"/>
      <c r="AQ123" s="298"/>
    </row>
    <row r="124" spans="3:43" x14ac:dyDescent="0.25">
      <c r="E124" s="76"/>
      <c r="F124" t="s">
        <v>254</v>
      </c>
      <c r="G124" t="s">
        <v>252</v>
      </c>
      <c r="H124" s="327"/>
      <c r="J124" s="221">
        <f t="shared" si="7"/>
        <v>25.285816171262429</v>
      </c>
      <c r="K124" s="221">
        <f t="shared" si="6"/>
        <v>0</v>
      </c>
      <c r="L124" s="221">
        <f t="shared" si="6"/>
        <v>6.3022459907450248</v>
      </c>
      <c r="M124" s="221">
        <f t="shared" si="6"/>
        <v>31.739074479216413</v>
      </c>
      <c r="N124" s="221">
        <f t="shared" si="6"/>
        <v>64.751905089351496</v>
      </c>
      <c r="O124" s="221">
        <f t="shared" si="6"/>
        <v>132.53205534769117</v>
      </c>
      <c r="P124" s="221">
        <f t="shared" si="6"/>
        <v>377.39443173764147</v>
      </c>
      <c r="Q124" s="221">
        <f t="shared" si="6"/>
        <v>0</v>
      </c>
      <c r="R124" s="221">
        <f t="shared" si="6"/>
        <v>24.076250290311926</v>
      </c>
      <c r="S124" s="221">
        <f t="shared" si="6"/>
        <v>713.27437911434697</v>
      </c>
      <c r="T124" s="221">
        <f t="shared" si="6"/>
        <v>1228.4229736423135</v>
      </c>
      <c r="U124" s="221">
        <f t="shared" si="6"/>
        <v>2054.9312500206461</v>
      </c>
      <c r="V124" s="221">
        <f t="shared" si="6"/>
        <v>4446.1250919060094</v>
      </c>
      <c r="W124" s="221">
        <f t="shared" si="6"/>
        <v>8.6989275765465361</v>
      </c>
      <c r="X124" s="221">
        <f t="shared" si="6"/>
        <v>697.89705640058139</v>
      </c>
      <c r="Y124" s="221">
        <f t="shared" si="6"/>
        <v>1213.045650928548</v>
      </c>
      <c r="Z124" s="221">
        <f t="shared" si="6"/>
        <v>2039.5539273068807</v>
      </c>
      <c r="AA124" s="221">
        <f t="shared" si="6"/>
        <v>4430.7477691922422</v>
      </c>
      <c r="AB124" s="221">
        <f t="shared" si="6"/>
        <v>127.30507180819882</v>
      </c>
      <c r="AC124" s="221">
        <f t="shared" si="6"/>
        <v>3572.109226159736</v>
      </c>
      <c r="AD124" s="221">
        <f t="shared" si="6"/>
        <v>10572.73503434645</v>
      </c>
      <c r="AE124" s="221">
        <f t="shared" si="6"/>
        <v>21420.08842826714</v>
      </c>
      <c r="AF124" s="221">
        <f t="shared" si="6"/>
        <v>56602.140085533516</v>
      </c>
      <c r="AG124" s="221">
        <f t="shared" si="6"/>
        <v>0</v>
      </c>
      <c r="AH124" s="221">
        <f t="shared" si="6"/>
        <v>0</v>
      </c>
      <c r="AI124" s="221">
        <f t="shared" si="6"/>
        <v>0</v>
      </c>
      <c r="AJ124" s="221">
        <f t="shared" si="6"/>
        <v>0</v>
      </c>
      <c r="AK124" s="221">
        <f t="shared" si="6"/>
        <v>0</v>
      </c>
      <c r="AL124" s="221">
        <f t="shared" si="6"/>
        <v>0</v>
      </c>
      <c r="AM124" s="221">
        <f t="shared" si="6"/>
        <v>0</v>
      </c>
      <c r="AN124" s="221">
        <f t="shared" si="6"/>
        <v>92.733244183596881</v>
      </c>
      <c r="AO124" s="221">
        <f t="shared" si="6"/>
        <v>92.733244183596881</v>
      </c>
    </row>
    <row r="125" spans="3:43" x14ac:dyDescent="0.25">
      <c r="E125" s="76"/>
      <c r="F125" t="s">
        <v>255</v>
      </c>
      <c r="G125" t="s">
        <v>251</v>
      </c>
      <c r="H125" s="327"/>
      <c r="J125" s="221">
        <f t="shared" si="7"/>
        <v>0</v>
      </c>
      <c r="K125" s="221">
        <f t="shared" si="6"/>
        <v>0</v>
      </c>
      <c r="L125" s="221">
        <f t="shared" si="6"/>
        <v>0</v>
      </c>
      <c r="M125" s="221">
        <f t="shared" si="6"/>
        <v>0</v>
      </c>
      <c r="N125" s="221">
        <f t="shared" si="6"/>
        <v>0</v>
      </c>
      <c r="O125" s="221">
        <f t="shared" si="6"/>
        <v>0</v>
      </c>
      <c r="P125" s="221">
        <f t="shared" si="6"/>
        <v>0</v>
      </c>
      <c r="Q125" s="221">
        <f t="shared" si="6"/>
        <v>0</v>
      </c>
      <c r="R125" s="221">
        <f t="shared" si="6"/>
        <v>2.9404507692016573</v>
      </c>
      <c r="S125" s="221">
        <f t="shared" si="6"/>
        <v>2.9404507692016573</v>
      </c>
      <c r="T125" s="221">
        <f t="shared" si="6"/>
        <v>2.9404507692016573</v>
      </c>
      <c r="U125" s="221">
        <f t="shared" si="6"/>
        <v>2.9404507692016573</v>
      </c>
      <c r="V125" s="221">
        <f t="shared" si="6"/>
        <v>2.9404507692016573</v>
      </c>
      <c r="W125" s="221">
        <f t="shared" si="6"/>
        <v>5.4245039682001561</v>
      </c>
      <c r="X125" s="221">
        <f t="shared" si="6"/>
        <v>5.4245039682001561</v>
      </c>
      <c r="Y125" s="221">
        <f t="shared" si="6"/>
        <v>5.4245039682001561</v>
      </c>
      <c r="Z125" s="221">
        <f t="shared" si="6"/>
        <v>5.4245039682001561</v>
      </c>
      <c r="AA125" s="221">
        <f t="shared" si="6"/>
        <v>5.4245039682001561</v>
      </c>
      <c r="AB125" s="221">
        <f t="shared" si="6"/>
        <v>5.9690070627261953</v>
      </c>
      <c r="AC125" s="221">
        <f t="shared" si="6"/>
        <v>5.9690070627261953</v>
      </c>
      <c r="AD125" s="221">
        <f t="shared" si="6"/>
        <v>5.9690070627261953</v>
      </c>
      <c r="AE125" s="221">
        <f t="shared" si="6"/>
        <v>5.9690070627261953</v>
      </c>
      <c r="AF125" s="221">
        <f t="shared" si="6"/>
        <v>5.9690070627261953</v>
      </c>
      <c r="AG125" s="221">
        <f t="shared" si="6"/>
        <v>0</v>
      </c>
      <c r="AH125" s="221">
        <f t="shared" si="6"/>
        <v>0</v>
      </c>
      <c r="AI125" s="221">
        <f t="shared" si="6"/>
        <v>0</v>
      </c>
      <c r="AJ125" s="221">
        <f t="shared" si="6"/>
        <v>0</v>
      </c>
      <c r="AK125" s="221">
        <f t="shared" si="6"/>
        <v>0</v>
      </c>
      <c r="AL125" s="221">
        <f t="shared" si="6"/>
        <v>0</v>
      </c>
      <c r="AM125" s="221">
        <f t="shared" si="6"/>
        <v>0</v>
      </c>
      <c r="AN125" s="221">
        <f t="shared" si="6"/>
        <v>0</v>
      </c>
      <c r="AO125" s="221">
        <f t="shared" si="6"/>
        <v>0</v>
      </c>
    </row>
    <row r="126" spans="3:43" x14ac:dyDescent="0.25">
      <c r="E126" s="76"/>
      <c r="F126" t="s">
        <v>256</v>
      </c>
      <c r="G126" t="s">
        <v>251</v>
      </c>
      <c r="H126" s="327"/>
      <c r="J126" s="221">
        <f t="shared" si="7"/>
        <v>0</v>
      </c>
      <c r="K126" s="221">
        <f t="shared" si="6"/>
        <v>0</v>
      </c>
      <c r="L126" s="221">
        <f t="shared" si="6"/>
        <v>0</v>
      </c>
      <c r="M126" s="221">
        <f t="shared" si="6"/>
        <v>0</v>
      </c>
      <c r="N126" s="221">
        <f t="shared" si="6"/>
        <v>0</v>
      </c>
      <c r="O126" s="221">
        <f t="shared" si="6"/>
        <v>0</v>
      </c>
      <c r="P126" s="221">
        <f t="shared" si="6"/>
        <v>0</v>
      </c>
      <c r="Q126" s="221">
        <f t="shared" si="6"/>
        <v>0</v>
      </c>
      <c r="R126" s="221">
        <f t="shared" si="6"/>
        <v>4.2719194296801346</v>
      </c>
      <c r="S126" s="221">
        <f t="shared" si="6"/>
        <v>4.2719194296801346</v>
      </c>
      <c r="T126" s="221">
        <f t="shared" si="6"/>
        <v>4.2719194296801346</v>
      </c>
      <c r="U126" s="221">
        <f t="shared" si="6"/>
        <v>4.2719194296801346</v>
      </c>
      <c r="V126" s="221">
        <f t="shared" si="6"/>
        <v>4.2719194296801346</v>
      </c>
      <c r="W126" s="221">
        <f t="shared" si="6"/>
        <v>6.1822714517718973</v>
      </c>
      <c r="X126" s="221">
        <f t="shared" si="6"/>
        <v>6.1822714517718973</v>
      </c>
      <c r="Y126" s="221">
        <f t="shared" si="6"/>
        <v>6.1822714517718973</v>
      </c>
      <c r="Z126" s="221">
        <f t="shared" si="6"/>
        <v>6.1822714517718973</v>
      </c>
      <c r="AA126" s="221">
        <f t="shared" si="6"/>
        <v>6.1822714517718973</v>
      </c>
      <c r="AB126" s="221">
        <f t="shared" si="6"/>
        <v>7.3529287417940443</v>
      </c>
      <c r="AC126" s="221">
        <f t="shared" si="6"/>
        <v>7.3529287417940443</v>
      </c>
      <c r="AD126" s="221">
        <f t="shared" si="6"/>
        <v>7.3529287417940443</v>
      </c>
      <c r="AE126" s="221">
        <f t="shared" si="6"/>
        <v>7.3529287417940443</v>
      </c>
      <c r="AF126" s="221">
        <f t="shared" si="6"/>
        <v>7.3529287417940443</v>
      </c>
      <c r="AG126" s="221">
        <f t="shared" si="6"/>
        <v>0</v>
      </c>
      <c r="AH126" s="221">
        <f t="shared" si="6"/>
        <v>0</v>
      </c>
      <c r="AI126" s="221">
        <f t="shared" si="6"/>
        <v>0</v>
      </c>
      <c r="AJ126" s="221">
        <f t="shared" si="6"/>
        <v>0</v>
      </c>
      <c r="AK126" s="221">
        <f t="shared" si="6"/>
        <v>0</v>
      </c>
      <c r="AL126" s="221">
        <f t="shared" si="6"/>
        <v>0</v>
      </c>
      <c r="AM126" s="221">
        <f t="shared" si="6"/>
        <v>0</v>
      </c>
      <c r="AN126" s="221">
        <f t="shared" si="6"/>
        <v>0</v>
      </c>
      <c r="AO126" s="221">
        <f t="shared" si="6"/>
        <v>0</v>
      </c>
    </row>
    <row r="127" spans="3:43" x14ac:dyDescent="0.25">
      <c r="E127" s="76"/>
      <c r="F127" s="17" t="s">
        <v>257</v>
      </c>
      <c r="G127" s="17" t="s">
        <v>258</v>
      </c>
      <c r="H127" s="310"/>
      <c r="I127" s="300"/>
      <c r="J127" s="311">
        <f t="shared" si="7"/>
        <v>0</v>
      </c>
      <c r="K127" s="311">
        <f t="shared" si="6"/>
        <v>0</v>
      </c>
      <c r="L127" s="311">
        <f t="shared" si="6"/>
        <v>0</v>
      </c>
      <c r="M127" s="311">
        <f t="shared" si="6"/>
        <v>0</v>
      </c>
      <c r="N127" s="311">
        <f t="shared" si="6"/>
        <v>0</v>
      </c>
      <c r="O127" s="311">
        <f t="shared" si="6"/>
        <v>0</v>
      </c>
      <c r="P127" s="311">
        <f t="shared" si="6"/>
        <v>0</v>
      </c>
      <c r="Q127" s="311">
        <f t="shared" si="6"/>
        <v>0</v>
      </c>
      <c r="R127" s="311">
        <f t="shared" si="6"/>
        <v>0.14921334832108674</v>
      </c>
      <c r="S127" s="311">
        <f t="shared" si="6"/>
        <v>0.14921334832108674</v>
      </c>
      <c r="T127" s="311">
        <f t="shared" si="6"/>
        <v>0.14921334832108674</v>
      </c>
      <c r="U127" s="311">
        <f t="shared" si="6"/>
        <v>0.14921334832108674</v>
      </c>
      <c r="V127" s="311">
        <f t="shared" si="6"/>
        <v>0.14921334832108674</v>
      </c>
      <c r="W127" s="311">
        <f t="shared" si="6"/>
        <v>7.5151983325622007E-2</v>
      </c>
      <c r="X127" s="311">
        <f t="shared" si="6"/>
        <v>7.5151983325622007E-2</v>
      </c>
      <c r="Y127" s="311">
        <f t="shared" si="6"/>
        <v>7.5151983325622007E-2</v>
      </c>
      <c r="Z127" s="311">
        <f t="shared" si="6"/>
        <v>7.5151983325622007E-2</v>
      </c>
      <c r="AA127" s="311">
        <f t="shared" si="6"/>
        <v>7.5151983325622007E-2</v>
      </c>
      <c r="AB127" s="311">
        <f t="shared" si="6"/>
        <v>4.7539599896088004E-2</v>
      </c>
      <c r="AC127" s="311">
        <f t="shared" si="6"/>
        <v>4.7539599896088004E-2</v>
      </c>
      <c r="AD127" s="311">
        <f t="shared" si="6"/>
        <v>4.7539599896088004E-2</v>
      </c>
      <c r="AE127" s="311">
        <f t="shared" si="6"/>
        <v>4.7539599896088004E-2</v>
      </c>
      <c r="AF127" s="311">
        <f t="shared" si="6"/>
        <v>4.7539599896088004E-2</v>
      </c>
      <c r="AG127" s="311">
        <f t="shared" si="6"/>
        <v>0</v>
      </c>
      <c r="AH127" s="311">
        <f t="shared" si="6"/>
        <v>0</v>
      </c>
      <c r="AI127" s="311">
        <f t="shared" si="6"/>
        <v>0</v>
      </c>
      <c r="AJ127" s="311">
        <f t="shared" si="6"/>
        <v>0.13504878564133801</v>
      </c>
      <c r="AK127" s="311">
        <f t="shared" si="6"/>
        <v>0</v>
      </c>
      <c r="AL127" s="311">
        <f t="shared" si="6"/>
        <v>0.11742378853173932</v>
      </c>
      <c r="AM127" s="311">
        <f t="shared" si="6"/>
        <v>0</v>
      </c>
      <c r="AN127" s="311">
        <f t="shared" si="6"/>
        <v>9.5740261905297164E-2</v>
      </c>
      <c r="AO127" s="311">
        <f t="shared" si="6"/>
        <v>0</v>
      </c>
      <c r="AP127" s="298"/>
      <c r="AQ127" s="298"/>
    </row>
    <row r="128" spans="3:43" x14ac:dyDescent="0.25">
      <c r="E128" s="52"/>
      <c r="J128" s="211"/>
      <c r="K128" s="211"/>
      <c r="L128" s="211"/>
      <c r="M128" s="211"/>
      <c r="N128" s="211"/>
      <c r="O128" s="211"/>
      <c r="P128" s="211"/>
      <c r="Q128" s="211"/>
      <c r="R128" s="211"/>
      <c r="S128" s="211"/>
      <c r="T128" s="211"/>
      <c r="U128" s="211"/>
      <c r="V128" s="211"/>
      <c r="W128" s="211"/>
      <c r="X128" s="211"/>
      <c r="Y128" s="211"/>
      <c r="Z128" s="211"/>
      <c r="AA128" s="211"/>
      <c r="AB128" s="211"/>
      <c r="AC128" s="211"/>
      <c r="AD128" s="211"/>
      <c r="AE128" s="211"/>
      <c r="AF128" s="211"/>
      <c r="AG128" s="211"/>
      <c r="AH128" s="211"/>
      <c r="AI128" s="211"/>
      <c r="AJ128" s="211"/>
      <c r="AK128" s="211"/>
      <c r="AL128" s="211"/>
      <c r="AM128" s="211"/>
      <c r="AN128" s="211"/>
      <c r="AO128" s="211"/>
    </row>
    <row r="129" spans="3:43" x14ac:dyDescent="0.25">
      <c r="E129" s="52" t="s">
        <v>983</v>
      </c>
      <c r="I129" t="s">
        <v>359</v>
      </c>
      <c r="J129" s="211"/>
      <c r="K129" s="211"/>
      <c r="L129" s="211"/>
      <c r="M129" s="211"/>
      <c r="N129" s="211"/>
      <c r="O129" s="211"/>
      <c r="P129" s="211"/>
      <c r="Q129" s="211"/>
      <c r="R129" s="211"/>
      <c r="S129" s="211"/>
      <c r="T129" s="211"/>
      <c r="U129" s="211"/>
      <c r="V129" s="211"/>
      <c r="W129" s="211"/>
      <c r="X129" s="211"/>
      <c r="Y129" s="211"/>
      <c r="Z129" s="211"/>
      <c r="AA129" s="211"/>
      <c r="AB129" s="211"/>
      <c r="AC129" s="211"/>
      <c r="AD129" s="211"/>
      <c r="AE129" s="211"/>
      <c r="AF129" s="211"/>
      <c r="AG129" s="211"/>
      <c r="AH129" s="211"/>
      <c r="AI129" s="211"/>
      <c r="AJ129" s="211"/>
      <c r="AK129" s="211"/>
      <c r="AL129" s="211"/>
      <c r="AM129" s="211"/>
      <c r="AN129" s="211"/>
      <c r="AO129" s="211"/>
      <c r="AQ129" t="s">
        <v>982</v>
      </c>
    </row>
    <row r="130" spans="3:43" x14ac:dyDescent="0.25">
      <c r="E130" s="76"/>
      <c r="F130" s="80" t="s">
        <v>134</v>
      </c>
      <c r="G130" s="80" t="s">
        <v>183</v>
      </c>
      <c r="H130" s="307"/>
      <c r="I130" s="296"/>
      <c r="J130" s="309">
        <f t="shared" ref="J130:AJ136" si="8" xml:space="preserve"> J110 * (1 - J75) + J44</f>
        <v>4.9280031242683604</v>
      </c>
      <c r="K130" s="309">
        <f t="shared" si="8"/>
        <v>4.9280031242683604</v>
      </c>
      <c r="L130" s="309">
        <f t="shared" si="8"/>
        <v>5.9479981781134965</v>
      </c>
      <c r="M130" s="309">
        <f t="shared" si="8"/>
        <v>5.9479981781134965</v>
      </c>
      <c r="N130" s="309">
        <f t="shared" si="8"/>
        <v>5.9479981781134965</v>
      </c>
      <c r="O130" s="309">
        <f t="shared" si="8"/>
        <v>5.9479981781134965</v>
      </c>
      <c r="P130" s="309">
        <f t="shared" si="8"/>
        <v>5.9479981781134965</v>
      </c>
      <c r="Q130" s="309">
        <f t="shared" si="8"/>
        <v>5.9479981781134965</v>
      </c>
      <c r="R130" s="309">
        <f t="shared" si="8"/>
        <v>4.3012668141208605</v>
      </c>
      <c r="S130" s="309">
        <f t="shared" si="8"/>
        <v>4.3012668141208605</v>
      </c>
      <c r="T130" s="309">
        <f t="shared" si="8"/>
        <v>4.3012668141208605</v>
      </c>
      <c r="U130" s="309">
        <f t="shared" si="8"/>
        <v>4.3012668141208605</v>
      </c>
      <c r="V130" s="309">
        <f t="shared" si="8"/>
        <v>4.3012668141208605</v>
      </c>
      <c r="W130" s="308"/>
      <c r="X130" s="308"/>
      <c r="Y130" s="308"/>
      <c r="Z130" s="308"/>
      <c r="AA130" s="308"/>
      <c r="AB130" s="308"/>
      <c r="AC130" s="308"/>
      <c r="AD130" s="308"/>
      <c r="AE130" s="308"/>
      <c r="AF130" s="308"/>
      <c r="AG130" s="309">
        <f t="shared" si="8"/>
        <v>14.980515806166787</v>
      </c>
      <c r="AH130" s="309">
        <f t="shared" si="8"/>
        <v>-6.5281797312705345</v>
      </c>
      <c r="AI130" s="308"/>
      <c r="AJ130" s="309">
        <f t="shared" si="8"/>
        <v>-6.5281797312705345</v>
      </c>
      <c r="AK130" s="308"/>
      <c r="AL130" s="308"/>
      <c r="AM130" s="308"/>
      <c r="AN130" s="308"/>
      <c r="AO130" s="308"/>
      <c r="AP130" s="298"/>
      <c r="AQ130" s="298"/>
    </row>
    <row r="131" spans="3:43" x14ac:dyDescent="0.25">
      <c r="E131" s="76"/>
      <c r="F131" t="s">
        <v>135</v>
      </c>
      <c r="G131" t="s">
        <v>183</v>
      </c>
      <c r="H131" s="363"/>
      <c r="I131" s="298"/>
      <c r="J131" s="409">
        <f t="shared" si="8"/>
        <v>0.56592803413485149</v>
      </c>
      <c r="K131" s="409">
        <f t="shared" si="8"/>
        <v>0.56592803413485149</v>
      </c>
      <c r="L131" s="409">
        <f t="shared" si="8"/>
        <v>0.68306347035386783</v>
      </c>
      <c r="M131" s="409">
        <f t="shared" si="8"/>
        <v>0.68306347035386783</v>
      </c>
      <c r="N131" s="409">
        <f t="shared" si="8"/>
        <v>0.68306347035386783</v>
      </c>
      <c r="O131" s="409">
        <f t="shared" si="8"/>
        <v>0.68306347035386783</v>
      </c>
      <c r="P131" s="409">
        <f t="shared" si="8"/>
        <v>0.68306347035386783</v>
      </c>
      <c r="Q131" s="409">
        <f t="shared" si="8"/>
        <v>0.68306347035386783</v>
      </c>
      <c r="R131" s="409">
        <f t="shared" si="8"/>
        <v>0.4674170451669612</v>
      </c>
      <c r="S131" s="409">
        <f t="shared" si="8"/>
        <v>0.4674170451669612</v>
      </c>
      <c r="T131" s="409">
        <f t="shared" si="8"/>
        <v>0.4674170451669612</v>
      </c>
      <c r="U131" s="409">
        <f t="shared" si="8"/>
        <v>0.4674170451669612</v>
      </c>
      <c r="V131" s="409">
        <f t="shared" si="8"/>
        <v>0.4674170451669612</v>
      </c>
      <c r="W131" s="365"/>
      <c r="X131" s="365"/>
      <c r="Y131" s="365"/>
      <c r="Z131" s="365"/>
      <c r="AA131" s="365"/>
      <c r="AB131" s="365"/>
      <c r="AC131" s="365"/>
      <c r="AD131" s="365"/>
      <c r="AE131" s="365"/>
      <c r="AF131" s="365"/>
      <c r="AG131" s="409">
        <f t="shared" si="8"/>
        <v>2.2784974075216176</v>
      </c>
      <c r="AH131" s="409">
        <f t="shared" si="8"/>
        <v>-0.74969106728101365</v>
      </c>
      <c r="AI131" s="365"/>
      <c r="AJ131" s="409">
        <f t="shared" si="8"/>
        <v>-0.74969106728101365</v>
      </c>
      <c r="AK131" s="365"/>
      <c r="AL131" s="365"/>
      <c r="AM131" s="365"/>
      <c r="AN131" s="365"/>
      <c r="AO131" s="365"/>
      <c r="AP131" s="298"/>
      <c r="AQ131" s="298"/>
    </row>
    <row r="132" spans="3:43" x14ac:dyDescent="0.25">
      <c r="E132" s="76"/>
      <c r="F132" t="s">
        <v>136</v>
      </c>
      <c r="G132" t="s">
        <v>183</v>
      </c>
      <c r="H132" s="363"/>
      <c r="I132" s="298"/>
      <c r="J132" s="409">
        <f t="shared" si="8"/>
        <v>1.0095775453349769E-2</v>
      </c>
      <c r="K132" s="409">
        <f t="shared" si="8"/>
        <v>1.0095775453349769E-2</v>
      </c>
      <c r="L132" s="409">
        <f t="shared" si="8"/>
        <v>1.21853928434923E-2</v>
      </c>
      <c r="M132" s="409">
        <f t="shared" si="8"/>
        <v>1.21853928434923E-2</v>
      </c>
      <c r="N132" s="409">
        <f t="shared" si="8"/>
        <v>1.21853928434923E-2</v>
      </c>
      <c r="O132" s="409">
        <f t="shared" si="8"/>
        <v>1.21853928434923E-2</v>
      </c>
      <c r="P132" s="409">
        <f t="shared" si="8"/>
        <v>1.21853928434923E-2</v>
      </c>
      <c r="Q132" s="409">
        <f t="shared" si="8"/>
        <v>1.21853928434923E-2</v>
      </c>
      <c r="R132" s="409">
        <f t="shared" si="8"/>
        <v>8.1011554336630279E-3</v>
      </c>
      <c r="S132" s="409">
        <f t="shared" si="8"/>
        <v>8.1011554336630279E-3</v>
      </c>
      <c r="T132" s="409">
        <f t="shared" si="8"/>
        <v>8.1011554336630279E-3</v>
      </c>
      <c r="U132" s="409">
        <f t="shared" si="8"/>
        <v>8.1011554336630279E-3</v>
      </c>
      <c r="V132" s="409">
        <f t="shared" si="8"/>
        <v>8.1011554336630279E-3</v>
      </c>
      <c r="W132" s="365"/>
      <c r="X132" s="365"/>
      <c r="Y132" s="365"/>
      <c r="Z132" s="365"/>
      <c r="AA132" s="365"/>
      <c r="AB132" s="365"/>
      <c r="AC132" s="365"/>
      <c r="AD132" s="365"/>
      <c r="AE132" s="365"/>
      <c r="AF132" s="365"/>
      <c r="AG132" s="409">
        <f t="shared" si="8"/>
        <v>1.7429082607770203</v>
      </c>
      <c r="AH132" s="409">
        <f t="shared" si="8"/>
        <v>-1.3373984355134004E-2</v>
      </c>
      <c r="AI132" s="365"/>
      <c r="AJ132" s="409">
        <f t="shared" si="8"/>
        <v>-1.3373984355134004E-2</v>
      </c>
      <c r="AK132" s="365"/>
      <c r="AL132" s="365"/>
      <c r="AM132" s="365"/>
      <c r="AN132" s="365"/>
      <c r="AO132" s="365"/>
      <c r="AP132" s="298"/>
      <c r="AQ132" s="298"/>
    </row>
    <row r="133" spans="3:43" x14ac:dyDescent="0.25">
      <c r="E133" s="76"/>
      <c r="F133" t="s">
        <v>254</v>
      </c>
      <c r="G133" t="s">
        <v>252</v>
      </c>
      <c r="H133" s="327"/>
      <c r="J133" s="221">
        <f t="shared" si="8"/>
        <v>15.207431090446937</v>
      </c>
      <c r="K133" s="221">
        <f t="shared" si="8"/>
        <v>0</v>
      </c>
      <c r="L133" s="221">
        <f t="shared" si="8"/>
        <v>3.8684593785446308</v>
      </c>
      <c r="M133" s="221">
        <f t="shared" si="8"/>
        <v>18.97173089907394</v>
      </c>
      <c r="N133" s="221">
        <f t="shared" si="8"/>
        <v>38.573299726417744</v>
      </c>
      <c r="O133" s="221">
        <f t="shared" si="8"/>
        <v>78.818175911274921</v>
      </c>
      <c r="P133" s="221">
        <f t="shared" si="8"/>
        <v>224.20670017071993</v>
      </c>
      <c r="Q133" s="221">
        <f t="shared" si="8"/>
        <v>0</v>
      </c>
      <c r="R133" s="221">
        <f t="shared" si="8"/>
        <v>14.421882462129149</v>
      </c>
      <c r="S133" s="221">
        <f t="shared" si="8"/>
        <v>423.63746040997853</v>
      </c>
      <c r="T133" s="221">
        <f t="shared" si="8"/>
        <v>729.51006949334862</v>
      </c>
      <c r="U133" s="221">
        <f t="shared" si="8"/>
        <v>1220.2543821250997</v>
      </c>
      <c r="V133" s="221">
        <f t="shared" si="8"/>
        <v>2640.0402594635593</v>
      </c>
      <c r="W133" s="234"/>
      <c r="X133" s="234"/>
      <c r="Y133" s="234"/>
      <c r="Z133" s="234"/>
      <c r="AA133" s="234"/>
      <c r="AB133" s="234"/>
      <c r="AC133" s="234"/>
      <c r="AD133" s="234"/>
      <c r="AE133" s="234"/>
      <c r="AF133" s="234"/>
      <c r="AG133" s="221">
        <f t="shared" si="8"/>
        <v>0</v>
      </c>
      <c r="AH133" s="221">
        <f t="shared" si="8"/>
        <v>0</v>
      </c>
      <c r="AI133" s="234"/>
      <c r="AJ133" s="221">
        <f t="shared" si="8"/>
        <v>0</v>
      </c>
      <c r="AK133" s="234"/>
      <c r="AL133" s="234"/>
      <c r="AM133" s="234"/>
      <c r="AN133" s="234"/>
      <c r="AO133" s="234"/>
    </row>
    <row r="134" spans="3:43" x14ac:dyDescent="0.25">
      <c r="E134" s="76"/>
      <c r="F134" t="s">
        <v>255</v>
      </c>
      <c r="G134" t="s">
        <v>251</v>
      </c>
      <c r="H134" s="327"/>
      <c r="J134" s="221">
        <f t="shared" si="8"/>
        <v>0</v>
      </c>
      <c r="K134" s="221">
        <f t="shared" si="8"/>
        <v>0</v>
      </c>
      <c r="L134" s="221">
        <f t="shared" si="8"/>
        <v>0</v>
      </c>
      <c r="M134" s="221">
        <f t="shared" si="8"/>
        <v>0</v>
      </c>
      <c r="N134" s="221">
        <f t="shared" si="8"/>
        <v>0</v>
      </c>
      <c r="O134" s="221">
        <f t="shared" si="8"/>
        <v>0</v>
      </c>
      <c r="P134" s="221">
        <f t="shared" si="8"/>
        <v>0</v>
      </c>
      <c r="Q134" s="221">
        <f t="shared" si="8"/>
        <v>0</v>
      </c>
      <c r="R134" s="221">
        <f t="shared" si="8"/>
        <v>1.745910516325957</v>
      </c>
      <c r="S134" s="221">
        <f t="shared" si="8"/>
        <v>1.745910516325957</v>
      </c>
      <c r="T134" s="221">
        <f t="shared" si="8"/>
        <v>1.745910516325957</v>
      </c>
      <c r="U134" s="221">
        <f t="shared" si="8"/>
        <v>1.745910516325957</v>
      </c>
      <c r="V134" s="221">
        <f t="shared" si="8"/>
        <v>1.745910516325957</v>
      </c>
      <c r="W134" s="234"/>
      <c r="X134" s="234"/>
      <c r="Y134" s="234"/>
      <c r="Z134" s="234"/>
      <c r="AA134" s="234"/>
      <c r="AB134" s="234"/>
      <c r="AC134" s="234"/>
      <c r="AD134" s="234"/>
      <c r="AE134" s="234"/>
      <c r="AF134" s="234"/>
      <c r="AG134" s="221">
        <f t="shared" si="8"/>
        <v>0</v>
      </c>
      <c r="AH134" s="221">
        <f t="shared" si="8"/>
        <v>0</v>
      </c>
      <c r="AI134" s="234"/>
      <c r="AJ134" s="221">
        <f t="shared" si="8"/>
        <v>0</v>
      </c>
      <c r="AK134" s="234"/>
      <c r="AL134" s="234"/>
      <c r="AM134" s="234"/>
      <c r="AN134" s="234"/>
      <c r="AO134" s="234"/>
    </row>
    <row r="135" spans="3:43" x14ac:dyDescent="0.25">
      <c r="E135" s="76"/>
      <c r="F135" t="s">
        <v>256</v>
      </c>
      <c r="G135" t="s">
        <v>251</v>
      </c>
      <c r="H135" s="327"/>
      <c r="J135" s="221">
        <f t="shared" si="8"/>
        <v>0</v>
      </c>
      <c r="K135" s="221">
        <f t="shared" si="8"/>
        <v>0</v>
      </c>
      <c r="L135" s="221">
        <f t="shared" si="8"/>
        <v>0</v>
      </c>
      <c r="M135" s="221">
        <f t="shared" si="8"/>
        <v>0</v>
      </c>
      <c r="N135" s="221">
        <f t="shared" si="8"/>
        <v>0</v>
      </c>
      <c r="O135" s="221">
        <f t="shared" si="8"/>
        <v>0</v>
      </c>
      <c r="P135" s="221">
        <f t="shared" si="8"/>
        <v>0</v>
      </c>
      <c r="Q135" s="221">
        <f t="shared" si="8"/>
        <v>0</v>
      </c>
      <c r="R135" s="221">
        <f t="shared" si="8"/>
        <v>2.5364781261754334</v>
      </c>
      <c r="S135" s="221">
        <f t="shared" si="8"/>
        <v>2.5364781261754334</v>
      </c>
      <c r="T135" s="221">
        <f t="shared" si="8"/>
        <v>2.5364781261754334</v>
      </c>
      <c r="U135" s="221">
        <f t="shared" si="8"/>
        <v>2.5364781261754334</v>
      </c>
      <c r="V135" s="221">
        <f t="shared" si="8"/>
        <v>2.5364781261754334</v>
      </c>
      <c r="W135" s="234"/>
      <c r="X135" s="234"/>
      <c r="Y135" s="234"/>
      <c r="Z135" s="234"/>
      <c r="AA135" s="234"/>
      <c r="AB135" s="234"/>
      <c r="AC135" s="234"/>
      <c r="AD135" s="234"/>
      <c r="AE135" s="234"/>
      <c r="AF135" s="234"/>
      <c r="AG135" s="221">
        <f t="shared" si="8"/>
        <v>0</v>
      </c>
      <c r="AH135" s="221">
        <f t="shared" si="8"/>
        <v>0</v>
      </c>
      <c r="AI135" s="234"/>
      <c r="AJ135" s="221">
        <f t="shared" si="8"/>
        <v>0</v>
      </c>
      <c r="AK135" s="234"/>
      <c r="AL135" s="234"/>
      <c r="AM135" s="234"/>
      <c r="AN135" s="234"/>
      <c r="AO135" s="234"/>
    </row>
    <row r="136" spans="3:43" x14ac:dyDescent="0.25">
      <c r="E136" s="76"/>
      <c r="F136" s="17" t="s">
        <v>257</v>
      </c>
      <c r="G136" s="17" t="s">
        <v>258</v>
      </c>
      <c r="H136" s="310"/>
      <c r="I136" s="300"/>
      <c r="J136" s="311">
        <f t="shared" si="8"/>
        <v>0</v>
      </c>
      <c r="K136" s="311">
        <f t="shared" si="8"/>
        <v>0</v>
      </c>
      <c r="L136" s="311">
        <f t="shared" si="8"/>
        <v>0</v>
      </c>
      <c r="M136" s="311">
        <f t="shared" si="8"/>
        <v>0</v>
      </c>
      <c r="N136" s="311">
        <f t="shared" si="8"/>
        <v>0</v>
      </c>
      <c r="O136" s="311">
        <f t="shared" si="8"/>
        <v>0</v>
      </c>
      <c r="P136" s="311">
        <f t="shared" si="8"/>
        <v>0</v>
      </c>
      <c r="Q136" s="311">
        <f t="shared" si="8"/>
        <v>0</v>
      </c>
      <c r="R136" s="311">
        <f t="shared" si="8"/>
        <v>8.8596332487050497E-2</v>
      </c>
      <c r="S136" s="311">
        <f t="shared" si="8"/>
        <v>8.8596332487050497E-2</v>
      </c>
      <c r="T136" s="311">
        <f t="shared" si="8"/>
        <v>8.8596332487050497E-2</v>
      </c>
      <c r="U136" s="311">
        <f t="shared" si="8"/>
        <v>8.8596332487050497E-2</v>
      </c>
      <c r="V136" s="311">
        <f t="shared" si="8"/>
        <v>8.8596332487050497E-2</v>
      </c>
      <c r="W136" s="305"/>
      <c r="X136" s="305"/>
      <c r="Y136" s="305"/>
      <c r="Z136" s="305"/>
      <c r="AA136" s="305"/>
      <c r="AB136" s="305"/>
      <c r="AC136" s="305"/>
      <c r="AD136" s="305"/>
      <c r="AE136" s="305"/>
      <c r="AF136" s="305"/>
      <c r="AG136" s="311">
        <f t="shared" si="8"/>
        <v>0</v>
      </c>
      <c r="AH136" s="311">
        <f t="shared" si="8"/>
        <v>0</v>
      </c>
      <c r="AI136" s="305"/>
      <c r="AJ136" s="311">
        <f t="shared" si="8"/>
        <v>0.13504878564133801</v>
      </c>
      <c r="AK136" s="305"/>
      <c r="AL136" s="305"/>
      <c r="AM136" s="305"/>
      <c r="AN136" s="305"/>
      <c r="AO136" s="305"/>
      <c r="AP136" s="298"/>
      <c r="AQ136" s="298"/>
    </row>
    <row r="137" spans="3:43" x14ac:dyDescent="0.25">
      <c r="E137" s="76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</row>
    <row r="138" spans="3:43" x14ac:dyDescent="0.25">
      <c r="E138" s="52" t="s">
        <v>984</v>
      </c>
      <c r="I138" t="s">
        <v>359</v>
      </c>
      <c r="J138" s="211"/>
      <c r="K138" s="211"/>
      <c r="L138" s="211"/>
      <c r="M138" s="211"/>
      <c r="N138" s="211"/>
      <c r="O138" s="211"/>
      <c r="P138" s="211"/>
      <c r="Q138" s="211"/>
      <c r="R138" s="211"/>
      <c r="S138" s="211"/>
      <c r="T138" s="211"/>
      <c r="U138" s="211"/>
      <c r="V138" s="211"/>
      <c r="W138" s="211"/>
      <c r="X138" s="211"/>
      <c r="Y138" s="211"/>
      <c r="Z138" s="211"/>
      <c r="AA138" s="211"/>
      <c r="AB138" s="211"/>
      <c r="AC138" s="211"/>
      <c r="AD138" s="211"/>
      <c r="AE138" s="211"/>
      <c r="AF138" s="211"/>
      <c r="AG138" s="211"/>
      <c r="AH138" s="211"/>
      <c r="AI138" s="211"/>
      <c r="AJ138" s="211"/>
      <c r="AK138" s="211"/>
      <c r="AL138" s="211"/>
      <c r="AM138" s="211"/>
      <c r="AN138" s="211"/>
      <c r="AO138" s="211"/>
      <c r="AQ138" t="s">
        <v>982</v>
      </c>
    </row>
    <row r="139" spans="3:43" x14ac:dyDescent="0.25">
      <c r="C139" s="76"/>
      <c r="F139" s="80" t="s">
        <v>134</v>
      </c>
      <c r="G139" s="80" t="s">
        <v>183</v>
      </c>
      <c r="H139" s="307"/>
      <c r="I139" s="296"/>
      <c r="J139" s="309">
        <f t="shared" ref="J139:AN145" si="9">J110 * (1 - J84) + J44</f>
        <v>3.2618156189287317</v>
      </c>
      <c r="K139" s="309">
        <f t="shared" si="9"/>
        <v>3.2618156189287317</v>
      </c>
      <c r="L139" s="309">
        <f t="shared" si="9"/>
        <v>3.9369442083319837</v>
      </c>
      <c r="M139" s="309">
        <f t="shared" si="9"/>
        <v>3.9369442083319837</v>
      </c>
      <c r="N139" s="309">
        <f t="shared" si="9"/>
        <v>3.9369442083319837</v>
      </c>
      <c r="O139" s="309">
        <f t="shared" si="9"/>
        <v>3.9369442083319837</v>
      </c>
      <c r="P139" s="309">
        <f t="shared" si="9"/>
        <v>3.9369442083319837</v>
      </c>
      <c r="Q139" s="309">
        <f t="shared" si="9"/>
        <v>3.9369442083319837</v>
      </c>
      <c r="R139" s="309">
        <f t="shared" si="9"/>
        <v>2.8469826259621569</v>
      </c>
      <c r="S139" s="309">
        <f t="shared" si="9"/>
        <v>2.8469826259621569</v>
      </c>
      <c r="T139" s="309">
        <f t="shared" si="9"/>
        <v>2.8469826259621569</v>
      </c>
      <c r="U139" s="309">
        <f t="shared" si="9"/>
        <v>2.8469826259621569</v>
      </c>
      <c r="V139" s="309">
        <f t="shared" si="9"/>
        <v>2.8469826259621569</v>
      </c>
      <c r="W139" s="309">
        <f t="shared" si="9"/>
        <v>2.7631004262606749</v>
      </c>
      <c r="X139" s="309">
        <f t="shared" si="9"/>
        <v>2.7631004262606749</v>
      </c>
      <c r="Y139" s="309">
        <f t="shared" si="9"/>
        <v>2.7631004262606749</v>
      </c>
      <c r="Z139" s="309">
        <f t="shared" si="9"/>
        <v>2.7631004262606749</v>
      </c>
      <c r="AA139" s="309">
        <f t="shared" si="9"/>
        <v>2.7631004262606749</v>
      </c>
      <c r="AB139" s="309">
        <f t="shared" si="9"/>
        <v>2.1956086660487304</v>
      </c>
      <c r="AC139" s="309">
        <f t="shared" si="9"/>
        <v>2.1956086660487304</v>
      </c>
      <c r="AD139" s="309">
        <f t="shared" si="9"/>
        <v>2.1956086660487304</v>
      </c>
      <c r="AE139" s="309">
        <f t="shared" si="9"/>
        <v>2.1956086660487304</v>
      </c>
      <c r="AF139" s="309">
        <f t="shared" si="9"/>
        <v>2.1956086660487304</v>
      </c>
      <c r="AG139" s="309">
        <f t="shared" si="9"/>
        <v>9.9155132827595658</v>
      </c>
      <c r="AH139" s="309">
        <f t="shared" si="9"/>
        <v>-6.5281797312705345</v>
      </c>
      <c r="AI139" s="309">
        <f t="shared" si="9"/>
        <v>-5.6839788146925212</v>
      </c>
      <c r="AJ139" s="309">
        <f t="shared" si="9"/>
        <v>-6.5281797312705345</v>
      </c>
      <c r="AK139" s="308"/>
      <c r="AL139" s="309">
        <f t="shared" si="9"/>
        <v>-5.6839788146925212</v>
      </c>
      <c r="AM139" s="308"/>
      <c r="AN139" s="309">
        <f t="shared" si="9"/>
        <v>-3.5120732557973353</v>
      </c>
      <c r="AO139" s="308"/>
      <c r="AP139" s="298"/>
      <c r="AQ139" s="298"/>
    </row>
    <row r="140" spans="3:43" x14ac:dyDescent="0.25">
      <c r="C140" s="76"/>
      <c r="F140" t="s">
        <v>135</v>
      </c>
      <c r="G140" t="s">
        <v>183</v>
      </c>
      <c r="H140" s="363"/>
      <c r="I140" s="298"/>
      <c r="J140" s="409">
        <f t="shared" si="9"/>
        <v>0.37458436092301622</v>
      </c>
      <c r="K140" s="409">
        <f t="shared" si="9"/>
        <v>0.37458436092301622</v>
      </c>
      <c r="L140" s="409">
        <f t="shared" si="9"/>
        <v>0.4521156014183117</v>
      </c>
      <c r="M140" s="409">
        <f t="shared" si="9"/>
        <v>0.4521156014183117</v>
      </c>
      <c r="N140" s="409">
        <f t="shared" si="9"/>
        <v>0.4521156014183117</v>
      </c>
      <c r="O140" s="409">
        <f t="shared" si="9"/>
        <v>0.4521156014183117</v>
      </c>
      <c r="P140" s="409">
        <f t="shared" si="9"/>
        <v>0.4521156014183117</v>
      </c>
      <c r="Q140" s="409">
        <f t="shared" si="9"/>
        <v>0.4521156014183117</v>
      </c>
      <c r="R140" s="409">
        <f t="shared" si="9"/>
        <v>0.30938053001041177</v>
      </c>
      <c r="S140" s="409">
        <f t="shared" si="9"/>
        <v>0.30938053001041177</v>
      </c>
      <c r="T140" s="409">
        <f t="shared" si="9"/>
        <v>0.30938053001041177</v>
      </c>
      <c r="U140" s="409">
        <f t="shared" si="9"/>
        <v>0.30938053001041177</v>
      </c>
      <c r="V140" s="409">
        <f t="shared" si="9"/>
        <v>0.30938053001041177</v>
      </c>
      <c r="W140" s="409">
        <f t="shared" si="9"/>
        <v>0.24817854407175899</v>
      </c>
      <c r="X140" s="409">
        <f t="shared" si="9"/>
        <v>0.24817854407175899</v>
      </c>
      <c r="Y140" s="409">
        <f t="shared" si="9"/>
        <v>0.24817854407175899</v>
      </c>
      <c r="Z140" s="409">
        <f t="shared" si="9"/>
        <v>0.24817854407175899</v>
      </c>
      <c r="AA140" s="409">
        <f t="shared" si="9"/>
        <v>0.24817854407175899</v>
      </c>
      <c r="AB140" s="409">
        <f t="shared" si="9"/>
        <v>0.1743632021908714</v>
      </c>
      <c r="AC140" s="409">
        <f t="shared" si="9"/>
        <v>0.1743632021908714</v>
      </c>
      <c r="AD140" s="409">
        <f t="shared" si="9"/>
        <v>0.1743632021908714</v>
      </c>
      <c r="AE140" s="409">
        <f t="shared" si="9"/>
        <v>0.1743632021908714</v>
      </c>
      <c r="AF140" s="409">
        <f t="shared" si="9"/>
        <v>0.1743632021908714</v>
      </c>
      <c r="AG140" s="409">
        <f t="shared" si="9"/>
        <v>1.5081237256005269</v>
      </c>
      <c r="AH140" s="409">
        <f t="shared" si="9"/>
        <v>-0.74969106728101365</v>
      </c>
      <c r="AI140" s="409">
        <f t="shared" si="9"/>
        <v>-0.63496742960815677</v>
      </c>
      <c r="AJ140" s="409">
        <f t="shared" si="9"/>
        <v>-0.74969106728101365</v>
      </c>
      <c r="AK140" s="365"/>
      <c r="AL140" s="409">
        <f t="shared" si="9"/>
        <v>-0.63496742960815677</v>
      </c>
      <c r="AM140" s="365"/>
      <c r="AN140" s="409">
        <f t="shared" si="9"/>
        <v>-0.31331277837518495</v>
      </c>
      <c r="AO140" s="365"/>
      <c r="AP140" s="298"/>
      <c r="AQ140" s="298"/>
    </row>
    <row r="141" spans="3:43" x14ac:dyDescent="0.25">
      <c r="C141" s="76"/>
      <c r="F141" t="s">
        <v>136</v>
      </c>
      <c r="G141" t="s">
        <v>183</v>
      </c>
      <c r="H141" s="363"/>
      <c r="I141" s="298"/>
      <c r="J141" s="409">
        <f t="shared" si="9"/>
        <v>6.6823330319667022E-3</v>
      </c>
      <c r="K141" s="409">
        <f t="shared" si="9"/>
        <v>6.6823330319667022E-3</v>
      </c>
      <c r="L141" s="409">
        <f t="shared" si="9"/>
        <v>8.0654382104488956E-3</v>
      </c>
      <c r="M141" s="409">
        <f t="shared" si="9"/>
        <v>8.0654382104488956E-3</v>
      </c>
      <c r="N141" s="409">
        <f t="shared" si="9"/>
        <v>8.0654382104488956E-3</v>
      </c>
      <c r="O141" s="409">
        <f t="shared" si="9"/>
        <v>8.0654382104488956E-3</v>
      </c>
      <c r="P141" s="409">
        <f t="shared" si="9"/>
        <v>8.0654382104488956E-3</v>
      </c>
      <c r="Q141" s="409">
        <f t="shared" si="9"/>
        <v>8.0654382104488956E-3</v>
      </c>
      <c r="R141" s="409">
        <f t="shared" si="9"/>
        <v>5.36210604144342E-3</v>
      </c>
      <c r="S141" s="409">
        <f t="shared" si="9"/>
        <v>5.36210604144342E-3</v>
      </c>
      <c r="T141" s="409">
        <f t="shared" si="9"/>
        <v>5.36210604144342E-3</v>
      </c>
      <c r="U141" s="409">
        <f t="shared" si="9"/>
        <v>5.36210604144342E-3</v>
      </c>
      <c r="V141" s="409">
        <f t="shared" si="9"/>
        <v>5.36210604144342E-3</v>
      </c>
      <c r="W141" s="409">
        <f t="shared" si="9"/>
        <v>3.8092597516778412E-3</v>
      </c>
      <c r="X141" s="409">
        <f t="shared" si="9"/>
        <v>3.8092597516778412E-3</v>
      </c>
      <c r="Y141" s="409">
        <f t="shared" si="9"/>
        <v>3.8092597516778412E-3</v>
      </c>
      <c r="Z141" s="409">
        <f t="shared" si="9"/>
        <v>3.8092597516778412E-3</v>
      </c>
      <c r="AA141" s="409">
        <f t="shared" si="9"/>
        <v>3.8092597516778412E-3</v>
      </c>
      <c r="AB141" s="409">
        <f t="shared" si="9"/>
        <v>2.4151542801078701E-3</v>
      </c>
      <c r="AC141" s="409">
        <f t="shared" si="9"/>
        <v>2.4151542801078701E-3</v>
      </c>
      <c r="AD141" s="409">
        <f t="shared" si="9"/>
        <v>2.4151542801078701E-3</v>
      </c>
      <c r="AE141" s="409">
        <f t="shared" si="9"/>
        <v>2.4151542801078701E-3</v>
      </c>
      <c r="AF141" s="409">
        <f t="shared" si="9"/>
        <v>2.4151542801078701E-3</v>
      </c>
      <c r="AG141" s="409">
        <f t="shared" si="9"/>
        <v>1.1536204917090895</v>
      </c>
      <c r="AH141" s="409">
        <f t="shared" si="9"/>
        <v>-1.3373984355134004E-2</v>
      </c>
      <c r="AI141" s="409">
        <f t="shared" si="9"/>
        <v>-1.1168466179409052E-2</v>
      </c>
      <c r="AJ141" s="409">
        <f t="shared" si="9"/>
        <v>-1.3373984355134004E-2</v>
      </c>
      <c r="AK141" s="365"/>
      <c r="AL141" s="409">
        <f t="shared" si="9"/>
        <v>-1.1168466179409052E-2</v>
      </c>
      <c r="AM141" s="365"/>
      <c r="AN141" s="409">
        <f t="shared" si="9"/>
        <v>-4.7845614421207936E-3</v>
      </c>
      <c r="AO141" s="365"/>
      <c r="AP141" s="298"/>
      <c r="AQ141" s="298"/>
    </row>
    <row r="142" spans="3:43" x14ac:dyDescent="0.25">
      <c r="C142" s="76"/>
      <c r="F142" t="s">
        <v>254</v>
      </c>
      <c r="G142" t="s">
        <v>252</v>
      </c>
      <c r="H142" s="327"/>
      <c r="J142" s="221">
        <f t="shared" si="9"/>
        <v>10.22702174921395</v>
      </c>
      <c r="K142" s="221">
        <f t="shared" si="9"/>
        <v>0</v>
      </c>
      <c r="L142" s="221">
        <f t="shared" si="9"/>
        <v>2.6657613787387096</v>
      </c>
      <c r="M142" s="221">
        <f t="shared" si="9"/>
        <v>12.662525930282703</v>
      </c>
      <c r="N142" s="221">
        <f t="shared" si="9"/>
        <v>25.636686405481054</v>
      </c>
      <c r="O142" s="221">
        <f t="shared" si="9"/>
        <v>52.274527821441886</v>
      </c>
      <c r="P142" s="221">
        <f t="shared" si="9"/>
        <v>148.50631730774899</v>
      </c>
      <c r="Q142" s="221">
        <f t="shared" si="9"/>
        <v>0</v>
      </c>
      <c r="R142" s="221">
        <f t="shared" si="9"/>
        <v>9.65100862374927</v>
      </c>
      <c r="S142" s="221">
        <f t="shared" si="9"/>
        <v>280.50833764734091</v>
      </c>
      <c r="T142" s="221">
        <f t="shared" si="9"/>
        <v>482.96357733608261</v>
      </c>
      <c r="U142" s="221">
        <f t="shared" si="9"/>
        <v>807.78428533438398</v>
      </c>
      <c r="V142" s="221">
        <f t="shared" si="9"/>
        <v>1747.5320154912263</v>
      </c>
      <c r="W142" s="221">
        <f t="shared" si="9"/>
        <v>5.8719655041790659</v>
      </c>
      <c r="X142" s="221">
        <f t="shared" si="9"/>
        <v>462.78316251759378</v>
      </c>
      <c r="Y142" s="221">
        <f t="shared" si="9"/>
        <v>804.3063778623175</v>
      </c>
      <c r="Z142" s="221">
        <f t="shared" si="9"/>
        <v>1352.2487910924278</v>
      </c>
      <c r="AA142" s="221">
        <f t="shared" si="9"/>
        <v>2937.5160675012676</v>
      </c>
      <c r="AB142" s="221">
        <f t="shared" si="9"/>
        <v>96.907599766216933</v>
      </c>
      <c r="AC142" s="221">
        <f t="shared" si="9"/>
        <v>2717.1568644421886</v>
      </c>
      <c r="AD142" s="221">
        <f t="shared" si="9"/>
        <v>8042.0995329538891</v>
      </c>
      <c r="AE142" s="221">
        <f t="shared" si="9"/>
        <v>16293.009738748015</v>
      </c>
      <c r="AF142" s="221">
        <f t="shared" si="9"/>
        <v>43053.818439089839</v>
      </c>
      <c r="AG142" s="221">
        <f t="shared" si="9"/>
        <v>0</v>
      </c>
      <c r="AH142" s="221">
        <f t="shared" si="9"/>
        <v>0</v>
      </c>
      <c r="AI142" s="221">
        <f t="shared" si="9"/>
        <v>0</v>
      </c>
      <c r="AJ142" s="221">
        <f t="shared" si="9"/>
        <v>0</v>
      </c>
      <c r="AK142" s="234"/>
      <c r="AL142" s="221">
        <f t="shared" si="9"/>
        <v>0</v>
      </c>
      <c r="AM142" s="234"/>
      <c r="AN142" s="221">
        <f t="shared" si="9"/>
        <v>0</v>
      </c>
      <c r="AO142" s="234"/>
    </row>
    <row r="143" spans="3:43" x14ac:dyDescent="0.25">
      <c r="C143" s="76"/>
      <c r="F143" t="s">
        <v>255</v>
      </c>
      <c r="G143" t="s">
        <v>251</v>
      </c>
      <c r="H143" s="327"/>
      <c r="J143" s="221">
        <f t="shared" si="9"/>
        <v>0</v>
      </c>
      <c r="K143" s="221">
        <f t="shared" si="9"/>
        <v>0</v>
      </c>
      <c r="L143" s="221">
        <f t="shared" si="9"/>
        <v>0</v>
      </c>
      <c r="M143" s="221">
        <f t="shared" si="9"/>
        <v>0</v>
      </c>
      <c r="N143" s="221">
        <f t="shared" si="9"/>
        <v>0</v>
      </c>
      <c r="O143" s="221">
        <f t="shared" si="9"/>
        <v>0</v>
      </c>
      <c r="P143" s="221">
        <f t="shared" si="9"/>
        <v>0</v>
      </c>
      <c r="Q143" s="221">
        <f t="shared" si="9"/>
        <v>0</v>
      </c>
      <c r="R143" s="221">
        <f t="shared" si="9"/>
        <v>1.1556076665940469</v>
      </c>
      <c r="S143" s="221">
        <f t="shared" si="9"/>
        <v>1.1556076665940469</v>
      </c>
      <c r="T143" s="221">
        <f t="shared" si="9"/>
        <v>1.1556076665940469</v>
      </c>
      <c r="U143" s="221">
        <f t="shared" si="9"/>
        <v>1.1556076665940469</v>
      </c>
      <c r="V143" s="221">
        <f t="shared" si="9"/>
        <v>1.1556076665940469</v>
      </c>
      <c r="W143" s="221">
        <f t="shared" si="9"/>
        <v>3.5962323425680149</v>
      </c>
      <c r="X143" s="221">
        <f t="shared" si="9"/>
        <v>3.5962323425680149</v>
      </c>
      <c r="Y143" s="221">
        <f t="shared" si="9"/>
        <v>3.5962323425680149</v>
      </c>
      <c r="Z143" s="221">
        <f t="shared" si="9"/>
        <v>3.5962323425680149</v>
      </c>
      <c r="AA143" s="221">
        <f t="shared" si="9"/>
        <v>3.5962323425680149</v>
      </c>
      <c r="AB143" s="221">
        <f t="shared" si="9"/>
        <v>4.5402541526771296</v>
      </c>
      <c r="AC143" s="221">
        <f t="shared" si="9"/>
        <v>4.5402541526771296</v>
      </c>
      <c r="AD143" s="221">
        <f t="shared" si="9"/>
        <v>4.5402541526771296</v>
      </c>
      <c r="AE143" s="221">
        <f t="shared" si="9"/>
        <v>4.5402541526771296</v>
      </c>
      <c r="AF143" s="221">
        <f t="shared" si="9"/>
        <v>4.5402541526771296</v>
      </c>
      <c r="AG143" s="221">
        <f t="shared" si="9"/>
        <v>0</v>
      </c>
      <c r="AH143" s="221">
        <f t="shared" si="9"/>
        <v>0</v>
      </c>
      <c r="AI143" s="221">
        <f t="shared" si="9"/>
        <v>0</v>
      </c>
      <c r="AJ143" s="221">
        <f t="shared" si="9"/>
        <v>0</v>
      </c>
      <c r="AK143" s="234"/>
      <c r="AL143" s="221">
        <f t="shared" si="9"/>
        <v>0</v>
      </c>
      <c r="AM143" s="234"/>
      <c r="AN143" s="221">
        <f t="shared" si="9"/>
        <v>0</v>
      </c>
      <c r="AO143" s="234"/>
    </row>
    <row r="144" spans="3:43" x14ac:dyDescent="0.25">
      <c r="C144" s="76"/>
      <c r="F144" t="s">
        <v>256</v>
      </c>
      <c r="G144" t="s">
        <v>251</v>
      </c>
      <c r="H144" s="327"/>
      <c r="J144" s="221">
        <f t="shared" si="9"/>
        <v>0</v>
      </c>
      <c r="K144" s="221">
        <f t="shared" si="9"/>
        <v>0</v>
      </c>
      <c r="L144" s="221">
        <f t="shared" si="9"/>
        <v>0</v>
      </c>
      <c r="M144" s="221">
        <f t="shared" si="9"/>
        <v>0</v>
      </c>
      <c r="N144" s="221">
        <f t="shared" si="9"/>
        <v>0</v>
      </c>
      <c r="O144" s="221">
        <f t="shared" si="9"/>
        <v>0</v>
      </c>
      <c r="P144" s="221">
        <f t="shared" si="9"/>
        <v>0</v>
      </c>
      <c r="Q144" s="221">
        <f t="shared" si="9"/>
        <v>0</v>
      </c>
      <c r="R144" s="221">
        <f t="shared" si="9"/>
        <v>1.6788796111525284</v>
      </c>
      <c r="S144" s="221">
        <f t="shared" si="9"/>
        <v>1.6788796111525284</v>
      </c>
      <c r="T144" s="221">
        <f t="shared" si="9"/>
        <v>1.6788796111525284</v>
      </c>
      <c r="U144" s="221">
        <f t="shared" si="9"/>
        <v>1.6788796111525284</v>
      </c>
      <c r="V144" s="221">
        <f t="shared" si="9"/>
        <v>1.6788796111525284</v>
      </c>
      <c r="W144" s="221">
        <f t="shared" si="9"/>
        <v>4.0986023193515804</v>
      </c>
      <c r="X144" s="221">
        <f t="shared" si="9"/>
        <v>4.0986023193515804</v>
      </c>
      <c r="Y144" s="221">
        <f t="shared" si="9"/>
        <v>4.0986023193515804</v>
      </c>
      <c r="Z144" s="221">
        <f t="shared" si="9"/>
        <v>4.0986023193515804</v>
      </c>
      <c r="AA144" s="221">
        <f t="shared" si="9"/>
        <v>4.0986023193515804</v>
      </c>
      <c r="AB144" s="221">
        <f t="shared" si="9"/>
        <v>5.5929177002886723</v>
      </c>
      <c r="AC144" s="221">
        <f t="shared" si="9"/>
        <v>5.5929177002886723</v>
      </c>
      <c r="AD144" s="221">
        <f t="shared" si="9"/>
        <v>5.5929177002886723</v>
      </c>
      <c r="AE144" s="221">
        <f t="shared" si="9"/>
        <v>5.5929177002886723</v>
      </c>
      <c r="AF144" s="221">
        <f t="shared" si="9"/>
        <v>5.5929177002886723</v>
      </c>
      <c r="AG144" s="221">
        <f t="shared" si="9"/>
        <v>0</v>
      </c>
      <c r="AH144" s="221">
        <f t="shared" si="9"/>
        <v>0</v>
      </c>
      <c r="AI144" s="221">
        <f t="shared" si="9"/>
        <v>0</v>
      </c>
      <c r="AJ144" s="221">
        <f t="shared" si="9"/>
        <v>0</v>
      </c>
      <c r="AK144" s="234"/>
      <c r="AL144" s="221">
        <f t="shared" si="9"/>
        <v>0</v>
      </c>
      <c r="AM144" s="234"/>
      <c r="AN144" s="221">
        <f t="shared" si="9"/>
        <v>0</v>
      </c>
      <c r="AO144" s="234"/>
    </row>
    <row r="145" spans="1:43" x14ac:dyDescent="0.25">
      <c r="C145" s="76"/>
      <c r="F145" s="17" t="s">
        <v>257</v>
      </c>
      <c r="G145" s="17" t="s">
        <v>258</v>
      </c>
      <c r="H145" s="310"/>
      <c r="I145" s="300"/>
      <c r="J145" s="311">
        <f t="shared" si="9"/>
        <v>0</v>
      </c>
      <c r="K145" s="311">
        <f t="shared" si="9"/>
        <v>0</v>
      </c>
      <c r="L145" s="311">
        <f t="shared" si="9"/>
        <v>0</v>
      </c>
      <c r="M145" s="311">
        <f t="shared" si="9"/>
        <v>0</v>
      </c>
      <c r="N145" s="311">
        <f t="shared" si="9"/>
        <v>0</v>
      </c>
      <c r="O145" s="311">
        <f t="shared" si="9"/>
        <v>0</v>
      </c>
      <c r="P145" s="311">
        <f t="shared" si="9"/>
        <v>0</v>
      </c>
      <c r="Q145" s="311">
        <f t="shared" si="9"/>
        <v>0</v>
      </c>
      <c r="R145" s="311">
        <f t="shared" si="9"/>
        <v>5.8641379438851032E-2</v>
      </c>
      <c r="S145" s="311">
        <f t="shared" si="9"/>
        <v>5.8641379438851032E-2</v>
      </c>
      <c r="T145" s="311">
        <f t="shared" si="9"/>
        <v>5.8641379438851032E-2</v>
      </c>
      <c r="U145" s="311">
        <f t="shared" si="9"/>
        <v>5.8641379438851032E-2</v>
      </c>
      <c r="V145" s="311">
        <f t="shared" si="9"/>
        <v>5.8641379438851032E-2</v>
      </c>
      <c r="W145" s="311">
        <f t="shared" si="9"/>
        <v>4.9822803085423369E-2</v>
      </c>
      <c r="X145" s="311">
        <f t="shared" si="9"/>
        <v>4.9822803085423369E-2</v>
      </c>
      <c r="Y145" s="311">
        <f t="shared" si="9"/>
        <v>4.9822803085423369E-2</v>
      </c>
      <c r="Z145" s="311">
        <f t="shared" si="9"/>
        <v>4.9822803085423369E-2</v>
      </c>
      <c r="AA145" s="311">
        <f t="shared" si="9"/>
        <v>4.9822803085423369E-2</v>
      </c>
      <c r="AB145" s="311">
        <f t="shared" si="9"/>
        <v>3.6160430633875383E-2</v>
      </c>
      <c r="AC145" s="311">
        <f t="shared" si="9"/>
        <v>3.6160430633875383E-2</v>
      </c>
      <c r="AD145" s="311">
        <f t="shared" si="9"/>
        <v>3.6160430633875383E-2</v>
      </c>
      <c r="AE145" s="311">
        <f t="shared" si="9"/>
        <v>3.6160430633875383E-2</v>
      </c>
      <c r="AF145" s="311">
        <f t="shared" si="9"/>
        <v>3.6160430633875383E-2</v>
      </c>
      <c r="AG145" s="311">
        <f t="shared" si="9"/>
        <v>0</v>
      </c>
      <c r="AH145" s="311">
        <f t="shared" si="9"/>
        <v>0</v>
      </c>
      <c r="AI145" s="311">
        <f t="shared" si="9"/>
        <v>0</v>
      </c>
      <c r="AJ145" s="311">
        <f t="shared" si="9"/>
        <v>0.13504878564133801</v>
      </c>
      <c r="AK145" s="305"/>
      <c r="AL145" s="311">
        <f t="shared" si="9"/>
        <v>0.11742378853173932</v>
      </c>
      <c r="AM145" s="305"/>
      <c r="AN145" s="311">
        <f t="shared" si="9"/>
        <v>9.5740261905297164E-2</v>
      </c>
      <c r="AO145" s="305"/>
      <c r="AP145" s="298"/>
      <c r="AQ145" s="298"/>
    </row>
    <row r="146" spans="1:43" x14ac:dyDescent="0.25">
      <c r="A146" s="298"/>
      <c r="B146" s="298"/>
      <c r="C146" s="298"/>
      <c r="D146" s="298"/>
      <c r="E146" s="298"/>
      <c r="F146" s="298"/>
      <c r="G146" s="298"/>
      <c r="H146" s="298"/>
      <c r="I146" s="298"/>
      <c r="J146" s="298"/>
      <c r="K146" s="298"/>
      <c r="L146" s="298"/>
      <c r="M146" s="298"/>
      <c r="N146" s="298"/>
      <c r="O146" s="298"/>
      <c r="P146" s="298"/>
      <c r="Q146" s="298"/>
      <c r="R146" s="298"/>
      <c r="S146" s="298"/>
      <c r="T146" s="298"/>
      <c r="U146" s="298"/>
      <c r="V146" s="298"/>
      <c r="W146" s="298"/>
      <c r="X146" s="298"/>
      <c r="Y146" s="298"/>
      <c r="Z146" s="298"/>
      <c r="AA146" s="298"/>
      <c r="AB146" s="298"/>
      <c r="AC146" s="298"/>
      <c r="AD146" s="298"/>
      <c r="AE146" s="298"/>
      <c r="AF146" s="298"/>
      <c r="AG146" s="298"/>
      <c r="AH146" s="298"/>
      <c r="AI146" s="298"/>
      <c r="AJ146" s="298"/>
      <c r="AK146" s="298"/>
      <c r="AL146" s="298"/>
      <c r="AM146" s="298"/>
      <c r="AN146" s="298"/>
      <c r="AO146" s="298"/>
      <c r="AP146" s="298"/>
      <c r="AQ146" s="298"/>
    </row>
    <row r="147" spans="1:43" x14ac:dyDescent="0.25">
      <c r="C147" s="5" t="str">
        <f ca="1">INDEX('Version control'!$H$36:$H$62,MATCH($A$1,'Version control'!$F$36:$F$62,0),1)&amp;"-H: Tariff forecast, post-rounding"</f>
        <v>Section 520-H: Tariff forecast, post-rounding</v>
      </c>
      <c r="D147" s="5"/>
      <c r="E147" s="5"/>
      <c r="F147" s="5"/>
      <c r="G147" s="5"/>
      <c r="H147" s="5"/>
      <c r="I147" s="5"/>
      <c r="J147" s="205"/>
      <c r="K147" s="205"/>
      <c r="L147" s="205"/>
      <c r="M147" s="205"/>
      <c r="N147" s="205"/>
      <c r="O147" s="205"/>
      <c r="P147" s="205"/>
      <c r="Q147" s="205"/>
      <c r="R147" s="205"/>
      <c r="S147" s="205"/>
      <c r="T147" s="205"/>
      <c r="U147" s="205"/>
      <c r="V147" s="205"/>
      <c r="W147" s="205"/>
      <c r="X147" s="205"/>
      <c r="Y147" s="205"/>
      <c r="Z147" s="205"/>
      <c r="AA147" s="205"/>
      <c r="AB147" s="205"/>
      <c r="AC147" s="205"/>
      <c r="AD147" s="205"/>
      <c r="AE147" s="205"/>
      <c r="AF147" s="205"/>
      <c r="AG147" s="205"/>
      <c r="AH147" s="205"/>
      <c r="AI147" s="205"/>
      <c r="AJ147" s="205"/>
      <c r="AK147" s="205"/>
      <c r="AL147" s="205"/>
      <c r="AM147" s="205"/>
      <c r="AN147" s="205"/>
      <c r="AO147" s="205"/>
      <c r="AP147" s="5"/>
      <c r="AQ147" s="5"/>
    </row>
    <row r="148" spans="1:43" x14ac:dyDescent="0.25">
      <c r="J148" s="211"/>
      <c r="K148" s="211"/>
      <c r="L148" s="211"/>
      <c r="M148" s="211"/>
      <c r="N148" s="211"/>
      <c r="O148" s="211"/>
      <c r="P148" s="211"/>
      <c r="Q148" s="211"/>
      <c r="R148" s="211"/>
      <c r="S148" s="211"/>
      <c r="T148" s="211"/>
      <c r="U148" s="211"/>
      <c r="V148" s="211"/>
      <c r="W148" s="211"/>
      <c r="X148" s="211"/>
      <c r="Y148" s="211"/>
      <c r="Z148" s="211"/>
      <c r="AA148" s="211"/>
      <c r="AB148" s="211"/>
      <c r="AC148" s="211"/>
      <c r="AD148" s="211"/>
      <c r="AE148" s="211"/>
      <c r="AF148" s="211"/>
      <c r="AG148" s="211"/>
      <c r="AH148" s="211"/>
      <c r="AI148" s="211"/>
      <c r="AJ148" s="211"/>
      <c r="AK148" s="211"/>
      <c r="AL148" s="211"/>
      <c r="AM148" s="211"/>
      <c r="AN148" s="211"/>
      <c r="AO148" s="211"/>
    </row>
    <row r="149" spans="1:43" x14ac:dyDescent="0.25">
      <c r="E149" s="52" t="s">
        <v>772</v>
      </c>
      <c r="F149" s="52"/>
      <c r="I149" t="s">
        <v>359</v>
      </c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  <c r="Z149" s="211"/>
      <c r="AA149" s="211"/>
      <c r="AB149" s="211"/>
      <c r="AC149" s="211"/>
      <c r="AD149" s="211"/>
      <c r="AE149" s="211"/>
      <c r="AF149" s="211"/>
      <c r="AG149" s="211"/>
      <c r="AH149" s="211"/>
      <c r="AI149" s="211"/>
      <c r="AJ149" s="211"/>
      <c r="AK149" s="211"/>
      <c r="AL149" s="211"/>
      <c r="AM149" s="211"/>
      <c r="AN149" s="211"/>
      <c r="AO149" s="211"/>
      <c r="AQ149" t="s">
        <v>698</v>
      </c>
    </row>
    <row r="150" spans="1:43" x14ac:dyDescent="0.25">
      <c r="E150" s="76"/>
      <c r="F150" s="80" t="s">
        <v>134</v>
      </c>
      <c r="G150" s="80" t="s">
        <v>183</v>
      </c>
      <c r="H150" s="307"/>
      <c r="I150" s="296"/>
      <c r="J150" s="297">
        <f t="shared" ref="J150:AO156" si="10">ROUND(J121, $H95)</f>
        <v>8.3000000000000007</v>
      </c>
      <c r="K150" s="297">
        <f t="shared" si="10"/>
        <v>8.3000000000000007</v>
      </c>
      <c r="L150" s="297">
        <f t="shared" si="10"/>
        <v>10.018000000000001</v>
      </c>
      <c r="M150" s="297">
        <f t="shared" si="10"/>
        <v>10.018000000000001</v>
      </c>
      <c r="N150" s="297">
        <f t="shared" si="10"/>
        <v>10.018000000000001</v>
      </c>
      <c r="O150" s="297">
        <f t="shared" si="10"/>
        <v>10.018000000000001</v>
      </c>
      <c r="P150" s="297">
        <f t="shared" si="10"/>
        <v>10.018000000000001</v>
      </c>
      <c r="Q150" s="297">
        <f t="shared" si="10"/>
        <v>10.018000000000001</v>
      </c>
      <c r="R150" s="297">
        <f t="shared" si="10"/>
        <v>7.2439999999999998</v>
      </c>
      <c r="S150" s="297">
        <f t="shared" si="10"/>
        <v>7.2439999999999998</v>
      </c>
      <c r="T150" s="297">
        <f t="shared" si="10"/>
        <v>7.2439999999999998</v>
      </c>
      <c r="U150" s="297">
        <f t="shared" si="10"/>
        <v>7.2439999999999998</v>
      </c>
      <c r="V150" s="297">
        <f t="shared" si="10"/>
        <v>7.2439999999999998</v>
      </c>
      <c r="W150" s="297">
        <f t="shared" si="10"/>
        <v>4.1680000000000001</v>
      </c>
      <c r="X150" s="297">
        <f t="shared" si="10"/>
        <v>4.1680000000000001</v>
      </c>
      <c r="Y150" s="297">
        <f t="shared" si="10"/>
        <v>4.1680000000000001</v>
      </c>
      <c r="Z150" s="297">
        <f t="shared" si="10"/>
        <v>4.1680000000000001</v>
      </c>
      <c r="AA150" s="297">
        <f t="shared" si="10"/>
        <v>4.1680000000000001</v>
      </c>
      <c r="AB150" s="297">
        <f t="shared" si="10"/>
        <v>2.887</v>
      </c>
      <c r="AC150" s="297">
        <f t="shared" si="10"/>
        <v>2.887</v>
      </c>
      <c r="AD150" s="297">
        <f t="shared" si="10"/>
        <v>2.887</v>
      </c>
      <c r="AE150" s="297">
        <f t="shared" si="10"/>
        <v>2.887</v>
      </c>
      <c r="AF150" s="297">
        <f t="shared" si="10"/>
        <v>2.887</v>
      </c>
      <c r="AG150" s="297">
        <f t="shared" si="10"/>
        <v>25.23</v>
      </c>
      <c r="AH150" s="297">
        <f t="shared" si="10"/>
        <v>-6.5279999999999996</v>
      </c>
      <c r="AI150" s="297">
        <f t="shared" si="10"/>
        <v>-5.6840000000000002</v>
      </c>
      <c r="AJ150" s="297">
        <f t="shared" si="10"/>
        <v>-6.5279999999999996</v>
      </c>
      <c r="AK150" s="297">
        <f t="shared" si="10"/>
        <v>-6.5279999999999996</v>
      </c>
      <c r="AL150" s="297">
        <f t="shared" si="10"/>
        <v>-5.6840000000000002</v>
      </c>
      <c r="AM150" s="297">
        <f t="shared" si="10"/>
        <v>-5.6840000000000002</v>
      </c>
      <c r="AN150" s="297">
        <f t="shared" si="10"/>
        <v>-3.512</v>
      </c>
      <c r="AO150" s="297">
        <f t="shared" si="10"/>
        <v>-3.512</v>
      </c>
      <c r="AP150" s="298"/>
      <c r="AQ150" s="298"/>
    </row>
    <row r="151" spans="1:43" x14ac:dyDescent="0.25">
      <c r="E151" s="76"/>
      <c r="F151" t="s">
        <v>135</v>
      </c>
      <c r="G151" t="s">
        <v>183</v>
      </c>
      <c r="H151" s="363"/>
      <c r="I151" s="298"/>
      <c r="J151" s="299">
        <f t="shared" si="10"/>
        <v>0.95299999999999996</v>
      </c>
      <c r="K151" s="299">
        <f t="shared" si="10"/>
        <v>0.95299999999999996</v>
      </c>
      <c r="L151" s="299">
        <f t="shared" si="10"/>
        <v>1.1499999999999999</v>
      </c>
      <c r="M151" s="299">
        <f t="shared" si="10"/>
        <v>1.1499999999999999</v>
      </c>
      <c r="N151" s="299">
        <f t="shared" si="10"/>
        <v>1.1499999999999999</v>
      </c>
      <c r="O151" s="299">
        <f t="shared" si="10"/>
        <v>1.1499999999999999</v>
      </c>
      <c r="P151" s="299">
        <f t="shared" si="10"/>
        <v>1.1499999999999999</v>
      </c>
      <c r="Q151" s="299">
        <f t="shared" si="10"/>
        <v>1.1499999999999999</v>
      </c>
      <c r="R151" s="299">
        <f t="shared" si="10"/>
        <v>0.78700000000000003</v>
      </c>
      <c r="S151" s="299">
        <f t="shared" si="10"/>
        <v>0.78700000000000003</v>
      </c>
      <c r="T151" s="299">
        <f t="shared" si="10"/>
        <v>0.78700000000000003</v>
      </c>
      <c r="U151" s="299">
        <f t="shared" si="10"/>
        <v>0.78700000000000003</v>
      </c>
      <c r="V151" s="299">
        <f t="shared" si="10"/>
        <v>0.78700000000000003</v>
      </c>
      <c r="W151" s="299">
        <f t="shared" si="10"/>
        <v>0.374</v>
      </c>
      <c r="X151" s="299">
        <f t="shared" si="10"/>
        <v>0.374</v>
      </c>
      <c r="Y151" s="299">
        <f t="shared" si="10"/>
        <v>0.374</v>
      </c>
      <c r="Z151" s="299">
        <f t="shared" si="10"/>
        <v>0.374</v>
      </c>
      <c r="AA151" s="299">
        <f t="shared" si="10"/>
        <v>0.374</v>
      </c>
      <c r="AB151" s="299">
        <f t="shared" si="10"/>
        <v>0.22900000000000001</v>
      </c>
      <c r="AC151" s="299">
        <f t="shared" si="10"/>
        <v>0.22900000000000001</v>
      </c>
      <c r="AD151" s="299">
        <f t="shared" si="10"/>
        <v>0.22900000000000001</v>
      </c>
      <c r="AE151" s="299">
        <f t="shared" si="10"/>
        <v>0.22900000000000001</v>
      </c>
      <c r="AF151" s="299">
        <f t="shared" si="10"/>
        <v>0.22900000000000001</v>
      </c>
      <c r="AG151" s="299">
        <f t="shared" si="10"/>
        <v>3.8370000000000002</v>
      </c>
      <c r="AH151" s="299">
        <f t="shared" si="10"/>
        <v>-0.75</v>
      </c>
      <c r="AI151" s="299">
        <f t="shared" si="10"/>
        <v>-0.63500000000000001</v>
      </c>
      <c r="AJ151" s="299">
        <f t="shared" si="10"/>
        <v>-0.75</v>
      </c>
      <c r="AK151" s="299">
        <f t="shared" si="10"/>
        <v>-0.75</v>
      </c>
      <c r="AL151" s="299">
        <f t="shared" si="10"/>
        <v>-0.63500000000000001</v>
      </c>
      <c r="AM151" s="299">
        <f t="shared" si="10"/>
        <v>-0.63500000000000001</v>
      </c>
      <c r="AN151" s="299">
        <f t="shared" si="10"/>
        <v>-0.313</v>
      </c>
      <c r="AO151" s="299">
        <f t="shared" si="10"/>
        <v>-0.313</v>
      </c>
      <c r="AP151" s="298"/>
      <c r="AQ151" s="298"/>
    </row>
    <row r="152" spans="1:43" x14ac:dyDescent="0.25">
      <c r="E152" s="76"/>
      <c r="F152" t="s">
        <v>136</v>
      </c>
      <c r="G152" t="s">
        <v>183</v>
      </c>
      <c r="H152" s="363"/>
      <c r="I152" s="298"/>
      <c r="J152" s="299">
        <f t="shared" si="10"/>
        <v>1.7000000000000001E-2</v>
      </c>
      <c r="K152" s="299">
        <f t="shared" si="10"/>
        <v>1.7000000000000001E-2</v>
      </c>
      <c r="L152" s="299">
        <f t="shared" si="10"/>
        <v>2.1000000000000001E-2</v>
      </c>
      <c r="M152" s="299">
        <f t="shared" si="10"/>
        <v>2.1000000000000001E-2</v>
      </c>
      <c r="N152" s="299">
        <f t="shared" si="10"/>
        <v>2.1000000000000001E-2</v>
      </c>
      <c r="O152" s="299">
        <f t="shared" si="10"/>
        <v>2.1000000000000001E-2</v>
      </c>
      <c r="P152" s="299">
        <f t="shared" si="10"/>
        <v>2.1000000000000001E-2</v>
      </c>
      <c r="Q152" s="299">
        <f t="shared" si="10"/>
        <v>2.1000000000000001E-2</v>
      </c>
      <c r="R152" s="299">
        <f t="shared" si="10"/>
        <v>1.4E-2</v>
      </c>
      <c r="S152" s="299">
        <f t="shared" si="10"/>
        <v>1.4E-2</v>
      </c>
      <c r="T152" s="299">
        <f t="shared" si="10"/>
        <v>1.4E-2</v>
      </c>
      <c r="U152" s="299">
        <f t="shared" si="10"/>
        <v>1.4E-2</v>
      </c>
      <c r="V152" s="299">
        <f t="shared" si="10"/>
        <v>1.4E-2</v>
      </c>
      <c r="W152" s="299">
        <f t="shared" si="10"/>
        <v>6.0000000000000001E-3</v>
      </c>
      <c r="X152" s="299">
        <f t="shared" si="10"/>
        <v>6.0000000000000001E-3</v>
      </c>
      <c r="Y152" s="299">
        <f t="shared" si="10"/>
        <v>6.0000000000000001E-3</v>
      </c>
      <c r="Z152" s="299">
        <f t="shared" si="10"/>
        <v>6.0000000000000001E-3</v>
      </c>
      <c r="AA152" s="299">
        <f t="shared" si="10"/>
        <v>6.0000000000000001E-3</v>
      </c>
      <c r="AB152" s="299">
        <f t="shared" si="10"/>
        <v>3.0000000000000001E-3</v>
      </c>
      <c r="AC152" s="299">
        <f t="shared" si="10"/>
        <v>3.0000000000000001E-3</v>
      </c>
      <c r="AD152" s="299">
        <f t="shared" si="10"/>
        <v>3.0000000000000001E-3</v>
      </c>
      <c r="AE152" s="299">
        <f t="shared" si="10"/>
        <v>3.0000000000000001E-3</v>
      </c>
      <c r="AF152" s="299">
        <f t="shared" si="10"/>
        <v>3.0000000000000001E-3</v>
      </c>
      <c r="AG152" s="299">
        <f t="shared" si="10"/>
        <v>2.9350000000000001</v>
      </c>
      <c r="AH152" s="299">
        <f t="shared" si="10"/>
        <v>-1.2999999999999999E-2</v>
      </c>
      <c r="AI152" s="299">
        <f t="shared" si="10"/>
        <v>-1.0999999999999999E-2</v>
      </c>
      <c r="AJ152" s="299">
        <f t="shared" si="10"/>
        <v>-1.2999999999999999E-2</v>
      </c>
      <c r="AK152" s="299">
        <f t="shared" si="10"/>
        <v>-1.2999999999999999E-2</v>
      </c>
      <c r="AL152" s="299">
        <f t="shared" si="10"/>
        <v>-1.0999999999999999E-2</v>
      </c>
      <c r="AM152" s="299">
        <f t="shared" si="10"/>
        <v>-1.0999999999999999E-2</v>
      </c>
      <c r="AN152" s="299">
        <f t="shared" si="10"/>
        <v>-5.0000000000000001E-3</v>
      </c>
      <c r="AO152" s="299">
        <f t="shared" si="10"/>
        <v>-5.0000000000000001E-3</v>
      </c>
      <c r="AP152" s="298"/>
      <c r="AQ152" s="298"/>
    </row>
    <row r="153" spans="1:43" x14ac:dyDescent="0.25">
      <c r="E153" s="76"/>
      <c r="F153" t="s">
        <v>254</v>
      </c>
      <c r="G153" t="s">
        <v>252</v>
      </c>
      <c r="H153" s="327"/>
      <c r="J153" s="215">
        <f t="shared" si="10"/>
        <v>25.29</v>
      </c>
      <c r="K153" s="215">
        <f t="shared" si="10"/>
        <v>0</v>
      </c>
      <c r="L153" s="215">
        <f t="shared" si="10"/>
        <v>6.3</v>
      </c>
      <c r="M153" s="215">
        <f t="shared" si="10"/>
        <v>31.74</v>
      </c>
      <c r="N153" s="215">
        <f t="shared" si="10"/>
        <v>64.75</v>
      </c>
      <c r="O153" s="215">
        <f t="shared" si="10"/>
        <v>132.53</v>
      </c>
      <c r="P153" s="215">
        <f t="shared" si="10"/>
        <v>377.39</v>
      </c>
      <c r="Q153" s="215">
        <f t="shared" si="10"/>
        <v>0</v>
      </c>
      <c r="R153" s="215">
        <f t="shared" si="10"/>
        <v>24.08</v>
      </c>
      <c r="S153" s="215">
        <f t="shared" si="10"/>
        <v>713.27</v>
      </c>
      <c r="T153" s="215">
        <f t="shared" si="10"/>
        <v>1228.42</v>
      </c>
      <c r="U153" s="215">
        <f t="shared" si="10"/>
        <v>2054.9299999999998</v>
      </c>
      <c r="V153" s="215">
        <f t="shared" si="10"/>
        <v>4446.13</v>
      </c>
      <c r="W153" s="215">
        <f t="shared" si="10"/>
        <v>8.6999999999999993</v>
      </c>
      <c r="X153" s="215">
        <f t="shared" si="10"/>
        <v>697.9</v>
      </c>
      <c r="Y153" s="215">
        <f t="shared" si="10"/>
        <v>1213.05</v>
      </c>
      <c r="Z153" s="215">
        <f t="shared" si="10"/>
        <v>2039.55</v>
      </c>
      <c r="AA153" s="215">
        <f t="shared" si="10"/>
        <v>4430.75</v>
      </c>
      <c r="AB153" s="215">
        <f t="shared" si="10"/>
        <v>127.31</v>
      </c>
      <c r="AC153" s="215">
        <f t="shared" si="10"/>
        <v>3572.11</v>
      </c>
      <c r="AD153" s="215">
        <f t="shared" si="10"/>
        <v>10572.74</v>
      </c>
      <c r="AE153" s="215">
        <f t="shared" si="10"/>
        <v>21420.09</v>
      </c>
      <c r="AF153" s="215">
        <f t="shared" si="10"/>
        <v>56602.14</v>
      </c>
      <c r="AG153" s="215">
        <f t="shared" si="10"/>
        <v>0</v>
      </c>
      <c r="AH153" s="215">
        <f t="shared" si="10"/>
        <v>0</v>
      </c>
      <c r="AI153" s="215">
        <f t="shared" si="10"/>
        <v>0</v>
      </c>
      <c r="AJ153" s="215">
        <f t="shared" si="10"/>
        <v>0</v>
      </c>
      <c r="AK153" s="215">
        <f t="shared" si="10"/>
        <v>0</v>
      </c>
      <c r="AL153" s="215">
        <f t="shared" si="10"/>
        <v>0</v>
      </c>
      <c r="AM153" s="215">
        <f t="shared" si="10"/>
        <v>0</v>
      </c>
      <c r="AN153" s="215">
        <f t="shared" si="10"/>
        <v>92.73</v>
      </c>
      <c r="AO153" s="215">
        <f t="shared" si="10"/>
        <v>92.73</v>
      </c>
    </row>
    <row r="154" spans="1:43" x14ac:dyDescent="0.25">
      <c r="E154" s="76"/>
      <c r="F154" t="s">
        <v>255</v>
      </c>
      <c r="G154" t="s">
        <v>251</v>
      </c>
      <c r="H154" s="327"/>
      <c r="J154" s="215">
        <f t="shared" si="10"/>
        <v>0</v>
      </c>
      <c r="K154" s="215">
        <f t="shared" si="10"/>
        <v>0</v>
      </c>
      <c r="L154" s="215">
        <f t="shared" si="10"/>
        <v>0</v>
      </c>
      <c r="M154" s="215">
        <f t="shared" si="10"/>
        <v>0</v>
      </c>
      <c r="N154" s="215">
        <f t="shared" si="10"/>
        <v>0</v>
      </c>
      <c r="O154" s="215">
        <f t="shared" si="10"/>
        <v>0</v>
      </c>
      <c r="P154" s="215">
        <f t="shared" si="10"/>
        <v>0</v>
      </c>
      <c r="Q154" s="215">
        <f t="shared" si="10"/>
        <v>0</v>
      </c>
      <c r="R154" s="215">
        <f t="shared" si="10"/>
        <v>2.94</v>
      </c>
      <c r="S154" s="215">
        <f t="shared" si="10"/>
        <v>2.94</v>
      </c>
      <c r="T154" s="215">
        <f t="shared" si="10"/>
        <v>2.94</v>
      </c>
      <c r="U154" s="215">
        <f t="shared" si="10"/>
        <v>2.94</v>
      </c>
      <c r="V154" s="215">
        <f t="shared" si="10"/>
        <v>2.94</v>
      </c>
      <c r="W154" s="215">
        <f t="shared" si="10"/>
        <v>5.42</v>
      </c>
      <c r="X154" s="215">
        <f t="shared" si="10"/>
        <v>5.42</v>
      </c>
      <c r="Y154" s="215">
        <f t="shared" si="10"/>
        <v>5.42</v>
      </c>
      <c r="Z154" s="215">
        <f t="shared" si="10"/>
        <v>5.42</v>
      </c>
      <c r="AA154" s="215">
        <f t="shared" si="10"/>
        <v>5.42</v>
      </c>
      <c r="AB154" s="215">
        <f t="shared" si="10"/>
        <v>5.97</v>
      </c>
      <c r="AC154" s="215">
        <f t="shared" si="10"/>
        <v>5.97</v>
      </c>
      <c r="AD154" s="215">
        <f t="shared" si="10"/>
        <v>5.97</v>
      </c>
      <c r="AE154" s="215">
        <f t="shared" si="10"/>
        <v>5.97</v>
      </c>
      <c r="AF154" s="215">
        <f t="shared" si="10"/>
        <v>5.97</v>
      </c>
      <c r="AG154" s="215">
        <f t="shared" si="10"/>
        <v>0</v>
      </c>
      <c r="AH154" s="215">
        <f t="shared" si="10"/>
        <v>0</v>
      </c>
      <c r="AI154" s="215">
        <f t="shared" si="10"/>
        <v>0</v>
      </c>
      <c r="AJ154" s="215">
        <f t="shared" si="10"/>
        <v>0</v>
      </c>
      <c r="AK154" s="215">
        <f t="shared" si="10"/>
        <v>0</v>
      </c>
      <c r="AL154" s="215">
        <f t="shared" si="10"/>
        <v>0</v>
      </c>
      <c r="AM154" s="215">
        <f t="shared" si="10"/>
        <v>0</v>
      </c>
      <c r="AN154" s="215">
        <f t="shared" si="10"/>
        <v>0</v>
      </c>
      <c r="AO154" s="215">
        <f t="shared" si="10"/>
        <v>0</v>
      </c>
    </row>
    <row r="155" spans="1:43" x14ac:dyDescent="0.25">
      <c r="E155" s="76"/>
      <c r="F155" t="s">
        <v>256</v>
      </c>
      <c r="G155" t="s">
        <v>251</v>
      </c>
      <c r="H155" s="327"/>
      <c r="J155" s="215">
        <f t="shared" si="10"/>
        <v>0</v>
      </c>
      <c r="K155" s="215">
        <f t="shared" si="10"/>
        <v>0</v>
      </c>
      <c r="L155" s="215">
        <f t="shared" si="10"/>
        <v>0</v>
      </c>
      <c r="M155" s="215">
        <f t="shared" si="10"/>
        <v>0</v>
      </c>
      <c r="N155" s="215">
        <f t="shared" si="10"/>
        <v>0</v>
      </c>
      <c r="O155" s="215">
        <f t="shared" si="10"/>
        <v>0</v>
      </c>
      <c r="P155" s="215">
        <f t="shared" si="10"/>
        <v>0</v>
      </c>
      <c r="Q155" s="215">
        <f t="shared" si="10"/>
        <v>0</v>
      </c>
      <c r="R155" s="215">
        <f t="shared" si="10"/>
        <v>4.2699999999999996</v>
      </c>
      <c r="S155" s="215">
        <f t="shared" si="10"/>
        <v>4.2699999999999996</v>
      </c>
      <c r="T155" s="215">
        <f t="shared" si="10"/>
        <v>4.2699999999999996</v>
      </c>
      <c r="U155" s="215">
        <f t="shared" si="10"/>
        <v>4.2699999999999996</v>
      </c>
      <c r="V155" s="215">
        <f t="shared" si="10"/>
        <v>4.2699999999999996</v>
      </c>
      <c r="W155" s="215">
        <f t="shared" si="10"/>
        <v>6.18</v>
      </c>
      <c r="X155" s="215">
        <f t="shared" si="10"/>
        <v>6.18</v>
      </c>
      <c r="Y155" s="215">
        <f t="shared" si="10"/>
        <v>6.18</v>
      </c>
      <c r="Z155" s="215">
        <f t="shared" si="10"/>
        <v>6.18</v>
      </c>
      <c r="AA155" s="215">
        <f t="shared" si="10"/>
        <v>6.18</v>
      </c>
      <c r="AB155" s="215">
        <f t="shared" si="10"/>
        <v>7.35</v>
      </c>
      <c r="AC155" s="215">
        <f t="shared" si="10"/>
        <v>7.35</v>
      </c>
      <c r="AD155" s="215">
        <f t="shared" si="10"/>
        <v>7.35</v>
      </c>
      <c r="AE155" s="215">
        <f t="shared" si="10"/>
        <v>7.35</v>
      </c>
      <c r="AF155" s="215">
        <f t="shared" si="10"/>
        <v>7.35</v>
      </c>
      <c r="AG155" s="215">
        <f t="shared" si="10"/>
        <v>0</v>
      </c>
      <c r="AH155" s="215">
        <f t="shared" si="10"/>
        <v>0</v>
      </c>
      <c r="AI155" s="215">
        <f t="shared" si="10"/>
        <v>0</v>
      </c>
      <c r="AJ155" s="215">
        <f t="shared" si="10"/>
        <v>0</v>
      </c>
      <c r="AK155" s="215">
        <f t="shared" si="10"/>
        <v>0</v>
      </c>
      <c r="AL155" s="215">
        <f t="shared" si="10"/>
        <v>0</v>
      </c>
      <c r="AM155" s="215">
        <f t="shared" si="10"/>
        <v>0</v>
      </c>
      <c r="AN155" s="215">
        <f t="shared" si="10"/>
        <v>0</v>
      </c>
      <c r="AO155" s="215">
        <f t="shared" si="10"/>
        <v>0</v>
      </c>
    </row>
    <row r="156" spans="1:43" x14ac:dyDescent="0.25">
      <c r="E156" s="76"/>
      <c r="F156" s="17" t="s">
        <v>257</v>
      </c>
      <c r="G156" s="17" t="s">
        <v>258</v>
      </c>
      <c r="H156" s="310"/>
      <c r="I156" s="300"/>
      <c r="J156" s="301">
        <f t="shared" si="10"/>
        <v>0</v>
      </c>
      <c r="K156" s="301">
        <f t="shared" si="10"/>
        <v>0</v>
      </c>
      <c r="L156" s="301">
        <f t="shared" si="10"/>
        <v>0</v>
      </c>
      <c r="M156" s="301">
        <f t="shared" si="10"/>
        <v>0</v>
      </c>
      <c r="N156" s="301">
        <f t="shared" si="10"/>
        <v>0</v>
      </c>
      <c r="O156" s="301">
        <f t="shared" si="10"/>
        <v>0</v>
      </c>
      <c r="P156" s="301">
        <f t="shared" si="10"/>
        <v>0</v>
      </c>
      <c r="Q156" s="301">
        <f t="shared" si="10"/>
        <v>0</v>
      </c>
      <c r="R156" s="301">
        <f t="shared" si="10"/>
        <v>0.14899999999999999</v>
      </c>
      <c r="S156" s="301">
        <f t="shared" si="10"/>
        <v>0.14899999999999999</v>
      </c>
      <c r="T156" s="301">
        <f t="shared" si="10"/>
        <v>0.14899999999999999</v>
      </c>
      <c r="U156" s="301">
        <f t="shared" si="10"/>
        <v>0.14899999999999999</v>
      </c>
      <c r="V156" s="301">
        <f t="shared" si="10"/>
        <v>0.14899999999999999</v>
      </c>
      <c r="W156" s="301">
        <f t="shared" si="10"/>
        <v>7.4999999999999997E-2</v>
      </c>
      <c r="X156" s="301">
        <f t="shared" si="10"/>
        <v>7.4999999999999997E-2</v>
      </c>
      <c r="Y156" s="301">
        <f t="shared" si="10"/>
        <v>7.4999999999999997E-2</v>
      </c>
      <c r="Z156" s="301">
        <f t="shared" si="10"/>
        <v>7.4999999999999997E-2</v>
      </c>
      <c r="AA156" s="301">
        <f t="shared" si="10"/>
        <v>7.4999999999999997E-2</v>
      </c>
      <c r="AB156" s="301">
        <f t="shared" si="10"/>
        <v>4.8000000000000001E-2</v>
      </c>
      <c r="AC156" s="301">
        <f t="shared" si="10"/>
        <v>4.8000000000000001E-2</v>
      </c>
      <c r="AD156" s="301">
        <f t="shared" si="10"/>
        <v>4.8000000000000001E-2</v>
      </c>
      <c r="AE156" s="301">
        <f t="shared" si="10"/>
        <v>4.8000000000000001E-2</v>
      </c>
      <c r="AF156" s="301">
        <f t="shared" si="10"/>
        <v>4.8000000000000001E-2</v>
      </c>
      <c r="AG156" s="301">
        <f t="shared" si="10"/>
        <v>0</v>
      </c>
      <c r="AH156" s="301">
        <f t="shared" si="10"/>
        <v>0</v>
      </c>
      <c r="AI156" s="301">
        <f t="shared" si="10"/>
        <v>0</v>
      </c>
      <c r="AJ156" s="301">
        <f t="shared" si="10"/>
        <v>0.13500000000000001</v>
      </c>
      <c r="AK156" s="301">
        <f t="shared" si="10"/>
        <v>0</v>
      </c>
      <c r="AL156" s="301">
        <f t="shared" si="10"/>
        <v>0.11700000000000001</v>
      </c>
      <c r="AM156" s="301">
        <f t="shared" si="10"/>
        <v>0</v>
      </c>
      <c r="AN156" s="301">
        <f t="shared" si="10"/>
        <v>9.6000000000000002E-2</v>
      </c>
      <c r="AO156" s="301">
        <f t="shared" si="10"/>
        <v>0</v>
      </c>
      <c r="AP156" s="298"/>
      <c r="AQ156" s="298"/>
    </row>
    <row r="157" spans="1:43" x14ac:dyDescent="0.25">
      <c r="E157" s="52"/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  <c r="AA157" s="211"/>
      <c r="AB157" s="211"/>
      <c r="AC157" s="211"/>
      <c r="AD157" s="211"/>
      <c r="AE157" s="211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1"/>
    </row>
    <row r="158" spans="1:43" x14ac:dyDescent="0.25">
      <c r="E158" s="52" t="s">
        <v>773</v>
      </c>
      <c r="I158" t="s">
        <v>359</v>
      </c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  <c r="Z158" s="211"/>
      <c r="AA158" s="211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Q158" t="s">
        <v>698</v>
      </c>
    </row>
    <row r="159" spans="1:43" x14ac:dyDescent="0.25">
      <c r="E159" s="76"/>
      <c r="F159" s="80" t="s">
        <v>134</v>
      </c>
      <c r="G159" s="80" t="s">
        <v>183</v>
      </c>
      <c r="H159" s="307"/>
      <c r="I159" s="296"/>
      <c r="J159" s="297">
        <f>ROUND(J130, $H95)</f>
        <v>4.9279999999999999</v>
      </c>
      <c r="K159" s="297">
        <f t="shared" ref="K159:AO165" si="11">ROUND(K130, $H95)</f>
        <v>4.9279999999999999</v>
      </c>
      <c r="L159" s="297">
        <f t="shared" si="11"/>
        <v>5.9480000000000004</v>
      </c>
      <c r="M159" s="297">
        <f t="shared" si="11"/>
        <v>5.9480000000000004</v>
      </c>
      <c r="N159" s="297">
        <f t="shared" si="11"/>
        <v>5.9480000000000004</v>
      </c>
      <c r="O159" s="297">
        <f t="shared" si="11"/>
        <v>5.9480000000000004</v>
      </c>
      <c r="P159" s="297">
        <f t="shared" si="11"/>
        <v>5.9480000000000004</v>
      </c>
      <c r="Q159" s="297">
        <f t="shared" si="11"/>
        <v>5.9480000000000004</v>
      </c>
      <c r="R159" s="297">
        <f t="shared" si="11"/>
        <v>4.3010000000000002</v>
      </c>
      <c r="S159" s="297">
        <f t="shared" si="11"/>
        <v>4.3010000000000002</v>
      </c>
      <c r="T159" s="297">
        <f t="shared" si="11"/>
        <v>4.3010000000000002</v>
      </c>
      <c r="U159" s="297">
        <f t="shared" si="11"/>
        <v>4.3010000000000002</v>
      </c>
      <c r="V159" s="297">
        <f t="shared" si="11"/>
        <v>4.3010000000000002</v>
      </c>
      <c r="W159" s="308">
        <f t="shared" si="11"/>
        <v>0</v>
      </c>
      <c r="X159" s="308">
        <f t="shared" si="11"/>
        <v>0</v>
      </c>
      <c r="Y159" s="308">
        <f t="shared" si="11"/>
        <v>0</v>
      </c>
      <c r="Z159" s="308">
        <f t="shared" si="11"/>
        <v>0</v>
      </c>
      <c r="AA159" s="308">
        <f t="shared" si="11"/>
        <v>0</v>
      </c>
      <c r="AB159" s="308">
        <f t="shared" si="11"/>
        <v>0</v>
      </c>
      <c r="AC159" s="308">
        <f t="shared" si="11"/>
        <v>0</v>
      </c>
      <c r="AD159" s="308">
        <f t="shared" si="11"/>
        <v>0</v>
      </c>
      <c r="AE159" s="308">
        <f t="shared" si="11"/>
        <v>0</v>
      </c>
      <c r="AF159" s="308">
        <f t="shared" si="11"/>
        <v>0</v>
      </c>
      <c r="AG159" s="297">
        <f t="shared" si="11"/>
        <v>14.981</v>
      </c>
      <c r="AH159" s="297">
        <f t="shared" si="11"/>
        <v>-6.5279999999999996</v>
      </c>
      <c r="AI159" s="308">
        <f t="shared" si="11"/>
        <v>0</v>
      </c>
      <c r="AJ159" s="297">
        <f t="shared" si="11"/>
        <v>-6.5279999999999996</v>
      </c>
      <c r="AK159" s="308">
        <f t="shared" si="11"/>
        <v>0</v>
      </c>
      <c r="AL159" s="308">
        <f t="shared" si="11"/>
        <v>0</v>
      </c>
      <c r="AM159" s="308">
        <f t="shared" si="11"/>
        <v>0</v>
      </c>
      <c r="AN159" s="308">
        <f t="shared" si="11"/>
        <v>0</v>
      </c>
      <c r="AO159" s="308">
        <f t="shared" si="11"/>
        <v>0</v>
      </c>
      <c r="AP159" s="298"/>
      <c r="AQ159" s="298"/>
    </row>
    <row r="160" spans="1:43" x14ac:dyDescent="0.25">
      <c r="E160" s="76"/>
      <c r="F160" t="s">
        <v>135</v>
      </c>
      <c r="G160" t="s">
        <v>183</v>
      </c>
      <c r="H160" s="363"/>
      <c r="I160" s="298"/>
      <c r="J160" s="299">
        <f t="shared" ref="J160:J165" si="12">ROUND(J131, $H96)</f>
        <v>0.56599999999999995</v>
      </c>
      <c r="K160" s="299">
        <f t="shared" si="11"/>
        <v>0.56599999999999995</v>
      </c>
      <c r="L160" s="299">
        <f t="shared" si="11"/>
        <v>0.68300000000000005</v>
      </c>
      <c r="M160" s="299">
        <f t="shared" si="11"/>
        <v>0.68300000000000005</v>
      </c>
      <c r="N160" s="299">
        <f t="shared" si="11"/>
        <v>0.68300000000000005</v>
      </c>
      <c r="O160" s="299">
        <f t="shared" si="11"/>
        <v>0.68300000000000005</v>
      </c>
      <c r="P160" s="299">
        <f t="shared" si="11"/>
        <v>0.68300000000000005</v>
      </c>
      <c r="Q160" s="299">
        <f t="shared" si="11"/>
        <v>0.68300000000000005</v>
      </c>
      <c r="R160" s="299">
        <f t="shared" si="11"/>
        <v>0.46700000000000003</v>
      </c>
      <c r="S160" s="299">
        <f t="shared" si="11"/>
        <v>0.46700000000000003</v>
      </c>
      <c r="T160" s="299">
        <f t="shared" si="11"/>
        <v>0.46700000000000003</v>
      </c>
      <c r="U160" s="299">
        <f t="shared" si="11"/>
        <v>0.46700000000000003</v>
      </c>
      <c r="V160" s="299">
        <f t="shared" si="11"/>
        <v>0.46700000000000003</v>
      </c>
      <c r="W160" s="365">
        <f t="shared" si="11"/>
        <v>0</v>
      </c>
      <c r="X160" s="365">
        <f t="shared" si="11"/>
        <v>0</v>
      </c>
      <c r="Y160" s="365">
        <f t="shared" si="11"/>
        <v>0</v>
      </c>
      <c r="Z160" s="365">
        <f t="shared" si="11"/>
        <v>0</v>
      </c>
      <c r="AA160" s="365">
        <f t="shared" si="11"/>
        <v>0</v>
      </c>
      <c r="AB160" s="365">
        <f t="shared" si="11"/>
        <v>0</v>
      </c>
      <c r="AC160" s="365">
        <f t="shared" si="11"/>
        <v>0</v>
      </c>
      <c r="AD160" s="365">
        <f t="shared" si="11"/>
        <v>0</v>
      </c>
      <c r="AE160" s="365">
        <f t="shared" si="11"/>
        <v>0</v>
      </c>
      <c r="AF160" s="365">
        <f t="shared" si="11"/>
        <v>0</v>
      </c>
      <c r="AG160" s="299">
        <f t="shared" si="11"/>
        <v>2.278</v>
      </c>
      <c r="AH160" s="299">
        <f t="shared" si="11"/>
        <v>-0.75</v>
      </c>
      <c r="AI160" s="365">
        <f t="shared" si="11"/>
        <v>0</v>
      </c>
      <c r="AJ160" s="299">
        <f t="shared" si="11"/>
        <v>-0.75</v>
      </c>
      <c r="AK160" s="365">
        <f t="shared" si="11"/>
        <v>0</v>
      </c>
      <c r="AL160" s="365">
        <f t="shared" si="11"/>
        <v>0</v>
      </c>
      <c r="AM160" s="365">
        <f t="shared" si="11"/>
        <v>0</v>
      </c>
      <c r="AN160" s="365">
        <f t="shared" si="11"/>
        <v>0</v>
      </c>
      <c r="AO160" s="365">
        <f t="shared" si="11"/>
        <v>0</v>
      </c>
      <c r="AP160" s="298"/>
      <c r="AQ160" s="298"/>
    </row>
    <row r="161" spans="2:43" x14ac:dyDescent="0.25">
      <c r="E161" s="76"/>
      <c r="F161" t="s">
        <v>136</v>
      </c>
      <c r="G161" t="s">
        <v>183</v>
      </c>
      <c r="H161" s="363"/>
      <c r="I161" s="298"/>
      <c r="J161" s="299">
        <f t="shared" si="12"/>
        <v>0.01</v>
      </c>
      <c r="K161" s="299">
        <f t="shared" si="11"/>
        <v>0.01</v>
      </c>
      <c r="L161" s="299">
        <f t="shared" si="11"/>
        <v>1.2E-2</v>
      </c>
      <c r="M161" s="299">
        <f t="shared" si="11"/>
        <v>1.2E-2</v>
      </c>
      <c r="N161" s="299">
        <f t="shared" si="11"/>
        <v>1.2E-2</v>
      </c>
      <c r="O161" s="299">
        <f t="shared" si="11"/>
        <v>1.2E-2</v>
      </c>
      <c r="P161" s="299">
        <f t="shared" si="11"/>
        <v>1.2E-2</v>
      </c>
      <c r="Q161" s="299">
        <f t="shared" si="11"/>
        <v>1.2E-2</v>
      </c>
      <c r="R161" s="299">
        <f t="shared" si="11"/>
        <v>8.0000000000000002E-3</v>
      </c>
      <c r="S161" s="299">
        <f t="shared" si="11"/>
        <v>8.0000000000000002E-3</v>
      </c>
      <c r="T161" s="299">
        <f t="shared" si="11"/>
        <v>8.0000000000000002E-3</v>
      </c>
      <c r="U161" s="299">
        <f t="shared" si="11"/>
        <v>8.0000000000000002E-3</v>
      </c>
      <c r="V161" s="299">
        <f t="shared" si="11"/>
        <v>8.0000000000000002E-3</v>
      </c>
      <c r="W161" s="365">
        <f t="shared" si="11"/>
        <v>0</v>
      </c>
      <c r="X161" s="365">
        <f t="shared" si="11"/>
        <v>0</v>
      </c>
      <c r="Y161" s="365">
        <f t="shared" si="11"/>
        <v>0</v>
      </c>
      <c r="Z161" s="365">
        <f t="shared" si="11"/>
        <v>0</v>
      </c>
      <c r="AA161" s="365">
        <f t="shared" si="11"/>
        <v>0</v>
      </c>
      <c r="AB161" s="365">
        <f t="shared" si="11"/>
        <v>0</v>
      </c>
      <c r="AC161" s="365">
        <f t="shared" si="11"/>
        <v>0</v>
      </c>
      <c r="AD161" s="365">
        <f t="shared" si="11"/>
        <v>0</v>
      </c>
      <c r="AE161" s="365">
        <f t="shared" si="11"/>
        <v>0</v>
      </c>
      <c r="AF161" s="365">
        <f t="shared" si="11"/>
        <v>0</v>
      </c>
      <c r="AG161" s="299">
        <f t="shared" si="11"/>
        <v>1.7430000000000001</v>
      </c>
      <c r="AH161" s="299">
        <f t="shared" si="11"/>
        <v>-1.2999999999999999E-2</v>
      </c>
      <c r="AI161" s="365">
        <f t="shared" si="11"/>
        <v>0</v>
      </c>
      <c r="AJ161" s="299">
        <f t="shared" si="11"/>
        <v>-1.2999999999999999E-2</v>
      </c>
      <c r="AK161" s="365">
        <f t="shared" si="11"/>
        <v>0</v>
      </c>
      <c r="AL161" s="365">
        <f t="shared" si="11"/>
        <v>0</v>
      </c>
      <c r="AM161" s="365">
        <f t="shared" si="11"/>
        <v>0</v>
      </c>
      <c r="AN161" s="365">
        <f t="shared" si="11"/>
        <v>0</v>
      </c>
      <c r="AO161" s="365">
        <f t="shared" si="11"/>
        <v>0</v>
      </c>
      <c r="AP161" s="298"/>
      <c r="AQ161" s="298"/>
    </row>
    <row r="162" spans="2:43" x14ac:dyDescent="0.25">
      <c r="E162" s="76"/>
      <c r="F162" t="s">
        <v>254</v>
      </c>
      <c r="G162" t="s">
        <v>252</v>
      </c>
      <c r="H162" s="327"/>
      <c r="J162" s="215">
        <f t="shared" si="12"/>
        <v>15.21</v>
      </c>
      <c r="K162" s="215">
        <f t="shared" si="11"/>
        <v>0</v>
      </c>
      <c r="L162" s="215">
        <f t="shared" si="11"/>
        <v>3.87</v>
      </c>
      <c r="M162" s="215">
        <f t="shared" si="11"/>
        <v>18.97</v>
      </c>
      <c r="N162" s="215">
        <f t="shared" si="11"/>
        <v>38.57</v>
      </c>
      <c r="O162" s="215">
        <f t="shared" si="11"/>
        <v>78.819999999999993</v>
      </c>
      <c r="P162" s="215">
        <f t="shared" si="11"/>
        <v>224.21</v>
      </c>
      <c r="Q162" s="215">
        <f t="shared" si="11"/>
        <v>0</v>
      </c>
      <c r="R162" s="215">
        <f t="shared" si="11"/>
        <v>14.42</v>
      </c>
      <c r="S162" s="215">
        <f t="shared" si="11"/>
        <v>423.64</v>
      </c>
      <c r="T162" s="215">
        <f t="shared" si="11"/>
        <v>729.51</v>
      </c>
      <c r="U162" s="215">
        <f t="shared" si="11"/>
        <v>1220.25</v>
      </c>
      <c r="V162" s="215">
        <f t="shared" si="11"/>
        <v>2640.04</v>
      </c>
      <c r="W162" s="234">
        <f t="shared" si="11"/>
        <v>0</v>
      </c>
      <c r="X162" s="234">
        <f t="shared" si="11"/>
        <v>0</v>
      </c>
      <c r="Y162" s="234">
        <f t="shared" si="11"/>
        <v>0</v>
      </c>
      <c r="Z162" s="234">
        <f t="shared" si="11"/>
        <v>0</v>
      </c>
      <c r="AA162" s="234">
        <f t="shared" si="11"/>
        <v>0</v>
      </c>
      <c r="AB162" s="234">
        <f t="shared" si="11"/>
        <v>0</v>
      </c>
      <c r="AC162" s="234">
        <f t="shared" si="11"/>
        <v>0</v>
      </c>
      <c r="AD162" s="234">
        <f t="shared" si="11"/>
        <v>0</v>
      </c>
      <c r="AE162" s="234">
        <f t="shared" si="11"/>
        <v>0</v>
      </c>
      <c r="AF162" s="234">
        <f t="shared" si="11"/>
        <v>0</v>
      </c>
      <c r="AG162" s="215">
        <f t="shared" si="11"/>
        <v>0</v>
      </c>
      <c r="AH162" s="215">
        <f t="shared" si="11"/>
        <v>0</v>
      </c>
      <c r="AI162" s="234">
        <f t="shared" si="11"/>
        <v>0</v>
      </c>
      <c r="AJ162" s="215">
        <f t="shared" si="11"/>
        <v>0</v>
      </c>
      <c r="AK162" s="234">
        <f t="shared" si="11"/>
        <v>0</v>
      </c>
      <c r="AL162" s="234">
        <f t="shared" si="11"/>
        <v>0</v>
      </c>
      <c r="AM162" s="234">
        <f t="shared" si="11"/>
        <v>0</v>
      </c>
      <c r="AN162" s="234">
        <f t="shared" si="11"/>
        <v>0</v>
      </c>
      <c r="AO162" s="234">
        <f t="shared" si="11"/>
        <v>0</v>
      </c>
    </row>
    <row r="163" spans="2:43" x14ac:dyDescent="0.25">
      <c r="E163" s="76"/>
      <c r="F163" t="s">
        <v>255</v>
      </c>
      <c r="G163" t="s">
        <v>251</v>
      </c>
      <c r="H163" s="327"/>
      <c r="J163" s="215">
        <f t="shared" si="12"/>
        <v>0</v>
      </c>
      <c r="K163" s="215">
        <f t="shared" si="11"/>
        <v>0</v>
      </c>
      <c r="L163" s="215">
        <f t="shared" si="11"/>
        <v>0</v>
      </c>
      <c r="M163" s="215">
        <f t="shared" si="11"/>
        <v>0</v>
      </c>
      <c r="N163" s="215">
        <f t="shared" si="11"/>
        <v>0</v>
      </c>
      <c r="O163" s="215">
        <f t="shared" si="11"/>
        <v>0</v>
      </c>
      <c r="P163" s="215">
        <f t="shared" si="11"/>
        <v>0</v>
      </c>
      <c r="Q163" s="215">
        <f t="shared" si="11"/>
        <v>0</v>
      </c>
      <c r="R163" s="215">
        <f t="shared" si="11"/>
        <v>1.75</v>
      </c>
      <c r="S163" s="215">
        <f t="shared" si="11"/>
        <v>1.75</v>
      </c>
      <c r="T163" s="215">
        <f t="shared" si="11"/>
        <v>1.75</v>
      </c>
      <c r="U163" s="215">
        <f t="shared" si="11"/>
        <v>1.75</v>
      </c>
      <c r="V163" s="215">
        <f t="shared" si="11"/>
        <v>1.75</v>
      </c>
      <c r="W163" s="234">
        <f t="shared" si="11"/>
        <v>0</v>
      </c>
      <c r="X163" s="234">
        <f t="shared" si="11"/>
        <v>0</v>
      </c>
      <c r="Y163" s="234">
        <f t="shared" si="11"/>
        <v>0</v>
      </c>
      <c r="Z163" s="234">
        <f t="shared" si="11"/>
        <v>0</v>
      </c>
      <c r="AA163" s="234">
        <f t="shared" si="11"/>
        <v>0</v>
      </c>
      <c r="AB163" s="234">
        <f t="shared" si="11"/>
        <v>0</v>
      </c>
      <c r="AC163" s="234">
        <f t="shared" si="11"/>
        <v>0</v>
      </c>
      <c r="AD163" s="234">
        <f t="shared" si="11"/>
        <v>0</v>
      </c>
      <c r="AE163" s="234">
        <f t="shared" si="11"/>
        <v>0</v>
      </c>
      <c r="AF163" s="234">
        <f t="shared" si="11"/>
        <v>0</v>
      </c>
      <c r="AG163" s="215">
        <f t="shared" si="11"/>
        <v>0</v>
      </c>
      <c r="AH163" s="215">
        <f t="shared" si="11"/>
        <v>0</v>
      </c>
      <c r="AI163" s="234">
        <f t="shared" si="11"/>
        <v>0</v>
      </c>
      <c r="AJ163" s="215">
        <f t="shared" si="11"/>
        <v>0</v>
      </c>
      <c r="AK163" s="234">
        <f t="shared" si="11"/>
        <v>0</v>
      </c>
      <c r="AL163" s="234">
        <f t="shared" si="11"/>
        <v>0</v>
      </c>
      <c r="AM163" s="234">
        <f t="shared" si="11"/>
        <v>0</v>
      </c>
      <c r="AN163" s="234">
        <f t="shared" si="11"/>
        <v>0</v>
      </c>
      <c r="AO163" s="234">
        <f t="shared" si="11"/>
        <v>0</v>
      </c>
    </row>
    <row r="164" spans="2:43" x14ac:dyDescent="0.25">
      <c r="E164" s="76"/>
      <c r="F164" t="s">
        <v>256</v>
      </c>
      <c r="G164" t="s">
        <v>251</v>
      </c>
      <c r="H164" s="327"/>
      <c r="J164" s="215">
        <f t="shared" si="12"/>
        <v>0</v>
      </c>
      <c r="K164" s="215">
        <f t="shared" si="11"/>
        <v>0</v>
      </c>
      <c r="L164" s="215">
        <f t="shared" si="11"/>
        <v>0</v>
      </c>
      <c r="M164" s="215">
        <f t="shared" si="11"/>
        <v>0</v>
      </c>
      <c r="N164" s="215">
        <f t="shared" si="11"/>
        <v>0</v>
      </c>
      <c r="O164" s="215">
        <f t="shared" si="11"/>
        <v>0</v>
      </c>
      <c r="P164" s="215">
        <f t="shared" si="11"/>
        <v>0</v>
      </c>
      <c r="Q164" s="215">
        <f t="shared" si="11"/>
        <v>0</v>
      </c>
      <c r="R164" s="215">
        <f t="shared" si="11"/>
        <v>2.54</v>
      </c>
      <c r="S164" s="215">
        <f t="shared" si="11"/>
        <v>2.54</v>
      </c>
      <c r="T164" s="215">
        <f t="shared" si="11"/>
        <v>2.54</v>
      </c>
      <c r="U164" s="215">
        <f t="shared" si="11"/>
        <v>2.54</v>
      </c>
      <c r="V164" s="215">
        <f t="shared" si="11"/>
        <v>2.54</v>
      </c>
      <c r="W164" s="234">
        <f t="shared" si="11"/>
        <v>0</v>
      </c>
      <c r="X164" s="234">
        <f t="shared" si="11"/>
        <v>0</v>
      </c>
      <c r="Y164" s="234">
        <f t="shared" si="11"/>
        <v>0</v>
      </c>
      <c r="Z164" s="234">
        <f t="shared" si="11"/>
        <v>0</v>
      </c>
      <c r="AA164" s="234">
        <f t="shared" si="11"/>
        <v>0</v>
      </c>
      <c r="AB164" s="234">
        <f t="shared" si="11"/>
        <v>0</v>
      </c>
      <c r="AC164" s="234">
        <f t="shared" si="11"/>
        <v>0</v>
      </c>
      <c r="AD164" s="234">
        <f t="shared" si="11"/>
        <v>0</v>
      </c>
      <c r="AE164" s="234">
        <f t="shared" si="11"/>
        <v>0</v>
      </c>
      <c r="AF164" s="234">
        <f t="shared" si="11"/>
        <v>0</v>
      </c>
      <c r="AG164" s="215">
        <f t="shared" si="11"/>
        <v>0</v>
      </c>
      <c r="AH164" s="215">
        <f t="shared" si="11"/>
        <v>0</v>
      </c>
      <c r="AI164" s="234">
        <f t="shared" si="11"/>
        <v>0</v>
      </c>
      <c r="AJ164" s="215">
        <f t="shared" si="11"/>
        <v>0</v>
      </c>
      <c r="AK164" s="234">
        <f t="shared" si="11"/>
        <v>0</v>
      </c>
      <c r="AL164" s="234">
        <f t="shared" si="11"/>
        <v>0</v>
      </c>
      <c r="AM164" s="234">
        <f t="shared" si="11"/>
        <v>0</v>
      </c>
      <c r="AN164" s="234">
        <f t="shared" si="11"/>
        <v>0</v>
      </c>
      <c r="AO164" s="234">
        <f t="shared" si="11"/>
        <v>0</v>
      </c>
    </row>
    <row r="165" spans="2:43" x14ac:dyDescent="0.25">
      <c r="E165" s="76"/>
      <c r="F165" s="17" t="s">
        <v>257</v>
      </c>
      <c r="G165" s="17" t="s">
        <v>258</v>
      </c>
      <c r="H165" s="310"/>
      <c r="I165" s="300"/>
      <c r="J165" s="301">
        <f t="shared" si="12"/>
        <v>0</v>
      </c>
      <c r="K165" s="301">
        <f t="shared" si="11"/>
        <v>0</v>
      </c>
      <c r="L165" s="301">
        <f t="shared" si="11"/>
        <v>0</v>
      </c>
      <c r="M165" s="301">
        <f t="shared" si="11"/>
        <v>0</v>
      </c>
      <c r="N165" s="301">
        <f t="shared" si="11"/>
        <v>0</v>
      </c>
      <c r="O165" s="301">
        <f t="shared" si="11"/>
        <v>0</v>
      </c>
      <c r="P165" s="301">
        <f t="shared" si="11"/>
        <v>0</v>
      </c>
      <c r="Q165" s="301">
        <f t="shared" si="11"/>
        <v>0</v>
      </c>
      <c r="R165" s="301">
        <f t="shared" si="11"/>
        <v>8.8999999999999996E-2</v>
      </c>
      <c r="S165" s="301">
        <f t="shared" si="11"/>
        <v>8.8999999999999996E-2</v>
      </c>
      <c r="T165" s="301">
        <f t="shared" si="11"/>
        <v>8.8999999999999996E-2</v>
      </c>
      <c r="U165" s="301">
        <f t="shared" si="11"/>
        <v>8.8999999999999996E-2</v>
      </c>
      <c r="V165" s="301">
        <f t="shared" si="11"/>
        <v>8.8999999999999996E-2</v>
      </c>
      <c r="W165" s="305">
        <f t="shared" si="11"/>
        <v>0</v>
      </c>
      <c r="X165" s="305">
        <f t="shared" si="11"/>
        <v>0</v>
      </c>
      <c r="Y165" s="305">
        <f t="shared" si="11"/>
        <v>0</v>
      </c>
      <c r="Z165" s="305">
        <f t="shared" si="11"/>
        <v>0</v>
      </c>
      <c r="AA165" s="305">
        <f t="shared" si="11"/>
        <v>0</v>
      </c>
      <c r="AB165" s="305">
        <f t="shared" si="11"/>
        <v>0</v>
      </c>
      <c r="AC165" s="305">
        <f t="shared" si="11"/>
        <v>0</v>
      </c>
      <c r="AD165" s="305">
        <f t="shared" si="11"/>
        <v>0</v>
      </c>
      <c r="AE165" s="305">
        <f t="shared" si="11"/>
        <v>0</v>
      </c>
      <c r="AF165" s="305">
        <f t="shared" si="11"/>
        <v>0</v>
      </c>
      <c r="AG165" s="301">
        <f t="shared" si="11"/>
        <v>0</v>
      </c>
      <c r="AH165" s="301">
        <f t="shared" si="11"/>
        <v>0</v>
      </c>
      <c r="AI165" s="305">
        <f t="shared" si="11"/>
        <v>0</v>
      </c>
      <c r="AJ165" s="301">
        <f t="shared" si="11"/>
        <v>0.13500000000000001</v>
      </c>
      <c r="AK165" s="305">
        <f t="shared" si="11"/>
        <v>0</v>
      </c>
      <c r="AL165" s="305">
        <f t="shared" si="11"/>
        <v>0</v>
      </c>
      <c r="AM165" s="305">
        <f t="shared" si="11"/>
        <v>0</v>
      </c>
      <c r="AN165" s="305">
        <f t="shared" si="11"/>
        <v>0</v>
      </c>
      <c r="AO165" s="305">
        <f t="shared" si="11"/>
        <v>0</v>
      </c>
      <c r="AP165" s="298"/>
      <c r="AQ165" s="298"/>
    </row>
    <row r="166" spans="2:43" x14ac:dyDescent="0.25">
      <c r="E166" s="76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  <c r="AA166" s="211"/>
      <c r="AB166" s="211"/>
      <c r="AC166" s="211"/>
      <c r="AD166" s="211"/>
      <c r="AE166" s="211"/>
      <c r="AF166" s="211"/>
      <c r="AG166" s="211"/>
      <c r="AH166" s="211"/>
      <c r="AI166" s="211"/>
      <c r="AJ166" s="211"/>
      <c r="AK166" s="211"/>
      <c r="AL166" s="211"/>
      <c r="AM166" s="211"/>
      <c r="AN166" s="211"/>
      <c r="AO166" s="211"/>
    </row>
    <row r="167" spans="2:43" x14ac:dyDescent="0.25">
      <c r="E167" s="52" t="s">
        <v>774</v>
      </c>
      <c r="I167" t="s">
        <v>359</v>
      </c>
      <c r="J167" s="211"/>
      <c r="K167" s="211"/>
      <c r="L167" s="211"/>
      <c r="M167" s="211"/>
      <c r="N167" s="211"/>
      <c r="O167" s="211"/>
      <c r="P167" s="211"/>
      <c r="Q167" s="211"/>
      <c r="R167" s="211"/>
      <c r="S167" s="211"/>
      <c r="T167" s="211"/>
      <c r="U167" s="211"/>
      <c r="V167" s="211"/>
      <c r="W167" s="211"/>
      <c r="X167" s="211"/>
      <c r="Y167" s="211"/>
      <c r="Z167" s="211"/>
      <c r="AA167" s="211"/>
      <c r="AB167" s="211"/>
      <c r="AC167" s="211"/>
      <c r="AD167" s="211"/>
      <c r="AE167" s="211"/>
      <c r="AF167" s="211"/>
      <c r="AG167" s="211"/>
      <c r="AH167" s="211"/>
      <c r="AI167" s="211"/>
      <c r="AJ167" s="211"/>
      <c r="AK167" s="211"/>
      <c r="AL167" s="211"/>
      <c r="AM167" s="211"/>
      <c r="AN167" s="211"/>
      <c r="AO167" s="211"/>
      <c r="AQ167" t="s">
        <v>698</v>
      </c>
    </row>
    <row r="168" spans="2:43" x14ac:dyDescent="0.25">
      <c r="C168" s="76"/>
      <c r="F168" s="80" t="s">
        <v>134</v>
      </c>
      <c r="G168" s="80" t="s">
        <v>183</v>
      </c>
      <c r="H168" s="307"/>
      <c r="I168" s="296"/>
      <c r="J168" s="297">
        <f t="shared" ref="J168:AO174" si="13">ROUND( J139, $H95)</f>
        <v>3.262</v>
      </c>
      <c r="K168" s="297">
        <f t="shared" si="13"/>
        <v>3.262</v>
      </c>
      <c r="L168" s="297">
        <f t="shared" si="13"/>
        <v>3.9369999999999998</v>
      </c>
      <c r="M168" s="297">
        <f t="shared" si="13"/>
        <v>3.9369999999999998</v>
      </c>
      <c r="N168" s="297">
        <f t="shared" si="13"/>
        <v>3.9369999999999998</v>
      </c>
      <c r="O168" s="297">
        <f t="shared" si="13"/>
        <v>3.9369999999999998</v>
      </c>
      <c r="P168" s="297">
        <f t="shared" si="13"/>
        <v>3.9369999999999998</v>
      </c>
      <c r="Q168" s="297">
        <f t="shared" si="13"/>
        <v>3.9369999999999998</v>
      </c>
      <c r="R168" s="297">
        <f t="shared" si="13"/>
        <v>2.847</v>
      </c>
      <c r="S168" s="297">
        <f t="shared" si="13"/>
        <v>2.847</v>
      </c>
      <c r="T168" s="297">
        <f t="shared" si="13"/>
        <v>2.847</v>
      </c>
      <c r="U168" s="297">
        <f t="shared" si="13"/>
        <v>2.847</v>
      </c>
      <c r="V168" s="297">
        <f t="shared" si="13"/>
        <v>2.847</v>
      </c>
      <c r="W168" s="297">
        <f t="shared" si="13"/>
        <v>2.7629999999999999</v>
      </c>
      <c r="X168" s="297">
        <f t="shared" si="13"/>
        <v>2.7629999999999999</v>
      </c>
      <c r="Y168" s="297">
        <f t="shared" si="13"/>
        <v>2.7629999999999999</v>
      </c>
      <c r="Z168" s="297">
        <f t="shared" si="13"/>
        <v>2.7629999999999999</v>
      </c>
      <c r="AA168" s="297">
        <f t="shared" si="13"/>
        <v>2.7629999999999999</v>
      </c>
      <c r="AB168" s="297">
        <f t="shared" si="13"/>
        <v>2.1960000000000002</v>
      </c>
      <c r="AC168" s="297">
        <f t="shared" si="13"/>
        <v>2.1960000000000002</v>
      </c>
      <c r="AD168" s="297">
        <f t="shared" si="13"/>
        <v>2.1960000000000002</v>
      </c>
      <c r="AE168" s="297">
        <f t="shared" si="13"/>
        <v>2.1960000000000002</v>
      </c>
      <c r="AF168" s="297">
        <f t="shared" si="13"/>
        <v>2.1960000000000002</v>
      </c>
      <c r="AG168" s="297">
        <f t="shared" si="13"/>
        <v>9.9160000000000004</v>
      </c>
      <c r="AH168" s="297">
        <f t="shared" si="13"/>
        <v>-6.5279999999999996</v>
      </c>
      <c r="AI168" s="297">
        <f t="shared" si="13"/>
        <v>-5.6840000000000002</v>
      </c>
      <c r="AJ168" s="297">
        <f t="shared" si="13"/>
        <v>-6.5279999999999996</v>
      </c>
      <c r="AK168" s="308">
        <f t="shared" si="13"/>
        <v>0</v>
      </c>
      <c r="AL168" s="297">
        <f t="shared" si="13"/>
        <v>-5.6840000000000002</v>
      </c>
      <c r="AM168" s="308">
        <f t="shared" si="13"/>
        <v>0</v>
      </c>
      <c r="AN168" s="297">
        <f t="shared" si="13"/>
        <v>-3.512</v>
      </c>
      <c r="AO168" s="308">
        <f t="shared" si="13"/>
        <v>0</v>
      </c>
      <c r="AP168" s="298"/>
      <c r="AQ168" s="298"/>
    </row>
    <row r="169" spans="2:43" x14ac:dyDescent="0.25">
      <c r="C169" s="76"/>
      <c r="F169" t="s">
        <v>135</v>
      </c>
      <c r="G169" t="s">
        <v>183</v>
      </c>
      <c r="H169" s="363"/>
      <c r="I169" s="298"/>
      <c r="J169" s="299">
        <f t="shared" si="13"/>
        <v>0.375</v>
      </c>
      <c r="K169" s="299">
        <f t="shared" si="13"/>
        <v>0.375</v>
      </c>
      <c r="L169" s="299">
        <f t="shared" si="13"/>
        <v>0.45200000000000001</v>
      </c>
      <c r="M169" s="299">
        <f t="shared" si="13"/>
        <v>0.45200000000000001</v>
      </c>
      <c r="N169" s="299">
        <f t="shared" si="13"/>
        <v>0.45200000000000001</v>
      </c>
      <c r="O169" s="299">
        <f t="shared" si="13"/>
        <v>0.45200000000000001</v>
      </c>
      <c r="P169" s="299">
        <f t="shared" si="13"/>
        <v>0.45200000000000001</v>
      </c>
      <c r="Q169" s="299">
        <f t="shared" si="13"/>
        <v>0.45200000000000001</v>
      </c>
      <c r="R169" s="299">
        <f t="shared" si="13"/>
        <v>0.309</v>
      </c>
      <c r="S169" s="299">
        <f t="shared" si="13"/>
        <v>0.309</v>
      </c>
      <c r="T169" s="299">
        <f t="shared" si="13"/>
        <v>0.309</v>
      </c>
      <c r="U169" s="299">
        <f t="shared" si="13"/>
        <v>0.309</v>
      </c>
      <c r="V169" s="299">
        <f t="shared" si="13"/>
        <v>0.309</v>
      </c>
      <c r="W169" s="299">
        <f t="shared" si="13"/>
        <v>0.248</v>
      </c>
      <c r="X169" s="299">
        <f t="shared" si="13"/>
        <v>0.248</v>
      </c>
      <c r="Y169" s="299">
        <f t="shared" si="13"/>
        <v>0.248</v>
      </c>
      <c r="Z169" s="299">
        <f t="shared" si="13"/>
        <v>0.248</v>
      </c>
      <c r="AA169" s="299">
        <f t="shared" si="13"/>
        <v>0.248</v>
      </c>
      <c r="AB169" s="299">
        <f t="shared" si="13"/>
        <v>0.17399999999999999</v>
      </c>
      <c r="AC169" s="299">
        <f t="shared" si="13"/>
        <v>0.17399999999999999</v>
      </c>
      <c r="AD169" s="299">
        <f t="shared" si="13"/>
        <v>0.17399999999999999</v>
      </c>
      <c r="AE169" s="299">
        <f t="shared" si="13"/>
        <v>0.17399999999999999</v>
      </c>
      <c r="AF169" s="299">
        <f t="shared" si="13"/>
        <v>0.17399999999999999</v>
      </c>
      <c r="AG169" s="299">
        <f t="shared" si="13"/>
        <v>1.508</v>
      </c>
      <c r="AH169" s="299">
        <f t="shared" si="13"/>
        <v>-0.75</v>
      </c>
      <c r="AI169" s="299">
        <f t="shared" si="13"/>
        <v>-0.63500000000000001</v>
      </c>
      <c r="AJ169" s="299">
        <f t="shared" si="13"/>
        <v>-0.75</v>
      </c>
      <c r="AK169" s="365">
        <f t="shared" si="13"/>
        <v>0</v>
      </c>
      <c r="AL169" s="299">
        <f t="shared" si="13"/>
        <v>-0.63500000000000001</v>
      </c>
      <c r="AM169" s="365">
        <f t="shared" si="13"/>
        <v>0</v>
      </c>
      <c r="AN169" s="299">
        <f t="shared" si="13"/>
        <v>-0.313</v>
      </c>
      <c r="AO169" s="365">
        <f t="shared" si="13"/>
        <v>0</v>
      </c>
      <c r="AP169" s="298"/>
      <c r="AQ169" s="298"/>
    </row>
    <row r="170" spans="2:43" x14ac:dyDescent="0.25">
      <c r="C170" s="76"/>
      <c r="F170" t="s">
        <v>136</v>
      </c>
      <c r="G170" t="s">
        <v>183</v>
      </c>
      <c r="H170" s="363"/>
      <c r="I170" s="298"/>
      <c r="J170" s="299">
        <f t="shared" si="13"/>
        <v>7.0000000000000001E-3</v>
      </c>
      <c r="K170" s="299">
        <f t="shared" si="13"/>
        <v>7.0000000000000001E-3</v>
      </c>
      <c r="L170" s="299">
        <f t="shared" si="13"/>
        <v>8.0000000000000002E-3</v>
      </c>
      <c r="M170" s="299">
        <f t="shared" si="13"/>
        <v>8.0000000000000002E-3</v>
      </c>
      <c r="N170" s="299">
        <f t="shared" si="13"/>
        <v>8.0000000000000002E-3</v>
      </c>
      <c r="O170" s="299">
        <f t="shared" si="13"/>
        <v>8.0000000000000002E-3</v>
      </c>
      <c r="P170" s="299">
        <f t="shared" si="13"/>
        <v>8.0000000000000002E-3</v>
      </c>
      <c r="Q170" s="299">
        <f t="shared" si="13"/>
        <v>8.0000000000000002E-3</v>
      </c>
      <c r="R170" s="299">
        <f t="shared" si="13"/>
        <v>5.0000000000000001E-3</v>
      </c>
      <c r="S170" s="299">
        <f t="shared" si="13"/>
        <v>5.0000000000000001E-3</v>
      </c>
      <c r="T170" s="299">
        <f t="shared" si="13"/>
        <v>5.0000000000000001E-3</v>
      </c>
      <c r="U170" s="299">
        <f t="shared" si="13"/>
        <v>5.0000000000000001E-3</v>
      </c>
      <c r="V170" s="299">
        <f t="shared" si="13"/>
        <v>5.0000000000000001E-3</v>
      </c>
      <c r="W170" s="299">
        <f t="shared" si="13"/>
        <v>4.0000000000000001E-3</v>
      </c>
      <c r="X170" s="299">
        <f t="shared" si="13"/>
        <v>4.0000000000000001E-3</v>
      </c>
      <c r="Y170" s="299">
        <f t="shared" si="13"/>
        <v>4.0000000000000001E-3</v>
      </c>
      <c r="Z170" s="299">
        <f t="shared" si="13"/>
        <v>4.0000000000000001E-3</v>
      </c>
      <c r="AA170" s="299">
        <f t="shared" si="13"/>
        <v>4.0000000000000001E-3</v>
      </c>
      <c r="AB170" s="299">
        <f t="shared" si="13"/>
        <v>2E-3</v>
      </c>
      <c r="AC170" s="299">
        <f t="shared" si="13"/>
        <v>2E-3</v>
      </c>
      <c r="AD170" s="299">
        <f t="shared" si="13"/>
        <v>2E-3</v>
      </c>
      <c r="AE170" s="299">
        <f t="shared" si="13"/>
        <v>2E-3</v>
      </c>
      <c r="AF170" s="299">
        <f t="shared" si="13"/>
        <v>2E-3</v>
      </c>
      <c r="AG170" s="299">
        <f t="shared" si="13"/>
        <v>1.1539999999999999</v>
      </c>
      <c r="AH170" s="299">
        <f t="shared" si="13"/>
        <v>-1.2999999999999999E-2</v>
      </c>
      <c r="AI170" s="299">
        <f t="shared" si="13"/>
        <v>-1.0999999999999999E-2</v>
      </c>
      <c r="AJ170" s="299">
        <f t="shared" si="13"/>
        <v>-1.2999999999999999E-2</v>
      </c>
      <c r="AK170" s="365">
        <f t="shared" si="13"/>
        <v>0</v>
      </c>
      <c r="AL170" s="299">
        <f t="shared" si="13"/>
        <v>-1.0999999999999999E-2</v>
      </c>
      <c r="AM170" s="365">
        <f t="shared" si="13"/>
        <v>0</v>
      </c>
      <c r="AN170" s="299">
        <f t="shared" si="13"/>
        <v>-5.0000000000000001E-3</v>
      </c>
      <c r="AO170" s="365">
        <f t="shared" si="13"/>
        <v>0</v>
      </c>
      <c r="AP170" s="298"/>
      <c r="AQ170" s="298"/>
    </row>
    <row r="171" spans="2:43" x14ac:dyDescent="0.25">
      <c r="C171" s="76"/>
      <c r="F171" t="s">
        <v>254</v>
      </c>
      <c r="G171" t="s">
        <v>252</v>
      </c>
      <c r="H171" s="327"/>
      <c r="J171" s="215">
        <f t="shared" si="13"/>
        <v>10.23</v>
      </c>
      <c r="K171" s="215">
        <f t="shared" si="13"/>
        <v>0</v>
      </c>
      <c r="L171" s="215">
        <f t="shared" si="13"/>
        <v>2.67</v>
      </c>
      <c r="M171" s="215">
        <f t="shared" si="13"/>
        <v>12.66</v>
      </c>
      <c r="N171" s="215">
        <f t="shared" si="13"/>
        <v>25.64</v>
      </c>
      <c r="O171" s="215">
        <f t="shared" si="13"/>
        <v>52.27</v>
      </c>
      <c r="P171" s="215">
        <f t="shared" si="13"/>
        <v>148.51</v>
      </c>
      <c r="Q171" s="215">
        <f t="shared" si="13"/>
        <v>0</v>
      </c>
      <c r="R171" s="215">
        <f t="shared" si="13"/>
        <v>9.65</v>
      </c>
      <c r="S171" s="215">
        <f t="shared" si="13"/>
        <v>280.51</v>
      </c>
      <c r="T171" s="215">
        <f t="shared" si="13"/>
        <v>482.96</v>
      </c>
      <c r="U171" s="215">
        <f t="shared" si="13"/>
        <v>807.78</v>
      </c>
      <c r="V171" s="215">
        <f t="shared" si="13"/>
        <v>1747.53</v>
      </c>
      <c r="W171" s="215">
        <f t="shared" si="13"/>
        <v>5.87</v>
      </c>
      <c r="X171" s="215">
        <f t="shared" si="13"/>
        <v>462.78</v>
      </c>
      <c r="Y171" s="215">
        <f t="shared" si="13"/>
        <v>804.31</v>
      </c>
      <c r="Z171" s="215">
        <f t="shared" si="13"/>
        <v>1352.25</v>
      </c>
      <c r="AA171" s="215">
        <f t="shared" si="13"/>
        <v>2937.52</v>
      </c>
      <c r="AB171" s="215">
        <f t="shared" si="13"/>
        <v>96.91</v>
      </c>
      <c r="AC171" s="215">
        <f t="shared" si="13"/>
        <v>2717.16</v>
      </c>
      <c r="AD171" s="215">
        <f t="shared" si="13"/>
        <v>8042.1</v>
      </c>
      <c r="AE171" s="215">
        <f t="shared" si="13"/>
        <v>16293.01</v>
      </c>
      <c r="AF171" s="215">
        <f t="shared" si="13"/>
        <v>43053.82</v>
      </c>
      <c r="AG171" s="215">
        <f t="shared" si="13"/>
        <v>0</v>
      </c>
      <c r="AH171" s="215">
        <f t="shared" si="13"/>
        <v>0</v>
      </c>
      <c r="AI171" s="215">
        <f t="shared" si="13"/>
        <v>0</v>
      </c>
      <c r="AJ171" s="215">
        <f t="shared" si="13"/>
        <v>0</v>
      </c>
      <c r="AK171" s="234">
        <f t="shared" si="13"/>
        <v>0</v>
      </c>
      <c r="AL171" s="215">
        <f t="shared" si="13"/>
        <v>0</v>
      </c>
      <c r="AM171" s="234">
        <f t="shared" si="13"/>
        <v>0</v>
      </c>
      <c r="AN171" s="215">
        <f t="shared" si="13"/>
        <v>0</v>
      </c>
      <c r="AO171" s="234">
        <f t="shared" si="13"/>
        <v>0</v>
      </c>
    </row>
    <row r="172" spans="2:43" x14ac:dyDescent="0.25">
      <c r="C172" s="76"/>
      <c r="F172" t="s">
        <v>255</v>
      </c>
      <c r="G172" t="s">
        <v>251</v>
      </c>
      <c r="H172" s="327"/>
      <c r="J172" s="215">
        <f t="shared" si="13"/>
        <v>0</v>
      </c>
      <c r="K172" s="215">
        <f t="shared" si="13"/>
        <v>0</v>
      </c>
      <c r="L172" s="215">
        <f t="shared" si="13"/>
        <v>0</v>
      </c>
      <c r="M172" s="215">
        <f t="shared" si="13"/>
        <v>0</v>
      </c>
      <c r="N172" s="215">
        <f t="shared" si="13"/>
        <v>0</v>
      </c>
      <c r="O172" s="215">
        <f t="shared" si="13"/>
        <v>0</v>
      </c>
      <c r="P172" s="215">
        <f t="shared" si="13"/>
        <v>0</v>
      </c>
      <c r="Q172" s="215">
        <f t="shared" si="13"/>
        <v>0</v>
      </c>
      <c r="R172" s="215">
        <f t="shared" si="13"/>
        <v>1.1599999999999999</v>
      </c>
      <c r="S172" s="215">
        <f t="shared" si="13"/>
        <v>1.1599999999999999</v>
      </c>
      <c r="T172" s="215">
        <f t="shared" si="13"/>
        <v>1.1599999999999999</v>
      </c>
      <c r="U172" s="215">
        <f t="shared" si="13"/>
        <v>1.1599999999999999</v>
      </c>
      <c r="V172" s="215">
        <f t="shared" si="13"/>
        <v>1.1599999999999999</v>
      </c>
      <c r="W172" s="215">
        <f t="shared" si="13"/>
        <v>3.6</v>
      </c>
      <c r="X172" s="215">
        <f t="shared" si="13"/>
        <v>3.6</v>
      </c>
      <c r="Y172" s="215">
        <f t="shared" si="13"/>
        <v>3.6</v>
      </c>
      <c r="Z172" s="215">
        <f t="shared" si="13"/>
        <v>3.6</v>
      </c>
      <c r="AA172" s="215">
        <f t="shared" si="13"/>
        <v>3.6</v>
      </c>
      <c r="AB172" s="215">
        <f t="shared" si="13"/>
        <v>4.54</v>
      </c>
      <c r="AC172" s="215">
        <f t="shared" si="13"/>
        <v>4.54</v>
      </c>
      <c r="AD172" s="215">
        <f t="shared" si="13"/>
        <v>4.54</v>
      </c>
      <c r="AE172" s="215">
        <f t="shared" si="13"/>
        <v>4.54</v>
      </c>
      <c r="AF172" s="215">
        <f t="shared" si="13"/>
        <v>4.54</v>
      </c>
      <c r="AG172" s="215">
        <f t="shared" si="13"/>
        <v>0</v>
      </c>
      <c r="AH172" s="215">
        <f t="shared" si="13"/>
        <v>0</v>
      </c>
      <c r="AI172" s="215">
        <f t="shared" si="13"/>
        <v>0</v>
      </c>
      <c r="AJ172" s="215">
        <f t="shared" si="13"/>
        <v>0</v>
      </c>
      <c r="AK172" s="234">
        <f t="shared" si="13"/>
        <v>0</v>
      </c>
      <c r="AL172" s="215">
        <f t="shared" si="13"/>
        <v>0</v>
      </c>
      <c r="AM172" s="234">
        <f t="shared" si="13"/>
        <v>0</v>
      </c>
      <c r="AN172" s="215">
        <f t="shared" si="13"/>
        <v>0</v>
      </c>
      <c r="AO172" s="234">
        <f t="shared" si="13"/>
        <v>0</v>
      </c>
    </row>
    <row r="173" spans="2:43" x14ac:dyDescent="0.25">
      <c r="C173" s="76"/>
      <c r="F173" t="s">
        <v>256</v>
      </c>
      <c r="G173" t="s">
        <v>251</v>
      </c>
      <c r="H173" s="327"/>
      <c r="J173" s="215">
        <f t="shared" si="13"/>
        <v>0</v>
      </c>
      <c r="K173" s="215">
        <f t="shared" si="13"/>
        <v>0</v>
      </c>
      <c r="L173" s="215">
        <f t="shared" si="13"/>
        <v>0</v>
      </c>
      <c r="M173" s="215">
        <f t="shared" si="13"/>
        <v>0</v>
      </c>
      <c r="N173" s="215">
        <f t="shared" si="13"/>
        <v>0</v>
      </c>
      <c r="O173" s="215">
        <f t="shared" si="13"/>
        <v>0</v>
      </c>
      <c r="P173" s="215">
        <f t="shared" si="13"/>
        <v>0</v>
      </c>
      <c r="Q173" s="215">
        <f t="shared" si="13"/>
        <v>0</v>
      </c>
      <c r="R173" s="215">
        <f t="shared" si="13"/>
        <v>1.68</v>
      </c>
      <c r="S173" s="215">
        <f t="shared" si="13"/>
        <v>1.68</v>
      </c>
      <c r="T173" s="215">
        <f t="shared" si="13"/>
        <v>1.68</v>
      </c>
      <c r="U173" s="215">
        <f t="shared" si="13"/>
        <v>1.68</v>
      </c>
      <c r="V173" s="215">
        <f t="shared" si="13"/>
        <v>1.68</v>
      </c>
      <c r="W173" s="215">
        <f t="shared" si="13"/>
        <v>4.0999999999999996</v>
      </c>
      <c r="X173" s="215">
        <f t="shared" si="13"/>
        <v>4.0999999999999996</v>
      </c>
      <c r="Y173" s="215">
        <f t="shared" si="13"/>
        <v>4.0999999999999996</v>
      </c>
      <c r="Z173" s="215">
        <f t="shared" si="13"/>
        <v>4.0999999999999996</v>
      </c>
      <c r="AA173" s="215">
        <f t="shared" si="13"/>
        <v>4.0999999999999996</v>
      </c>
      <c r="AB173" s="215">
        <f t="shared" si="13"/>
        <v>5.59</v>
      </c>
      <c r="AC173" s="215">
        <f t="shared" si="13"/>
        <v>5.59</v>
      </c>
      <c r="AD173" s="215">
        <f t="shared" si="13"/>
        <v>5.59</v>
      </c>
      <c r="AE173" s="215">
        <f t="shared" si="13"/>
        <v>5.59</v>
      </c>
      <c r="AF173" s="215">
        <f t="shared" si="13"/>
        <v>5.59</v>
      </c>
      <c r="AG173" s="215">
        <f t="shared" si="13"/>
        <v>0</v>
      </c>
      <c r="AH173" s="215">
        <f t="shared" si="13"/>
        <v>0</v>
      </c>
      <c r="AI173" s="215">
        <f t="shared" si="13"/>
        <v>0</v>
      </c>
      <c r="AJ173" s="215">
        <f t="shared" si="13"/>
        <v>0</v>
      </c>
      <c r="AK173" s="234">
        <f t="shared" si="13"/>
        <v>0</v>
      </c>
      <c r="AL173" s="215">
        <f t="shared" si="13"/>
        <v>0</v>
      </c>
      <c r="AM173" s="234">
        <f t="shared" si="13"/>
        <v>0</v>
      </c>
      <c r="AN173" s="215">
        <f t="shared" si="13"/>
        <v>0</v>
      </c>
      <c r="AO173" s="234">
        <f t="shared" si="13"/>
        <v>0</v>
      </c>
    </row>
    <row r="174" spans="2:43" x14ac:dyDescent="0.25">
      <c r="C174" s="76"/>
      <c r="F174" s="17" t="s">
        <v>257</v>
      </c>
      <c r="G174" s="17" t="s">
        <v>258</v>
      </c>
      <c r="H174" s="310"/>
      <c r="I174" s="300"/>
      <c r="J174" s="301">
        <f t="shared" si="13"/>
        <v>0</v>
      </c>
      <c r="K174" s="301">
        <f t="shared" si="13"/>
        <v>0</v>
      </c>
      <c r="L174" s="301">
        <f t="shared" si="13"/>
        <v>0</v>
      </c>
      <c r="M174" s="301">
        <f t="shared" si="13"/>
        <v>0</v>
      </c>
      <c r="N174" s="301">
        <f t="shared" si="13"/>
        <v>0</v>
      </c>
      <c r="O174" s="301">
        <f t="shared" si="13"/>
        <v>0</v>
      </c>
      <c r="P174" s="301">
        <f t="shared" si="13"/>
        <v>0</v>
      </c>
      <c r="Q174" s="301">
        <f t="shared" si="13"/>
        <v>0</v>
      </c>
      <c r="R174" s="301">
        <f t="shared" si="13"/>
        <v>5.8999999999999997E-2</v>
      </c>
      <c r="S174" s="301">
        <f t="shared" si="13"/>
        <v>5.8999999999999997E-2</v>
      </c>
      <c r="T174" s="301">
        <f t="shared" si="13"/>
        <v>5.8999999999999997E-2</v>
      </c>
      <c r="U174" s="301">
        <f t="shared" si="13"/>
        <v>5.8999999999999997E-2</v>
      </c>
      <c r="V174" s="301">
        <f t="shared" si="13"/>
        <v>5.8999999999999997E-2</v>
      </c>
      <c r="W174" s="301">
        <f t="shared" si="13"/>
        <v>0.05</v>
      </c>
      <c r="X174" s="301">
        <f t="shared" si="13"/>
        <v>0.05</v>
      </c>
      <c r="Y174" s="301">
        <f t="shared" si="13"/>
        <v>0.05</v>
      </c>
      <c r="Z174" s="301">
        <f t="shared" si="13"/>
        <v>0.05</v>
      </c>
      <c r="AA174" s="301">
        <f t="shared" si="13"/>
        <v>0.05</v>
      </c>
      <c r="AB174" s="301">
        <f t="shared" si="13"/>
        <v>3.5999999999999997E-2</v>
      </c>
      <c r="AC174" s="301">
        <f t="shared" si="13"/>
        <v>3.5999999999999997E-2</v>
      </c>
      <c r="AD174" s="301">
        <f t="shared" si="13"/>
        <v>3.5999999999999997E-2</v>
      </c>
      <c r="AE174" s="301">
        <f t="shared" si="13"/>
        <v>3.5999999999999997E-2</v>
      </c>
      <c r="AF174" s="301">
        <f t="shared" si="13"/>
        <v>3.5999999999999997E-2</v>
      </c>
      <c r="AG174" s="301">
        <f t="shared" si="13"/>
        <v>0</v>
      </c>
      <c r="AH174" s="301">
        <f t="shared" si="13"/>
        <v>0</v>
      </c>
      <c r="AI174" s="301">
        <f t="shared" si="13"/>
        <v>0</v>
      </c>
      <c r="AJ174" s="301">
        <f t="shared" si="13"/>
        <v>0.13500000000000001</v>
      </c>
      <c r="AK174" s="305">
        <f t="shared" si="13"/>
        <v>0</v>
      </c>
      <c r="AL174" s="301">
        <f t="shared" si="13"/>
        <v>0.11700000000000001</v>
      </c>
      <c r="AM174" s="305">
        <f t="shared" si="13"/>
        <v>0</v>
      </c>
      <c r="AN174" s="301">
        <f t="shared" si="13"/>
        <v>9.6000000000000002E-2</v>
      </c>
      <c r="AO174" s="305">
        <f t="shared" si="13"/>
        <v>0</v>
      </c>
      <c r="AP174" s="298"/>
      <c r="AQ174" s="298"/>
    </row>
    <row r="175" spans="2:43" x14ac:dyDescent="0.25">
      <c r="C175" s="76"/>
    </row>
    <row r="176" spans="2:43" x14ac:dyDescent="0.25">
      <c r="B176" s="82" t="s">
        <v>109</v>
      </c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  <c r="AC176" s="82"/>
      <c r="AD176" s="82"/>
      <c r="AE176" s="82"/>
      <c r="AF176" s="82"/>
      <c r="AG176" s="82"/>
      <c r="AH176" s="82"/>
      <c r="AI176" s="82"/>
      <c r="AJ176" s="82"/>
      <c r="AK176" s="82"/>
      <c r="AL176" s="82"/>
      <c r="AM176" s="82"/>
      <c r="AN176" s="82"/>
      <c r="AO176" s="82"/>
      <c r="AP176" s="82"/>
      <c r="AQ176" s="82"/>
    </row>
    <row r="178" spans="2:43" x14ac:dyDescent="0.25">
      <c r="E178" t="s">
        <v>415</v>
      </c>
      <c r="G178" s="46" t="s">
        <v>588</v>
      </c>
      <c r="H178" s="263">
        <f t="array" ref="H178">SUM(IF(ISERROR(H20:AO174), 1))</f>
        <v>0</v>
      </c>
    </row>
    <row r="180" spans="2:43" x14ac:dyDescent="0.25">
      <c r="B180" s="82" t="s">
        <v>110</v>
      </c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  <c r="AC180" s="82"/>
      <c r="AD180" s="82"/>
      <c r="AE180" s="82"/>
      <c r="AF180" s="82"/>
      <c r="AG180" s="82"/>
      <c r="AH180" s="82"/>
      <c r="AI180" s="82"/>
      <c r="AJ180" s="82"/>
      <c r="AK180" s="82"/>
      <c r="AL180" s="82"/>
      <c r="AM180" s="82"/>
      <c r="AN180" s="82"/>
      <c r="AO180" s="82"/>
      <c r="AP180" s="82"/>
      <c r="AQ180" s="82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O25" sqref="O25"/>
    </sheetView>
  </sheetViews>
  <sheetFormatPr defaultColWidth="0" defaultRowHeight="15" x14ac:dyDescent="0.25"/>
  <cols>
    <col min="1" max="5" width="2.5703125" customWidth="1"/>
    <col min="6" max="6" width="59.5703125" customWidth="1"/>
    <col min="7" max="8" width="20.5703125" customWidth="1"/>
    <col min="9" max="9" width="2.42578125" customWidth="1"/>
    <col min="10" max="41" width="17" customWidth="1"/>
    <col min="42" max="42" width="2.42578125" customWidth="1"/>
    <col min="43" max="43" width="50.5703125" customWidth="1"/>
    <col min="44" max="44" width="2.42578125" customWidth="1"/>
    <col min="45" max="80" width="0" hidden="1" customWidth="1"/>
    <col min="81" max="16384" width="9.42578125" hidden="1"/>
  </cols>
  <sheetData>
    <row r="1" spans="1:43" s="8" customFormat="1" x14ac:dyDescent="0.25">
      <c r="A1" s="8" t="str">
        <f ca="1">MID(CELL("filename",A1),FIND("]",CELL("filename",A1))+1,255)</f>
        <v>Net revenue summary</v>
      </c>
    </row>
    <row r="2" spans="1:43" s="8" customFormat="1" x14ac:dyDescent="0.25">
      <c r="A2" s="8" t="str">
        <f>Cover!D21&amp;" - "&amp;Cover!D23</f>
        <v>SP Distribution - One</v>
      </c>
    </row>
    <row r="3" spans="1:43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3" x14ac:dyDescent="0.25">
      <c r="A4" s="194" t="str">
        <f>H146 &amp; IF(H146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</row>
    <row r="5" spans="1:43" ht="60" x14ac:dyDescent="0.25">
      <c r="B5" s="314" t="s">
        <v>451</v>
      </c>
      <c r="C5" s="315"/>
      <c r="D5" s="315"/>
      <c r="E5" s="315"/>
      <c r="F5" s="315"/>
      <c r="G5" s="1" t="s">
        <v>91</v>
      </c>
      <c r="H5" s="2" t="s">
        <v>92</v>
      </c>
      <c r="J5" s="330" t="s">
        <v>1001</v>
      </c>
      <c r="K5" s="330" t="s">
        <v>926</v>
      </c>
      <c r="L5" s="330" t="s">
        <v>1002</v>
      </c>
      <c r="M5" s="330" t="s">
        <v>1003</v>
      </c>
      <c r="N5" s="330" t="s">
        <v>1004</v>
      </c>
      <c r="O5" s="330" t="s">
        <v>1005</v>
      </c>
      <c r="P5" s="330" t="s">
        <v>1006</v>
      </c>
      <c r="Q5" s="330" t="s">
        <v>928</v>
      </c>
      <c r="R5" s="330" t="s">
        <v>1007</v>
      </c>
      <c r="S5" s="330" t="s">
        <v>1008</v>
      </c>
      <c r="T5" s="330" t="s">
        <v>1009</v>
      </c>
      <c r="U5" s="330" t="s">
        <v>1010</v>
      </c>
      <c r="V5" s="330" t="s">
        <v>1011</v>
      </c>
      <c r="W5" s="330" t="s">
        <v>1012</v>
      </c>
      <c r="X5" s="330" t="s">
        <v>1013</v>
      </c>
      <c r="Y5" s="330" t="s">
        <v>1014</v>
      </c>
      <c r="Z5" s="330" t="s">
        <v>1015</v>
      </c>
      <c r="AA5" s="330" t="s">
        <v>1016</v>
      </c>
      <c r="AB5" s="330" t="s">
        <v>1017</v>
      </c>
      <c r="AC5" s="330" t="s">
        <v>1018</v>
      </c>
      <c r="AD5" s="330" t="s">
        <v>1019</v>
      </c>
      <c r="AE5" s="330" t="s">
        <v>1020</v>
      </c>
      <c r="AF5" s="330" t="s">
        <v>1021</v>
      </c>
      <c r="AG5" s="330" t="s">
        <v>932</v>
      </c>
      <c r="AH5" s="330" t="s">
        <v>933</v>
      </c>
      <c r="AI5" s="330" t="s">
        <v>934</v>
      </c>
      <c r="AJ5" s="330" t="s">
        <v>935</v>
      </c>
      <c r="AK5" s="330" t="s">
        <v>936</v>
      </c>
      <c r="AL5" s="330" t="s">
        <v>937</v>
      </c>
      <c r="AM5" s="330" t="s">
        <v>938</v>
      </c>
      <c r="AN5" s="330" t="s">
        <v>939</v>
      </c>
      <c r="AO5" s="330" t="s">
        <v>940</v>
      </c>
      <c r="AQ5" s="1" t="s">
        <v>93</v>
      </c>
    </row>
    <row r="7" spans="1:43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</row>
    <row r="9" spans="1:43" x14ac:dyDescent="0.25">
      <c r="C9" s="73" t="s">
        <v>642</v>
      </c>
    </row>
    <row r="10" spans="1:43" x14ac:dyDescent="0.25">
      <c r="C10" s="12"/>
    </row>
    <row r="11" spans="1:43" x14ac:dyDescent="0.25">
      <c r="B11" s="82" t="s">
        <v>681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</row>
    <row r="12" spans="1:43" x14ac:dyDescent="0.25">
      <c r="D12" s="84"/>
      <c r="E12" s="84"/>
    </row>
    <row r="13" spans="1:43" x14ac:dyDescent="0.25">
      <c r="C13" s="5" t="str">
        <f ca="1">INDEX('Version control'!$H$36:$H$62,MATCH($A$1,'Version control'!$F$36:$F$62,0),1)&amp;"-A: Volume forecasts"</f>
        <v>Section 521-A: Volume forecasts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</row>
    <row r="14" spans="1:43" x14ac:dyDescent="0.25">
      <c r="D14" s="52"/>
    </row>
    <row r="15" spans="1:43" x14ac:dyDescent="0.25">
      <c r="C15" s="327"/>
      <c r="D15" s="327"/>
      <c r="E15" s="457" t="s">
        <v>1028</v>
      </c>
      <c r="G15" s="457" t="s">
        <v>426</v>
      </c>
      <c r="J15" s="327">
        <f>'Fixed inputs'!J170</f>
        <v>1</v>
      </c>
      <c r="K15" s="327">
        <f>'Fixed inputs'!K170</f>
        <v>2</v>
      </c>
      <c r="L15" s="327">
        <f>'Fixed inputs'!L170</f>
        <v>3</v>
      </c>
      <c r="M15" s="327">
        <f>'Fixed inputs'!M170</f>
        <v>3</v>
      </c>
      <c r="N15" s="327">
        <f>'Fixed inputs'!N170</f>
        <v>3</v>
      </c>
      <c r="O15" s="327">
        <f>'Fixed inputs'!O170</f>
        <v>3</v>
      </c>
      <c r="P15" s="327">
        <f>'Fixed inputs'!P170</f>
        <v>3</v>
      </c>
      <c r="Q15" s="327">
        <f>'Fixed inputs'!Q170</f>
        <v>4</v>
      </c>
      <c r="R15" s="327">
        <f>'Fixed inputs'!R170</f>
        <v>5</v>
      </c>
      <c r="S15" s="327">
        <f>'Fixed inputs'!S170</f>
        <v>5</v>
      </c>
      <c r="T15" s="327">
        <f>'Fixed inputs'!T170</f>
        <v>5</v>
      </c>
      <c r="U15" s="327">
        <f>'Fixed inputs'!U170</f>
        <v>5</v>
      </c>
      <c r="V15" s="327">
        <f>'Fixed inputs'!V170</f>
        <v>5</v>
      </c>
      <c r="W15" s="327">
        <f>'Fixed inputs'!W170</f>
        <v>6</v>
      </c>
      <c r="X15" s="327">
        <f>'Fixed inputs'!X170</f>
        <v>6</v>
      </c>
      <c r="Y15" s="327">
        <f>'Fixed inputs'!Y170</f>
        <v>6</v>
      </c>
      <c r="Z15" s="327">
        <f>'Fixed inputs'!Z170</f>
        <v>6</v>
      </c>
      <c r="AA15" s="327">
        <f>'Fixed inputs'!AA170</f>
        <v>6</v>
      </c>
      <c r="AB15" s="327">
        <f>'Fixed inputs'!AB170</f>
        <v>7</v>
      </c>
      <c r="AC15" s="327">
        <f>'Fixed inputs'!AC170</f>
        <v>7</v>
      </c>
      <c r="AD15" s="327">
        <f>'Fixed inputs'!AD170</f>
        <v>7</v>
      </c>
      <c r="AE15" s="327">
        <f>'Fixed inputs'!AE170</f>
        <v>7</v>
      </c>
      <c r="AF15" s="327">
        <f>'Fixed inputs'!AF170</f>
        <v>7</v>
      </c>
      <c r="AG15" s="327">
        <f>'Fixed inputs'!AG170</f>
        <v>8</v>
      </c>
      <c r="AH15" s="327">
        <f>'Fixed inputs'!AH170</f>
        <v>9</v>
      </c>
      <c r="AI15" s="327">
        <f>'Fixed inputs'!AI170</f>
        <v>10</v>
      </c>
      <c r="AJ15" s="327">
        <f>'Fixed inputs'!AJ170</f>
        <v>11</v>
      </c>
      <c r="AK15" s="327">
        <f>'Fixed inputs'!AK170</f>
        <v>12</v>
      </c>
      <c r="AL15" s="327">
        <f>'Fixed inputs'!AL170</f>
        <v>13</v>
      </c>
      <c r="AM15" s="327">
        <f>'Fixed inputs'!AM170</f>
        <v>14</v>
      </c>
      <c r="AN15" s="327">
        <f>'Fixed inputs'!AN170</f>
        <v>15</v>
      </c>
      <c r="AO15" s="327">
        <f>'Fixed inputs'!AO170</f>
        <v>16</v>
      </c>
    </row>
    <row r="16" spans="1:43" x14ac:dyDescent="0.25">
      <c r="E16" s="12"/>
      <c r="G16" s="12"/>
    </row>
    <row r="17" spans="3:43" x14ac:dyDescent="0.25">
      <c r="C17" s="327"/>
      <c r="D17" s="327"/>
      <c r="E17" s="457" t="s">
        <v>1027</v>
      </c>
      <c r="G17" s="457" t="s">
        <v>426</v>
      </c>
      <c r="J17" s="327">
        <f>'Fixed inputs'!J169</f>
        <v>1</v>
      </c>
      <c r="K17" s="327">
        <f>'Fixed inputs'!K169</f>
        <v>0</v>
      </c>
      <c r="L17" s="327">
        <f>'Fixed inputs'!L169</f>
        <v>0</v>
      </c>
      <c r="M17" s="327">
        <f>'Fixed inputs'!M169</f>
        <v>1</v>
      </c>
      <c r="N17" s="327">
        <f>'Fixed inputs'!N169</f>
        <v>2</v>
      </c>
      <c r="O17" s="327">
        <f>'Fixed inputs'!O169</f>
        <v>3</v>
      </c>
      <c r="P17" s="327">
        <f>'Fixed inputs'!P169</f>
        <v>4</v>
      </c>
      <c r="Q17" s="327">
        <f>'Fixed inputs'!Q169</f>
        <v>0</v>
      </c>
      <c r="R17" s="327">
        <f>'Fixed inputs'!R169</f>
        <v>0</v>
      </c>
      <c r="S17" s="327">
        <f>'Fixed inputs'!S169</f>
        <v>1</v>
      </c>
      <c r="T17" s="327">
        <f>'Fixed inputs'!T169</f>
        <v>2</v>
      </c>
      <c r="U17" s="327">
        <f>'Fixed inputs'!U169</f>
        <v>3</v>
      </c>
      <c r="V17" s="327">
        <f>'Fixed inputs'!V169</f>
        <v>4</v>
      </c>
      <c r="W17" s="327">
        <f>'Fixed inputs'!W169</f>
        <v>0</v>
      </c>
      <c r="X17" s="327">
        <f>'Fixed inputs'!X169</f>
        <v>1</v>
      </c>
      <c r="Y17" s="327">
        <f>'Fixed inputs'!Y169</f>
        <v>2</v>
      </c>
      <c r="Z17" s="327">
        <f>'Fixed inputs'!Z169</f>
        <v>3</v>
      </c>
      <c r="AA17" s="327">
        <f>'Fixed inputs'!AA169</f>
        <v>4</v>
      </c>
      <c r="AB17" s="327">
        <f>'Fixed inputs'!AB169</f>
        <v>0</v>
      </c>
      <c r="AC17" s="327">
        <f>'Fixed inputs'!AC169</f>
        <v>1</v>
      </c>
      <c r="AD17" s="327">
        <f>'Fixed inputs'!AD169</f>
        <v>2</v>
      </c>
      <c r="AE17" s="327">
        <f>'Fixed inputs'!AE169</f>
        <v>3</v>
      </c>
      <c r="AF17" s="327">
        <f>'Fixed inputs'!AF169</f>
        <v>4</v>
      </c>
      <c r="AG17" s="327">
        <f>'Fixed inputs'!AG169</f>
        <v>1</v>
      </c>
      <c r="AH17" s="327">
        <f>'Fixed inputs'!AH169</f>
        <v>0</v>
      </c>
      <c r="AI17" s="327">
        <f>'Fixed inputs'!AI169</f>
        <v>0</v>
      </c>
      <c r="AJ17" s="327">
        <f>'Fixed inputs'!AJ169</f>
        <v>0</v>
      </c>
      <c r="AK17" s="327">
        <f>'Fixed inputs'!AK169</f>
        <v>0</v>
      </c>
      <c r="AL17" s="327">
        <f>'Fixed inputs'!AL169</f>
        <v>0</v>
      </c>
      <c r="AM17" s="327">
        <f>'Fixed inputs'!AM169</f>
        <v>0</v>
      </c>
      <c r="AN17" s="327">
        <f>'Fixed inputs'!AN169</f>
        <v>0</v>
      </c>
      <c r="AO17" s="327">
        <f>'Fixed inputs'!AO169</f>
        <v>0</v>
      </c>
    </row>
    <row r="18" spans="3:43" x14ac:dyDescent="0.25">
      <c r="D18" s="52"/>
    </row>
    <row r="19" spans="3:43" x14ac:dyDescent="0.25">
      <c r="E19" s="52" t="s">
        <v>899</v>
      </c>
      <c r="I19" t="s">
        <v>359</v>
      </c>
      <c r="AQ19" t="s">
        <v>691</v>
      </c>
    </row>
    <row r="20" spans="3:43" x14ac:dyDescent="0.25">
      <c r="E20" s="52"/>
      <c r="F20" s="73" t="s">
        <v>1109</v>
      </c>
    </row>
    <row r="21" spans="3:43" x14ac:dyDescent="0.25">
      <c r="E21" s="52"/>
      <c r="F21" s="73" t="s">
        <v>1110</v>
      </c>
    </row>
    <row r="22" spans="3:43" x14ac:dyDescent="0.25">
      <c r="F22" s="38" t="s">
        <v>199</v>
      </c>
      <c r="G22" s="38" t="s">
        <v>120</v>
      </c>
      <c r="H22" s="402">
        <v>0</v>
      </c>
      <c r="I22" s="80"/>
      <c r="J22" s="238">
        <f>INDEX('Volume adjustments'!$J$527:$Y$567,J$17 + 1 + $H22*$H$28, J$15)</f>
        <v>690665.52756605227</v>
      </c>
      <c r="K22" s="238">
        <f>INDEX('Volume adjustments'!$J$527:$Y$567,K$17 + 1 + $H22*$H$28, K$15)</f>
        <v>652.15353635409315</v>
      </c>
      <c r="L22" s="238">
        <f>INDEX('Volume adjustments'!$J$527:$Y$567,L$17 + 1 + $H22*$H$28, L$15)</f>
        <v>17.458206837827863</v>
      </c>
      <c r="M22" s="238">
        <f>INDEX('Volume adjustments'!$J$527:$Y$567,M$17 + 1 + $H22*$H$28, M$15)</f>
        <v>16636.262053683062</v>
      </c>
      <c r="N22" s="238">
        <f>INDEX('Volume adjustments'!$J$527:$Y$567,N$17 + 1 + $H22*$H$28, N$15)</f>
        <v>30057.319359680965</v>
      </c>
      <c r="O22" s="238">
        <f>INDEX('Volume adjustments'!$J$527:$Y$567,O$17 + 1 + $H22*$H$28, O$15)</f>
        <v>37425.923933004749</v>
      </c>
      <c r="P22" s="238">
        <f>INDEX('Volume adjustments'!$J$527:$Y$567,P$17 + 1 + $H22*$H$28, P$15)</f>
        <v>113078.7546939583</v>
      </c>
      <c r="Q22" s="238">
        <f>INDEX('Volume adjustments'!$J$527:$Y$567,Q$17 + 1 + $H22*$H$28, Q$15)</f>
        <v>596.52194686342921</v>
      </c>
      <c r="R22" s="238">
        <f>INDEX('Volume adjustments'!$J$527:$Y$567,R$17 + 1 + $H22*$H$28, R$15)</f>
        <v>12.367051703011343</v>
      </c>
      <c r="S22" s="238">
        <f>INDEX('Volume adjustments'!$J$527:$Y$567,S$17 + 1 + $H22*$H$28, S$15)</f>
        <v>45771.541992618622</v>
      </c>
      <c r="T22" s="238">
        <f>INDEX('Volume adjustments'!$J$527:$Y$567,T$17 + 1 + $H22*$H$28, T$15)</f>
        <v>65625.904093153804</v>
      </c>
      <c r="U22" s="238">
        <f>INDEX('Volume adjustments'!$J$527:$Y$567,U$17 + 1 + $H22*$H$28, U$15)</f>
        <v>36868.568333115407</v>
      </c>
      <c r="V22" s="238">
        <f>INDEX('Volume adjustments'!$J$527:$Y$567,V$17 + 1 + $H22*$H$28, V$15)</f>
        <v>90934.026821706211</v>
      </c>
      <c r="W22" s="238">
        <f>INDEX('Volume adjustments'!$J$527:$Y$567,W$17 + 1 + $H22*$H$28, W$15)</f>
        <v>0.10809059005544162</v>
      </c>
      <c r="X22" s="238">
        <f>INDEX('Volume adjustments'!$J$527:$Y$567,X$17 + 1 + $H22*$H$28, X$15)</f>
        <v>138.40406993184831</v>
      </c>
      <c r="Y22" s="238">
        <f>INDEX('Volume adjustments'!$J$527:$Y$567,Y$17 + 1 + $H22*$H$28, Y$15)</f>
        <v>622.15327059830827</v>
      </c>
      <c r="Z22" s="238">
        <f>INDEX('Volume adjustments'!$J$527:$Y$567,Z$17 + 1 + $H22*$H$28, Z$15)</f>
        <v>2087.8978294873009</v>
      </c>
      <c r="AA22" s="238">
        <f>INDEX('Volume adjustments'!$J$527:$Y$567,AA$17 + 1 + $H22*$H$28, AA$15)</f>
        <v>21698.50373939249</v>
      </c>
      <c r="AB22" s="238">
        <f>INDEX('Volume adjustments'!$J$527:$Y$567,AB$17 + 1 + $H22*$H$28, AB$15)</f>
        <v>303.00288221653483</v>
      </c>
      <c r="AC22" s="238">
        <f>INDEX('Volume adjustments'!$J$527:$Y$567,AC$17 + 1 + $H22*$H$28, AC$15)</f>
        <v>16825.160368042096</v>
      </c>
      <c r="AD22" s="238">
        <f>INDEX('Volume adjustments'!$J$527:$Y$567,AD$17 + 1 + $H22*$H$28, AD$15)</f>
        <v>57933.42611206969</v>
      </c>
      <c r="AE22" s="238">
        <f>INDEX('Volume adjustments'!$J$527:$Y$567,AE$17 + 1 + $H22*$H$28, AE$15)</f>
        <v>52159.250767746467</v>
      </c>
      <c r="AF22" s="238">
        <f>INDEX('Volume adjustments'!$J$527:$Y$567,AF$17 + 1 + $H22*$H$28, AF$15)</f>
        <v>164544.48604752985</v>
      </c>
      <c r="AG22" s="238">
        <f>INDEX('Volume adjustments'!$J$527:$Y$567,AG$17 + 1 + $H22*$H$28, AG$15)</f>
        <v>11180.532790656171</v>
      </c>
      <c r="AH22" s="238">
        <f>INDEX('Volume adjustments'!$J$527:$Y$567,AH$17 + 1 + $H22*$H$28, AH$15)</f>
        <v>931.43637713580506</v>
      </c>
      <c r="AI22" s="238">
        <f>INDEX('Volume adjustments'!$J$527:$Y$567,AI$17 + 1 + $H22*$H$28, AI$15)</f>
        <v>11.571999999999999</v>
      </c>
      <c r="AJ22" s="238">
        <f>INDEX('Volume adjustments'!$J$527:$Y$567,AJ$17 + 1 + $H22*$H$28, AJ$15)</f>
        <v>5840.0349999999999</v>
      </c>
      <c r="AK22" s="238">
        <f>INDEX('Volume adjustments'!$J$527:$Y$567,AK$17 + 1 + $H22*$H$28, AK$15)</f>
        <v>0</v>
      </c>
      <c r="AL22" s="238">
        <f>INDEX('Volume adjustments'!$J$527:$Y$567,AL$17 + 1 + $H22*$H$28, AL$15)</f>
        <v>62.863</v>
      </c>
      <c r="AM22" s="238">
        <f>INDEX('Volume adjustments'!$J$527:$Y$567,AM$17 + 1 + $H22*$H$28, AM$15)</f>
        <v>0</v>
      </c>
      <c r="AN22" s="238">
        <f>INDEX('Volume adjustments'!$J$527:$Y$567,AN$17 + 1 + $H22*$H$28, AN$15)</f>
        <v>118436.88399999999</v>
      </c>
      <c r="AO22" s="238">
        <f>INDEX('Volume adjustments'!$J$527:$Y$567,AO$17 + 1 + $H22*$H$28, AO$15)</f>
        <v>0</v>
      </c>
    </row>
    <row r="23" spans="3:43" x14ac:dyDescent="0.25">
      <c r="E23" s="12"/>
      <c r="F23" s="92" t="s">
        <v>200</v>
      </c>
      <c r="G23" s="92" t="s">
        <v>120</v>
      </c>
      <c r="H23" s="435">
        <v>1</v>
      </c>
      <c r="J23" s="433">
        <f>INDEX('Volume adjustments'!$J$527:$Y$567,J$17 + 1 + $H23*$H$28, J$15)</f>
        <v>2376763.4827184244</v>
      </c>
      <c r="K23" s="433">
        <f>INDEX('Volume adjustments'!$J$527:$Y$567,K$17 + 1 + $H23*$H$28, K$15)</f>
        <v>17758.957834530302</v>
      </c>
      <c r="L23" s="433">
        <f>INDEX('Volume adjustments'!$J$527:$Y$567,L$17 + 1 + $H23*$H$28, L$15)</f>
        <v>89.773682852368651</v>
      </c>
      <c r="M23" s="433">
        <f>INDEX('Volume adjustments'!$J$527:$Y$567,M$17 + 1 + $H23*$H$28, M$15)</f>
        <v>85547.074068350208</v>
      </c>
      <c r="N23" s="433">
        <f>INDEX('Volume adjustments'!$J$527:$Y$567,N$17 + 1 + $H23*$H$28, N$15)</f>
        <v>154560.90540419368</v>
      </c>
      <c r="O23" s="433">
        <f>INDEX('Volume adjustments'!$J$527:$Y$567,O$17 + 1 + $H23*$H$28, O$15)</f>
        <v>192451.78252433133</v>
      </c>
      <c r="P23" s="433">
        <f>INDEX('Volume adjustments'!$J$527:$Y$567,P$17 + 1 + $H23*$H$28, P$15)</f>
        <v>581474.16602032015</v>
      </c>
      <c r="Q23" s="433">
        <f>INDEX('Volume adjustments'!$J$527:$Y$567,Q$17 + 1 + $H23*$H$28, Q$15)</f>
        <v>8872.4799352594691</v>
      </c>
      <c r="R23" s="433">
        <f>INDEX('Volume adjustments'!$J$527:$Y$567,R$17 + 1 + $H23*$H$28, R$15)</f>
        <v>59.332965344726659</v>
      </c>
      <c r="S23" s="433">
        <f>INDEX('Volume adjustments'!$J$527:$Y$567,S$17 + 1 + $H23*$H$28, S$15)</f>
        <v>219596.50368094287</v>
      </c>
      <c r="T23" s="433">
        <f>INDEX('Volume adjustments'!$J$527:$Y$567,T$17 + 1 + $H23*$H$28, T$15)</f>
        <v>314851.0725743408</v>
      </c>
      <c r="U23" s="433">
        <f>INDEX('Volume adjustments'!$J$527:$Y$567,U$17 + 1 + $H23*$H$28, U$15)</f>
        <v>176883.02270829573</v>
      </c>
      <c r="V23" s="433">
        <f>INDEX('Volume adjustments'!$J$527:$Y$567,V$17 + 1 + $H23*$H$28, V$15)</f>
        <v>436270.95540928131</v>
      </c>
      <c r="W23" s="433">
        <f>INDEX('Volume adjustments'!$J$527:$Y$567,W$17 + 1 + $H23*$H$28, W$15)</f>
        <v>0.50378073179162042</v>
      </c>
      <c r="X23" s="433">
        <f>INDEX('Volume adjustments'!$J$527:$Y$567,X$17 + 1 + $H23*$H$28, X$15)</f>
        <v>645.06358599246971</v>
      </c>
      <c r="Y23" s="433">
        <f>INDEX('Volume adjustments'!$J$527:$Y$567,Y$17 + 1 + $H23*$H$28, Y$15)</f>
        <v>2899.6865479946259</v>
      </c>
      <c r="Z23" s="433">
        <f>INDEX('Volume adjustments'!$J$527:$Y$567,Z$17 + 1 + $H23*$H$28, Z$15)</f>
        <v>9731.1217924311368</v>
      </c>
      <c r="AA23" s="433">
        <f>INDEX('Volume adjustments'!$J$527:$Y$567,AA$17 + 1 + $H23*$H$28, AA$15)</f>
        <v>101130.80229284996</v>
      </c>
      <c r="AB23" s="433">
        <f>INDEX('Volume adjustments'!$J$527:$Y$567,AB$17 + 1 + $H23*$H$28, AB$15)</f>
        <v>1405.3229265301227</v>
      </c>
      <c r="AC23" s="433">
        <f>INDEX('Volume adjustments'!$J$527:$Y$567,AC$17 + 1 + $H23*$H$28, AC$15)</f>
        <v>78034.847176332449</v>
      </c>
      <c r="AD23" s="433">
        <f>INDEX('Volume adjustments'!$J$527:$Y$567,AD$17 + 1 + $H23*$H$28, AD$15)</f>
        <v>268694.38116284559</v>
      </c>
      <c r="AE23" s="433">
        <f>INDEX('Volume adjustments'!$J$527:$Y$567,AE$17 + 1 + $H23*$H$28, AE$15)</f>
        <v>241913.84054942831</v>
      </c>
      <c r="AF23" s="433">
        <f>INDEX('Volume adjustments'!$J$527:$Y$567,AF$17 + 1 + $H23*$H$28, AF$15)</f>
        <v>763154.91451813979</v>
      </c>
      <c r="AG23" s="433">
        <f>INDEX('Volume adjustments'!$J$527:$Y$567,AG$17 + 1 + $H23*$H$28, AG$15)</f>
        <v>64407.420619468379</v>
      </c>
      <c r="AH23" s="433">
        <f>INDEX('Volume adjustments'!$J$527:$Y$567,AH$17 + 1 + $H23*$H$28, AH$15)</f>
        <v>5999.8136998466971</v>
      </c>
      <c r="AI23" s="433">
        <f>INDEX('Volume adjustments'!$J$527:$Y$567,AI$17 + 1 + $H23*$H$28, AI$15)</f>
        <v>49.278999999999996</v>
      </c>
      <c r="AJ23" s="433">
        <f>INDEX('Volume adjustments'!$J$527:$Y$567,AJ$17 + 1 + $H23*$H$28, AJ$15)</f>
        <v>26458.666000000001</v>
      </c>
      <c r="AK23" s="433">
        <f>INDEX('Volume adjustments'!$J$527:$Y$567,AK$17 + 1 + $H23*$H$28, AK$15)</f>
        <v>0</v>
      </c>
      <c r="AL23" s="433">
        <f>INDEX('Volume adjustments'!$J$527:$Y$567,AL$17 + 1 + $H23*$H$28, AL$15)</f>
        <v>312.48</v>
      </c>
      <c r="AM23" s="433">
        <f>INDEX('Volume adjustments'!$J$527:$Y$567,AM$17 + 1 + $H23*$H$28, AM$15)</f>
        <v>0</v>
      </c>
      <c r="AN23" s="433">
        <f>INDEX('Volume adjustments'!$J$527:$Y$567,AN$17 + 1 + $H23*$H$28, AN$15)</f>
        <v>429284.261</v>
      </c>
      <c r="AO23" s="433">
        <f>INDEX('Volume adjustments'!$J$527:$Y$567,AO$17 + 1 + $H23*$H$28, AO$15)</f>
        <v>0</v>
      </c>
    </row>
    <row r="24" spans="3:43" x14ac:dyDescent="0.25">
      <c r="E24" s="12"/>
      <c r="F24" s="92" t="s">
        <v>201</v>
      </c>
      <c r="G24" s="92" t="s">
        <v>120</v>
      </c>
      <c r="H24" s="435">
        <v>2</v>
      </c>
      <c r="J24" s="433">
        <f>INDEX('Volume adjustments'!$J$527:$Y$567,J$17 + 1 + $H24*$H$28, J$15)</f>
        <v>2257194.3085960886</v>
      </c>
      <c r="K24" s="433">
        <f>INDEX('Volume adjustments'!$J$527:$Y$567,K$17 + 1 + $H24*$H$28, K$15)</f>
        <v>171594.78624832345</v>
      </c>
      <c r="L24" s="433">
        <f>INDEX('Volume adjustments'!$J$527:$Y$567,L$17 + 1 + $H24*$H$28, L$15)</f>
        <v>72.20746328181572</v>
      </c>
      <c r="M24" s="433">
        <f>INDEX('Volume adjustments'!$J$527:$Y$567,M$17 + 1 + $H24*$H$28, M$15)</f>
        <v>68807.884598155215</v>
      </c>
      <c r="N24" s="433">
        <f>INDEX('Volume adjustments'!$J$527:$Y$567,N$17 + 1 + $H24*$H$28, N$15)</f>
        <v>124317.62346355653</v>
      </c>
      <c r="O24" s="433">
        <f>INDEX('Volume adjustments'!$J$527:$Y$567,O$17 + 1 + $H24*$H$28, O$15)</f>
        <v>154794.30695739787</v>
      </c>
      <c r="P24" s="433">
        <f>INDEX('Volume adjustments'!$J$527:$Y$567,P$17 + 1 + $H24*$H$28, P$15)</f>
        <v>467695.8007981386</v>
      </c>
      <c r="Q24" s="433">
        <f>INDEX('Volume adjustments'!$J$527:$Y$567,Q$17 + 1 + $H24*$H$28, Q$15)</f>
        <v>35850.647959933427</v>
      </c>
      <c r="R24" s="433">
        <f>INDEX('Volume adjustments'!$J$527:$Y$567,R$17 + 1 + $H24*$H$28, R$15)</f>
        <v>52.629377636737694</v>
      </c>
      <c r="S24" s="433">
        <f>INDEX('Volume adjustments'!$J$527:$Y$567,S$17 + 1 + $H24*$H$28, S$15)</f>
        <v>194785.9381843415</v>
      </c>
      <c r="T24" s="433">
        <f>INDEX('Volume adjustments'!$J$527:$Y$567,T$17 + 1 + $H24*$H$28, T$15)</f>
        <v>279278.4062210978</v>
      </c>
      <c r="U24" s="433">
        <f>INDEX('Volume adjustments'!$J$527:$Y$567,U$17 + 1 + $H24*$H$28, U$15)</f>
        <v>156898.33376025464</v>
      </c>
      <c r="V24" s="433">
        <f>INDEX('Volume adjustments'!$J$527:$Y$567,V$17 + 1 + $H24*$H$28, V$15)</f>
        <v>386979.96519764536</v>
      </c>
      <c r="W24" s="433">
        <f>INDEX('Volume adjustments'!$J$527:$Y$567,W$17 + 1 + $H24*$H$28, W$15)</f>
        <v>0.51812867815293817</v>
      </c>
      <c r="X24" s="433">
        <f>INDEX('Volume adjustments'!$J$527:$Y$567,X$17 + 1 + $H24*$H$28, X$15)</f>
        <v>663.435344075682</v>
      </c>
      <c r="Y24" s="433">
        <f>INDEX('Volume adjustments'!$J$527:$Y$567,Y$17 + 1 + $H24*$H$28, Y$15)</f>
        <v>2982.2711814070658</v>
      </c>
      <c r="Z24" s="433">
        <f>INDEX('Volume adjustments'!$J$527:$Y$567,Z$17 + 1 + $H24*$H$28, Z$15)</f>
        <v>10008.269378081564</v>
      </c>
      <c r="AA24" s="433">
        <f>INDEX('Volume adjustments'!$J$527:$Y$567,AA$17 + 1 + $H24*$H$28, AA$15)</f>
        <v>104011.06196775756</v>
      </c>
      <c r="AB24" s="433">
        <f>INDEX('Volume adjustments'!$J$527:$Y$567,AB$17 + 1 + $H24*$H$28, AB$15)</f>
        <v>1546.3846427787762</v>
      </c>
      <c r="AC24" s="433">
        <f>INDEX('Volume adjustments'!$J$527:$Y$567,AC$17 + 1 + $H24*$H$28, AC$15)</f>
        <v>85867.729755907218</v>
      </c>
      <c r="AD24" s="433">
        <f>INDEX('Volume adjustments'!$J$527:$Y$567,AD$17 + 1 + $H24*$H$28, AD$15)</f>
        <v>295665.04380391253</v>
      </c>
      <c r="AE24" s="433">
        <f>INDEX('Volume adjustments'!$J$527:$Y$567,AE$17 + 1 + $H24*$H$28, AE$15)</f>
        <v>266196.36016679689</v>
      </c>
      <c r="AF24" s="433">
        <f>INDEX('Volume adjustments'!$J$527:$Y$567,AF$17 + 1 + $H24*$H$28, AF$15)</f>
        <v>839757.90730594413</v>
      </c>
      <c r="AG24" s="433">
        <f>INDEX('Volume adjustments'!$J$527:$Y$567,AG$17 + 1 + $H24*$H$28, AG$15)</f>
        <v>148584.05886729746</v>
      </c>
      <c r="AH24" s="433">
        <f>INDEX('Volume adjustments'!$J$527:$Y$567,AH$17 + 1 + $H24*$H$28, AH$15)</f>
        <v>2681.8786975178805</v>
      </c>
      <c r="AI24" s="433">
        <f>INDEX('Volume adjustments'!$J$527:$Y$567,AI$17 + 1 + $H24*$H$28, AI$15)</f>
        <v>45.105000000000004</v>
      </c>
      <c r="AJ24" s="433">
        <f>INDEX('Volume adjustments'!$J$527:$Y$567,AJ$17 + 1 + $H24*$H$28, AJ$15)</f>
        <v>29713.727000000003</v>
      </c>
      <c r="AK24" s="433">
        <f>INDEX('Volume adjustments'!$J$527:$Y$567,AK$17 + 1 + $H24*$H$28, AK$15)</f>
        <v>0</v>
      </c>
      <c r="AL24" s="433">
        <f>INDEX('Volume adjustments'!$J$527:$Y$567,AL$17 + 1 + $H24*$H$28, AL$15)</f>
        <v>275.35399999999998</v>
      </c>
      <c r="AM24" s="433">
        <f>INDEX('Volume adjustments'!$J$527:$Y$567,AM$17 + 1 + $H24*$H$28, AM$15)</f>
        <v>0</v>
      </c>
      <c r="AN24" s="433">
        <f>INDEX('Volume adjustments'!$J$527:$Y$567,AN$17 + 1 + $H24*$H$28, AN$15)</f>
        <v>489264.26399999997</v>
      </c>
      <c r="AO24" s="433">
        <f>INDEX('Volume adjustments'!$J$527:$Y$567,AO$17 + 1 + $H24*$H$28, AO$15)</f>
        <v>0</v>
      </c>
    </row>
    <row r="25" spans="3:43" x14ac:dyDescent="0.25">
      <c r="E25" s="12"/>
      <c r="F25" s="92" t="s">
        <v>74</v>
      </c>
      <c r="G25" s="92" t="s">
        <v>74</v>
      </c>
      <c r="H25" s="435">
        <v>3</v>
      </c>
      <c r="J25" s="433">
        <f>INDEX('Volume adjustments'!$J$527:$Y$567,J$17 + 1 + $H25*$H$28, J$15)</f>
        <v>1858128</v>
      </c>
      <c r="K25" s="433">
        <f>INDEX('Volume adjustments'!$J$527:$Y$567,K$17 + 1 + $H25*$H$28, K$15)</f>
        <v>92980</v>
      </c>
      <c r="L25" s="433">
        <f>INDEX('Volume adjustments'!$J$527:$Y$567,L$17 + 1 + $H25*$H$28, L$15)</f>
        <v>60</v>
      </c>
      <c r="M25" s="433">
        <f>INDEX('Volume adjustments'!$J$527:$Y$567,M$17 + 1 + $H25*$H$28, M$15)</f>
        <v>46603</v>
      </c>
      <c r="N25" s="433">
        <f>INDEX('Volume adjustments'!$J$527:$Y$567,N$17 + 1 + $H25*$H$28, N$15)</f>
        <v>36661</v>
      </c>
      <c r="O25" s="433">
        <f>INDEX('Volume adjustments'!$J$527:$Y$567,O$17 + 1 + $H25*$H$28, O$15)</f>
        <v>21107</v>
      </c>
      <c r="P25" s="433">
        <f>INDEX('Volume adjustments'!$J$527:$Y$567,P$17 + 1 + $H25*$H$28, P$15)</f>
        <v>21705</v>
      </c>
      <c r="Q25" s="433">
        <f>INDEX('Volume adjustments'!$J$527:$Y$567,Q$17 + 1 + $H25*$H$28, Q$15)</f>
        <v>5473</v>
      </c>
      <c r="R25" s="433">
        <f>INDEX('Volume adjustments'!$J$527:$Y$567,R$17 + 1 + $H25*$H$28, R$15)</f>
        <v>21</v>
      </c>
      <c r="S25" s="433">
        <f>INDEX('Volume adjustments'!$J$527:$Y$567,S$17 + 1 + $H25*$H$28, S$15)</f>
        <v>4524</v>
      </c>
      <c r="T25" s="433">
        <f>INDEX('Volume adjustments'!$J$527:$Y$567,T$17 + 1 + $H25*$H$28, T$15)</f>
        <v>3723</v>
      </c>
      <c r="U25" s="433">
        <f>INDEX('Volume adjustments'!$J$527:$Y$567,U$17 + 1 + $H25*$H$28, U$15)</f>
        <v>1261</v>
      </c>
      <c r="V25" s="433">
        <f>INDEX('Volume adjustments'!$J$527:$Y$567,V$17 + 1 + $H25*$H$28, V$15)</f>
        <v>1557</v>
      </c>
      <c r="W25" s="433">
        <f>INDEX('Volume adjustments'!$J$527:$Y$567,W$17 + 1 + $H25*$H$28, W$15)</f>
        <v>1</v>
      </c>
      <c r="X25" s="433">
        <f>INDEX('Volume adjustments'!$J$527:$Y$567,X$17 + 1 + $H25*$H$28, X$15)</f>
        <v>10</v>
      </c>
      <c r="Y25" s="433">
        <f>INDEX('Volume adjustments'!$J$527:$Y$567,Y$17 + 1 + $H25*$H$28, Y$15)</f>
        <v>24</v>
      </c>
      <c r="Z25" s="433">
        <f>INDEX('Volume adjustments'!$J$527:$Y$567,Z$17 + 1 + $H25*$H$28, Z$15)</f>
        <v>41</v>
      </c>
      <c r="AA25" s="433">
        <f>INDEX('Volume adjustments'!$J$527:$Y$567,AA$17 + 1 + $H25*$H$28, AA$15)</f>
        <v>202</v>
      </c>
      <c r="AB25" s="433">
        <f>INDEX('Volume adjustments'!$J$527:$Y$567,AB$17 + 1 + $H25*$H$28, AB$15)</f>
        <v>133</v>
      </c>
      <c r="AC25" s="433">
        <f>INDEX('Volume adjustments'!$J$527:$Y$567,AC$17 + 1 + $H25*$H$28, AC$15)</f>
        <v>356</v>
      </c>
      <c r="AD25" s="433">
        <f>INDEX('Volume adjustments'!$J$527:$Y$567,AD$17 + 1 + $H25*$H$28, AD$15)</f>
        <v>403</v>
      </c>
      <c r="AE25" s="433">
        <f>INDEX('Volume adjustments'!$J$527:$Y$567,AE$17 + 1 + $H25*$H$28, AE$15)</f>
        <v>177</v>
      </c>
      <c r="AF25" s="433">
        <f>INDEX('Volume adjustments'!$J$527:$Y$567,AF$17 + 1 + $H25*$H$28, AF$15)</f>
        <v>210</v>
      </c>
      <c r="AG25" s="433">
        <f>INDEX('Volume adjustments'!$J$527:$Y$567,AG$17 + 1 + $H25*$H$28, AG$15)</f>
        <v>4804</v>
      </c>
      <c r="AH25" s="433">
        <f>INDEX('Volume adjustments'!$J$527:$Y$567,AH$17 + 1 + $H25*$H$28, AH$15)</f>
        <v>1153</v>
      </c>
      <c r="AI25" s="433">
        <f>INDEX('Volume adjustments'!$J$527:$Y$567,AI$17 + 1 + $H25*$H$28, AI$15)</f>
        <v>4</v>
      </c>
      <c r="AJ25" s="433">
        <f>INDEX('Volume adjustments'!$J$527:$Y$567,AJ$17 + 1 + $H25*$H$28, AJ$15)</f>
        <v>496</v>
      </c>
      <c r="AK25" s="433">
        <f>INDEX('Volume adjustments'!$J$527:$Y$567,AK$17 + 1 + $H25*$H$28, AK$15)</f>
        <v>0</v>
      </c>
      <c r="AL25" s="433">
        <f>INDEX('Volume adjustments'!$J$527:$Y$567,AL$17 + 1 + $H25*$H$28, AL$15)</f>
        <v>9</v>
      </c>
      <c r="AM25" s="433">
        <f>INDEX('Volume adjustments'!$J$527:$Y$567,AM$17 + 1 + $H25*$H$28, AM$15)</f>
        <v>0</v>
      </c>
      <c r="AN25" s="433">
        <f>INDEX('Volume adjustments'!$J$527:$Y$567,AN$17 + 1 + $H25*$H$28, AN$15)</f>
        <v>261</v>
      </c>
      <c r="AO25" s="433">
        <f>INDEX('Volume adjustments'!$J$527:$Y$567,AO$17 + 1 + $H25*$H$28, AO$15)</f>
        <v>0</v>
      </c>
    </row>
    <row r="26" spans="3:43" x14ac:dyDescent="0.25">
      <c r="E26" s="12"/>
      <c r="F26" s="92" t="s">
        <v>202</v>
      </c>
      <c r="G26" s="92" t="s">
        <v>169</v>
      </c>
      <c r="H26" s="435">
        <v>4</v>
      </c>
      <c r="J26" s="433">
        <f>INDEX('Volume adjustments'!$J$527:$Y$567,J$17 + 1 + $H26*$H$28, J$15)</f>
        <v>0</v>
      </c>
      <c r="K26" s="433">
        <f>INDEX('Volume adjustments'!$J$527:$Y$567,K$17 + 1 + $H26*$H$28, K$15)</f>
        <v>0</v>
      </c>
      <c r="L26" s="433">
        <f>INDEX('Volume adjustments'!$J$527:$Y$567,L$17 + 1 + $H26*$H$28, L$15)</f>
        <v>0</v>
      </c>
      <c r="M26" s="433">
        <f>INDEX('Volume adjustments'!$J$527:$Y$567,M$17 + 1 + $H26*$H$28, M$15)</f>
        <v>0</v>
      </c>
      <c r="N26" s="433">
        <f>INDEX('Volume adjustments'!$J$527:$Y$567,N$17 + 1 + $H26*$H$28, N$15)</f>
        <v>0</v>
      </c>
      <c r="O26" s="433">
        <f>INDEX('Volume adjustments'!$J$527:$Y$567,O$17 + 1 + $H26*$H$28, O$15)</f>
        <v>0</v>
      </c>
      <c r="P26" s="433">
        <f>INDEX('Volume adjustments'!$J$527:$Y$567,P$17 + 1 + $H26*$H$28, P$15)</f>
        <v>0</v>
      </c>
      <c r="Q26" s="433">
        <f>INDEX('Volume adjustments'!$J$527:$Y$567,Q$17 + 1 + $H26*$H$28, Q$15)</f>
        <v>0</v>
      </c>
      <c r="R26" s="433">
        <f>INDEX('Volume adjustments'!$J$527:$Y$567,R$17 + 1 + $H26*$H$28, R$15)</f>
        <v>952</v>
      </c>
      <c r="S26" s="433">
        <f>INDEX('Volume adjustments'!$J$527:$Y$567,S$17 + 1 + $H26*$H$28, S$15)</f>
        <v>253629</v>
      </c>
      <c r="T26" s="433">
        <f>INDEX('Volume adjustments'!$J$527:$Y$567,T$17 + 1 + $H26*$H$28, T$15)</f>
        <v>420018</v>
      </c>
      <c r="U26" s="433">
        <f>INDEX('Volume adjustments'!$J$527:$Y$567,U$17 + 1 + $H26*$H$28, U$15)</f>
        <v>237355</v>
      </c>
      <c r="V26" s="433">
        <f>INDEX('Volume adjustments'!$J$527:$Y$567,V$17 + 1 + $H26*$H$28, V$15)</f>
        <v>608702</v>
      </c>
      <c r="W26" s="433">
        <f>INDEX('Volume adjustments'!$J$527:$Y$567,W$17 + 1 + $H26*$H$28, W$15)</f>
        <v>8</v>
      </c>
      <c r="X26" s="433">
        <f>INDEX('Volume adjustments'!$J$527:$Y$567,X$17 + 1 + $H26*$H$28, X$15)</f>
        <v>456</v>
      </c>
      <c r="Y26" s="433">
        <f>INDEX('Volume adjustments'!$J$527:$Y$567,Y$17 + 1 + $H26*$H$28, Y$15)</f>
        <v>3051</v>
      </c>
      <c r="Z26" s="433">
        <f>INDEX('Volume adjustments'!$J$527:$Y$567,Z$17 + 1 + $H26*$H$28, Z$15)</f>
        <v>7741</v>
      </c>
      <c r="AA26" s="433">
        <f>INDEX('Volume adjustments'!$J$527:$Y$567,AA$17 + 1 + $H26*$H$28, AA$15)</f>
        <v>97640</v>
      </c>
      <c r="AB26" s="433">
        <f>INDEX('Volume adjustments'!$J$527:$Y$567,AB$17 + 1 + $H26*$H$28, AB$15)</f>
        <v>7676</v>
      </c>
      <c r="AC26" s="433">
        <f>INDEX('Volume adjustments'!$J$527:$Y$567,AC$17 + 1 + $H26*$H$28, AC$15)</f>
        <v>71629</v>
      </c>
      <c r="AD26" s="433">
        <f>INDEX('Volume adjustments'!$J$527:$Y$567,AD$17 + 1 + $H26*$H$28, AD$15)</f>
        <v>277706</v>
      </c>
      <c r="AE26" s="433">
        <f>INDEX('Volume adjustments'!$J$527:$Y$567,AE$17 + 1 + $H26*$H$28, AE$15)</f>
        <v>239536</v>
      </c>
      <c r="AF26" s="433">
        <f>INDEX('Volume adjustments'!$J$527:$Y$567,AF$17 + 1 + $H26*$H$28, AF$15)</f>
        <v>722539</v>
      </c>
      <c r="AG26" s="433">
        <f>INDEX('Volume adjustments'!$J$527:$Y$567,AG$17 + 1 + $H26*$H$28, AG$15)</f>
        <v>0</v>
      </c>
      <c r="AH26" s="433">
        <f>INDEX('Volume adjustments'!$J$527:$Y$567,AH$17 + 1 + $H26*$H$28, AH$15)</f>
        <v>0</v>
      </c>
      <c r="AI26" s="433">
        <f>INDEX('Volume adjustments'!$J$527:$Y$567,AI$17 + 1 + $H26*$H$28, AI$15)</f>
        <v>0</v>
      </c>
      <c r="AJ26" s="433">
        <f>INDEX('Volume adjustments'!$J$527:$Y$567,AJ$17 + 1 + $H26*$H$28, AJ$15)</f>
        <v>0</v>
      </c>
      <c r="AK26" s="433">
        <f>INDEX('Volume adjustments'!$J$527:$Y$567,AK$17 + 1 + $H26*$H$28, AK$15)</f>
        <v>0</v>
      </c>
      <c r="AL26" s="433">
        <f>INDEX('Volume adjustments'!$J$527:$Y$567,AL$17 + 1 + $H26*$H$28, AL$15)</f>
        <v>0</v>
      </c>
      <c r="AM26" s="433">
        <f>INDEX('Volume adjustments'!$J$527:$Y$567,AM$17 + 1 + $H26*$H$28, AM$15)</f>
        <v>0</v>
      </c>
      <c r="AN26" s="433">
        <f>INDEX('Volume adjustments'!$J$527:$Y$567,AN$17 + 1 + $H26*$H$28, AN$15)</f>
        <v>0</v>
      </c>
      <c r="AO26" s="433">
        <f>INDEX('Volume adjustments'!$J$527:$Y$567,AO$17 + 1 + $H26*$H$28, AO$15)</f>
        <v>0</v>
      </c>
    </row>
    <row r="27" spans="3:43" x14ac:dyDescent="0.25">
      <c r="E27" s="12"/>
      <c r="F27" s="92" t="s">
        <v>203</v>
      </c>
      <c r="G27" s="92" t="s">
        <v>169</v>
      </c>
      <c r="H27" s="435">
        <v>5</v>
      </c>
      <c r="J27" s="433">
        <f>INDEX('Volume adjustments'!$J$527:$Y$567,J$17 + 1 + $H27*$H$28, J$15)</f>
        <v>0</v>
      </c>
      <c r="K27" s="433">
        <f>INDEX('Volume adjustments'!$J$527:$Y$567,K$17 + 1 + $H27*$H$28, K$15)</f>
        <v>0</v>
      </c>
      <c r="L27" s="433">
        <f>INDEX('Volume adjustments'!$J$527:$Y$567,L$17 + 1 + $H27*$H$28, L$15)</f>
        <v>0</v>
      </c>
      <c r="M27" s="433">
        <f>INDEX('Volume adjustments'!$J$527:$Y$567,M$17 + 1 + $H27*$H$28, M$15)</f>
        <v>0</v>
      </c>
      <c r="N27" s="433">
        <f>INDEX('Volume adjustments'!$J$527:$Y$567,N$17 + 1 + $H27*$H$28, N$15)</f>
        <v>0</v>
      </c>
      <c r="O27" s="433">
        <f>INDEX('Volume adjustments'!$J$527:$Y$567,O$17 + 1 + $H27*$H$28, O$15)</f>
        <v>0</v>
      </c>
      <c r="P27" s="433">
        <f>INDEX('Volume adjustments'!$J$527:$Y$567,P$17 + 1 + $H27*$H$28, P$15)</f>
        <v>0</v>
      </c>
      <c r="Q27" s="433">
        <f>INDEX('Volume adjustments'!$J$527:$Y$567,Q$17 + 1 + $H27*$H$28, Q$15)</f>
        <v>0</v>
      </c>
      <c r="R27" s="433">
        <f>INDEX('Volume adjustments'!$J$527:$Y$567,R$17 + 1 + $H27*$H$28, R$15)</f>
        <v>42</v>
      </c>
      <c r="S27" s="433">
        <f>INDEX('Volume adjustments'!$J$527:$Y$567,S$17 + 1 + $H27*$H$28, S$15)</f>
        <v>12241</v>
      </c>
      <c r="T27" s="433">
        <f>INDEX('Volume adjustments'!$J$527:$Y$567,T$17 + 1 + $H27*$H$28, T$15)</f>
        <v>6970</v>
      </c>
      <c r="U27" s="433">
        <f>INDEX('Volume adjustments'!$J$527:$Y$567,U$17 + 1 + $H27*$H$28, U$15)</f>
        <v>1336</v>
      </c>
      <c r="V27" s="433">
        <f>INDEX('Volume adjustments'!$J$527:$Y$567,V$17 + 1 + $H27*$H$28, V$15)</f>
        <v>1593</v>
      </c>
      <c r="W27" s="433">
        <f>INDEX('Volume adjustments'!$J$527:$Y$567,W$17 + 1 + $H27*$H$28, W$15)</f>
        <v>5</v>
      </c>
      <c r="X27" s="433">
        <f>INDEX('Volume adjustments'!$J$527:$Y$567,X$17 + 1 + $H27*$H$28, X$15)</f>
        <v>302</v>
      </c>
      <c r="Y27" s="433">
        <f>INDEX('Volume adjustments'!$J$527:$Y$567,Y$17 + 1 + $H27*$H$28, Y$15)</f>
        <v>189</v>
      </c>
      <c r="Z27" s="433">
        <f>INDEX('Volume adjustments'!$J$527:$Y$567,Z$17 + 1 + $H27*$H$28, Z$15)</f>
        <v>144</v>
      </c>
      <c r="AA27" s="433">
        <f>INDEX('Volume adjustments'!$J$527:$Y$567,AA$17 + 1 + $H27*$H$28, AA$15)</f>
        <v>319</v>
      </c>
      <c r="AB27" s="433">
        <f>INDEX('Volume adjustments'!$J$527:$Y$567,AB$17 + 1 + $H27*$H$28, AB$15)</f>
        <v>744</v>
      </c>
      <c r="AC27" s="433">
        <f>INDEX('Volume adjustments'!$J$527:$Y$567,AC$17 + 1 + $H27*$H$28, AC$15)</f>
        <v>5846</v>
      </c>
      <c r="AD27" s="433">
        <f>INDEX('Volume adjustments'!$J$527:$Y$567,AD$17 + 1 + $H27*$H$28, AD$15)</f>
        <v>2073</v>
      </c>
      <c r="AE27" s="433">
        <f>INDEX('Volume adjustments'!$J$527:$Y$567,AE$17 + 1 + $H27*$H$28, AE$15)</f>
        <v>1688</v>
      </c>
      <c r="AF27" s="433">
        <f>INDEX('Volume adjustments'!$J$527:$Y$567,AF$17 + 1 + $H27*$H$28, AF$15)</f>
        <v>3914</v>
      </c>
      <c r="AG27" s="433">
        <f>INDEX('Volume adjustments'!$J$527:$Y$567,AG$17 + 1 + $H27*$H$28, AG$15)</f>
        <v>0</v>
      </c>
      <c r="AH27" s="433">
        <f>INDEX('Volume adjustments'!$J$527:$Y$567,AH$17 + 1 + $H27*$H$28, AH$15)</f>
        <v>0</v>
      </c>
      <c r="AI27" s="433">
        <f>INDEX('Volume adjustments'!$J$527:$Y$567,AI$17 + 1 + $H27*$H$28, AI$15)</f>
        <v>0</v>
      </c>
      <c r="AJ27" s="433">
        <f>INDEX('Volume adjustments'!$J$527:$Y$567,AJ$17 + 1 + $H27*$H$28, AJ$15)</f>
        <v>0</v>
      </c>
      <c r="AK27" s="433">
        <f>INDEX('Volume adjustments'!$J$527:$Y$567,AK$17 + 1 + $H27*$H$28, AK$15)</f>
        <v>0</v>
      </c>
      <c r="AL27" s="433">
        <f>INDEX('Volume adjustments'!$J$527:$Y$567,AL$17 + 1 + $H27*$H$28, AL$15)</f>
        <v>0</v>
      </c>
      <c r="AM27" s="433">
        <f>INDEX('Volume adjustments'!$J$527:$Y$567,AM$17 + 1 + $H27*$H$28, AM$15)</f>
        <v>0</v>
      </c>
      <c r="AN27" s="433">
        <f>INDEX('Volume adjustments'!$J$527:$Y$567,AN$17 + 1 + $H27*$H$28, AN$15)</f>
        <v>0</v>
      </c>
      <c r="AO27" s="433">
        <f>INDEX('Volume adjustments'!$J$527:$Y$567,AO$17 + 1 + $H27*$H$28, AO$15)</f>
        <v>0</v>
      </c>
    </row>
    <row r="28" spans="3:43" x14ac:dyDescent="0.25">
      <c r="E28" s="12"/>
      <c r="F28" s="34" t="s">
        <v>204</v>
      </c>
      <c r="G28" s="34" t="s">
        <v>170</v>
      </c>
      <c r="H28" s="403">
        <v>6</v>
      </c>
      <c r="I28" s="17"/>
      <c r="J28" s="239">
        <f>INDEX('Volume adjustments'!$J$527:$Y$567,J$17 + 1 + $H28*$H$28, J$15)</f>
        <v>0</v>
      </c>
      <c r="K28" s="239">
        <f>INDEX('Volume adjustments'!$J$527:$Y$567,K$17 + 1 + $H28*$H$28, K$15)</f>
        <v>0</v>
      </c>
      <c r="L28" s="239">
        <f>INDEX('Volume adjustments'!$J$527:$Y$567,L$17 + 1 + $H28*$H$28, L$15)</f>
        <v>0</v>
      </c>
      <c r="M28" s="239">
        <f>INDEX('Volume adjustments'!$J$527:$Y$567,M$17 + 1 + $H28*$H$28, M$15)</f>
        <v>0</v>
      </c>
      <c r="N28" s="239">
        <f>INDEX('Volume adjustments'!$J$527:$Y$567,N$17 + 1 + $H28*$H$28, N$15)</f>
        <v>0</v>
      </c>
      <c r="O28" s="239">
        <f>INDEX('Volume adjustments'!$J$527:$Y$567,O$17 + 1 + $H28*$H$28, O$15)</f>
        <v>0</v>
      </c>
      <c r="P28" s="239">
        <f>INDEX('Volume adjustments'!$J$527:$Y$567,P$17 + 1 + $H28*$H$28, P$15)</f>
        <v>0</v>
      </c>
      <c r="Q28" s="239">
        <f>INDEX('Volume adjustments'!$J$527:$Y$567,Q$17 + 1 + $H28*$H$28, Q$15)</f>
        <v>0</v>
      </c>
      <c r="R28" s="239">
        <f>INDEX('Volume adjustments'!$J$527:$Y$567,R$17 + 1 + $H28*$H$28, R$15)</f>
        <v>64.055000000000007</v>
      </c>
      <c r="S28" s="239">
        <f>INDEX('Volume adjustments'!$J$527:$Y$567,S$17 + 1 + $H28*$H$28, S$15)</f>
        <v>48146.402999999998</v>
      </c>
      <c r="T28" s="239">
        <f>INDEX('Volume adjustments'!$J$527:$Y$567,T$17 + 1 + $H28*$H$28, T$15)</f>
        <v>60478.904999999999</v>
      </c>
      <c r="U28" s="239">
        <f>INDEX('Volume adjustments'!$J$527:$Y$567,U$17 + 1 + $H28*$H$28, U$15)</f>
        <v>32197.821</v>
      </c>
      <c r="V28" s="239">
        <f>INDEX('Volume adjustments'!$J$527:$Y$567,V$17 + 1 + $H28*$H$28, V$15)</f>
        <v>85548.118000000002</v>
      </c>
      <c r="W28" s="239">
        <f>INDEX('Volume adjustments'!$J$527:$Y$567,W$17 + 1 + $H28*$H$28, W$15)</f>
        <v>2.2480000000000002</v>
      </c>
      <c r="X28" s="239">
        <f>INDEX('Volume adjustments'!$J$527:$Y$567,X$17 + 1 + $H28*$H$28, X$15)</f>
        <v>502.32499999999999</v>
      </c>
      <c r="Y28" s="239">
        <f>INDEX('Volume adjustments'!$J$527:$Y$567,Y$17 + 1 + $H28*$H$28, Y$15)</f>
        <v>611.57899999999995</v>
      </c>
      <c r="Z28" s="239">
        <f>INDEX('Volume adjustments'!$J$527:$Y$567,Z$17 + 1 + $H28*$H$28, Z$15)</f>
        <v>1792.9359999999999</v>
      </c>
      <c r="AA28" s="239">
        <f>INDEX('Volume adjustments'!$J$527:$Y$567,AA$17 + 1 + $H28*$H$28, AA$15)</f>
        <v>17164.226999999999</v>
      </c>
      <c r="AB28" s="239">
        <f>INDEX('Volume adjustments'!$J$527:$Y$567,AB$17 + 1 + $H28*$H$28, AB$15)</f>
        <v>1213.202</v>
      </c>
      <c r="AC28" s="239">
        <f>INDEX('Volume adjustments'!$J$527:$Y$567,AC$17 + 1 + $H28*$H$28, AC$15)</f>
        <v>24313.001</v>
      </c>
      <c r="AD28" s="239">
        <f>INDEX('Volume adjustments'!$J$527:$Y$567,AD$17 + 1 + $H28*$H$28, AD$15)</f>
        <v>38777.107000000004</v>
      </c>
      <c r="AE28" s="239">
        <f>INDEX('Volume adjustments'!$J$527:$Y$567,AE$17 + 1 + $H28*$H$28, AE$15)</f>
        <v>34030.400000000001</v>
      </c>
      <c r="AF28" s="239">
        <f>INDEX('Volume adjustments'!$J$527:$Y$567,AF$17 + 1 + $H28*$H$28, AF$15)</f>
        <v>139514.554</v>
      </c>
      <c r="AG28" s="239">
        <f>INDEX('Volume adjustments'!$J$527:$Y$567,AG$17 + 1 + $H28*$H$28, AG$15)</f>
        <v>0</v>
      </c>
      <c r="AH28" s="239">
        <f>INDEX('Volume adjustments'!$J$527:$Y$567,AH$17 + 1 + $H28*$H$28, AH$15)</f>
        <v>0</v>
      </c>
      <c r="AI28" s="239">
        <f>INDEX('Volume adjustments'!$J$527:$Y$567,AI$17 + 1 + $H28*$H$28, AI$15)</f>
        <v>0</v>
      </c>
      <c r="AJ28" s="239">
        <f>INDEX('Volume adjustments'!$J$527:$Y$567,AJ$17 + 1 + $H28*$H$28, AJ$15)</f>
        <v>5379.1220000000003</v>
      </c>
      <c r="AK28" s="239">
        <f>INDEX('Volume adjustments'!$J$527:$Y$567,AK$17 + 1 + $H28*$H$28, AK$15)</f>
        <v>0</v>
      </c>
      <c r="AL28" s="239">
        <f>INDEX('Volume adjustments'!$J$527:$Y$567,AL$17 + 1 + $H28*$H$28, AL$15)</f>
        <v>157.29499999999999</v>
      </c>
      <c r="AM28" s="239">
        <f>INDEX('Volume adjustments'!$J$527:$Y$567,AM$17 + 1 + $H28*$H$28, AM$15)</f>
        <v>0</v>
      </c>
      <c r="AN28" s="239">
        <f>INDEX('Volume adjustments'!$J$527:$Y$567,AN$17 + 1 + $H28*$H$28, AN$15)</f>
        <v>20692.973000000002</v>
      </c>
      <c r="AO28" s="239">
        <f>INDEX('Volume adjustments'!$J$527:$Y$567,AO$17 + 1 + $H28*$H$28, AO$15)</f>
        <v>0</v>
      </c>
    </row>
    <row r="29" spans="3:43" s="322" customFormat="1" x14ac:dyDescent="0.25">
      <c r="E29" s="370"/>
      <c r="F29" s="324"/>
      <c r="G29" s="324"/>
      <c r="J29" s="371"/>
      <c r="K29" s="371"/>
      <c r="L29" s="371"/>
      <c r="M29" s="371"/>
      <c r="N29" s="371"/>
      <c r="O29" s="371"/>
      <c r="P29" s="371"/>
      <c r="Q29" s="371"/>
      <c r="R29" s="371"/>
      <c r="S29" s="371"/>
      <c r="T29" s="371"/>
      <c r="U29" s="371"/>
      <c r="V29" s="371"/>
      <c r="W29" s="371"/>
      <c r="X29" s="371"/>
      <c r="Y29" s="371"/>
      <c r="Z29" s="371"/>
      <c r="AA29" s="371"/>
      <c r="AB29" s="371"/>
      <c r="AC29" s="371"/>
      <c r="AD29" s="371"/>
      <c r="AE29" s="371"/>
      <c r="AF29" s="371"/>
      <c r="AG29" s="371"/>
      <c r="AH29" s="371"/>
      <c r="AI29" s="371"/>
      <c r="AJ29" s="371"/>
      <c r="AK29" s="371"/>
      <c r="AL29" s="371"/>
      <c r="AM29" s="371"/>
      <c r="AN29" s="371"/>
      <c r="AO29" s="371"/>
    </row>
    <row r="30" spans="3:43" x14ac:dyDescent="0.25">
      <c r="E30" s="52" t="s">
        <v>900</v>
      </c>
      <c r="F30" s="37"/>
      <c r="G30" s="37"/>
      <c r="I30" t="s">
        <v>359</v>
      </c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  <c r="AL30" s="211"/>
      <c r="AM30" s="211"/>
      <c r="AN30" s="211"/>
      <c r="AO30" s="211"/>
      <c r="AQ30" t="s">
        <v>691</v>
      </c>
    </row>
    <row r="31" spans="3:43" x14ac:dyDescent="0.25">
      <c r="E31" s="52"/>
      <c r="F31" s="73" t="s">
        <v>1109</v>
      </c>
    </row>
    <row r="32" spans="3:43" x14ac:dyDescent="0.25">
      <c r="E32" s="52"/>
      <c r="F32" s="458" t="s">
        <v>1110</v>
      </c>
      <c r="G32" s="17"/>
    </row>
    <row r="33" spans="5:43" x14ac:dyDescent="0.25">
      <c r="F33" s="92" t="s">
        <v>199</v>
      </c>
      <c r="G33" s="92" t="s">
        <v>120</v>
      </c>
      <c r="H33" s="402">
        <v>0</v>
      </c>
      <c r="I33" s="80"/>
      <c r="J33" s="238">
        <f>INDEX('Volume adjustments'!$J$571:$Y$611,J$17 + 1 + $H33*$H$39, J$15)</f>
        <v>20086.258114403387</v>
      </c>
      <c r="K33" s="238">
        <f>INDEX('Volume adjustments'!$J$571:$Y$611,K$17 + 1 + $H33*$H$39, K$15)</f>
        <v>1.76</v>
      </c>
      <c r="L33" s="238">
        <f>INDEX('Volume adjustments'!$J$571:$Y$611,L$17 + 1 + $H33*$H$39, L$15)</f>
        <v>0</v>
      </c>
      <c r="M33" s="238">
        <f>INDEX('Volume adjustments'!$J$571:$Y$611,M$17 + 1 + $H33*$H$39, M$15)</f>
        <v>176.73692201913369</v>
      </c>
      <c r="N33" s="238">
        <f>INDEX('Volume adjustments'!$J$571:$Y$611,N$17 + 1 + $H33*$H$39, N$15)</f>
        <v>234.45560805277455</v>
      </c>
      <c r="O33" s="238">
        <f>INDEX('Volume adjustments'!$J$571:$Y$611,O$17 + 1 + $H33*$H$39, O$15)</f>
        <v>163.62443809251536</v>
      </c>
      <c r="P33" s="238">
        <f>INDEX('Volume adjustments'!$J$571:$Y$611,P$17 + 1 + $H33*$H$39, P$15)</f>
        <v>274.2552933536906</v>
      </c>
      <c r="Q33" s="238">
        <f>INDEX('Volume adjustments'!$J$571:$Y$611,Q$17 + 1 + $H33*$H$39, Q$15)</f>
        <v>0</v>
      </c>
      <c r="R33" s="238">
        <f>INDEX('Volume adjustments'!$J$571:$Y$611,R$17 + 1 + $H33*$H$39, R$15)</f>
        <v>0</v>
      </c>
      <c r="S33" s="238">
        <f>INDEX('Volume adjustments'!$J$571:$Y$611,S$17 + 1 + $H33*$H$39, S$15)</f>
        <v>186.44116259697142</v>
      </c>
      <c r="T33" s="238">
        <f>INDEX('Volume adjustments'!$J$571:$Y$611,T$17 + 1 + $H33*$H$39, T$15)</f>
        <v>454.96648805542816</v>
      </c>
      <c r="U33" s="238">
        <f>INDEX('Volume adjustments'!$J$571:$Y$611,U$17 + 1 + $H33*$H$39, U$15)</f>
        <v>842.48882400362993</v>
      </c>
      <c r="V33" s="238">
        <f>INDEX('Volume adjustments'!$J$571:$Y$611,V$17 + 1 + $H33*$H$39, V$15)</f>
        <v>610.7512178763875</v>
      </c>
      <c r="W33" s="238">
        <f>INDEX('Volume adjustments'!$J$571:$Y$611,W$17 + 1 + $H33*$H$39, W$15)</f>
        <v>0</v>
      </c>
      <c r="X33" s="238">
        <f>INDEX('Volume adjustments'!$J$571:$Y$611,X$17 + 1 + $H33*$H$39, X$15)</f>
        <v>0</v>
      </c>
      <c r="Y33" s="238">
        <f>INDEX('Volume adjustments'!$J$571:$Y$611,Y$17 + 1 + $H33*$H$39, Y$15)</f>
        <v>0</v>
      </c>
      <c r="Z33" s="238">
        <f>INDEX('Volume adjustments'!$J$571:$Y$611,Z$17 + 1 + $H33*$H$39, Z$15)</f>
        <v>0</v>
      </c>
      <c r="AA33" s="238">
        <f>INDEX('Volume adjustments'!$J$571:$Y$611,AA$17 + 1 + $H33*$H$39, AA$15)</f>
        <v>0</v>
      </c>
      <c r="AB33" s="238">
        <f>INDEX('Volume adjustments'!$J$571:$Y$611,AB$17 + 1 + $H33*$H$39, AB$15)</f>
        <v>0</v>
      </c>
      <c r="AC33" s="238">
        <f>INDEX('Volume adjustments'!$J$571:$Y$611,AC$17 + 1 + $H33*$H$39, AC$15)</f>
        <v>0</v>
      </c>
      <c r="AD33" s="238">
        <f>INDEX('Volume adjustments'!$J$571:$Y$611,AD$17 + 1 + $H33*$H$39, AD$15)</f>
        <v>0</v>
      </c>
      <c r="AE33" s="238">
        <f>INDEX('Volume adjustments'!$J$571:$Y$611,AE$17 + 1 + $H33*$H$39, AE$15)</f>
        <v>0</v>
      </c>
      <c r="AF33" s="238">
        <f>INDEX('Volume adjustments'!$J$571:$Y$611,AF$17 + 1 + $H33*$H$39, AF$15)</f>
        <v>0</v>
      </c>
      <c r="AG33" s="238">
        <f>INDEX('Volume adjustments'!$J$571:$Y$611,AG$17 + 1 + $H33*$H$39, AG$15)</f>
        <v>27.518494778325124</v>
      </c>
      <c r="AH33" s="238">
        <f>INDEX('Volume adjustments'!$J$571:$Y$611,AH$17 + 1 + $H33*$H$39, AH$15)</f>
        <v>148.179</v>
      </c>
      <c r="AI33" s="238">
        <f>INDEX('Volume adjustments'!$J$571:$Y$611,AI$17 + 1 + $H33*$H$39, AI$15)</f>
        <v>0</v>
      </c>
      <c r="AJ33" s="238">
        <f>INDEX('Volume adjustments'!$J$571:$Y$611,AJ$17 + 1 + $H33*$H$39, AJ$15)</f>
        <v>0</v>
      </c>
      <c r="AK33" s="238">
        <f>INDEX('Volume adjustments'!$J$571:$Y$611,AK$17 + 1 + $H33*$H$39, AK$15)</f>
        <v>0</v>
      </c>
      <c r="AL33" s="238">
        <f>INDEX('Volume adjustments'!$J$571:$Y$611,AL$17 + 1 + $H33*$H$39, AL$15)</f>
        <v>0</v>
      </c>
      <c r="AM33" s="238">
        <f>INDEX('Volume adjustments'!$J$571:$Y$611,AM$17 + 1 + $H33*$H$39, AM$15)</f>
        <v>0</v>
      </c>
      <c r="AN33" s="238">
        <f>INDEX('Volume adjustments'!$J$571:$Y$611,AN$17 + 1 + $H33*$H$39, AN$15)</f>
        <v>0</v>
      </c>
      <c r="AO33" s="238">
        <f>INDEX('Volume adjustments'!$J$571:$Y$611,AO$17 + 1 + $H33*$H$39, AO$15)</f>
        <v>0</v>
      </c>
    </row>
    <row r="34" spans="5:43" x14ac:dyDescent="0.25">
      <c r="E34" s="12"/>
      <c r="F34" s="92" t="s">
        <v>200</v>
      </c>
      <c r="G34" s="92" t="s">
        <v>120</v>
      </c>
      <c r="H34" s="435">
        <v>1</v>
      </c>
      <c r="J34" s="433">
        <f>INDEX('Volume adjustments'!$J$571:$Y$611,J$17 + 1 + $H34*$H$39, J$15)</f>
        <v>69532.309980270977</v>
      </c>
      <c r="K34" s="433">
        <f>INDEX('Volume adjustments'!$J$571:$Y$611,K$17 + 1 + $H34*$H$39, K$15)</f>
        <v>29.321000000000005</v>
      </c>
      <c r="L34" s="433">
        <f>INDEX('Volume adjustments'!$J$571:$Y$611,L$17 + 1 + $H34*$H$39, L$15)</f>
        <v>0</v>
      </c>
      <c r="M34" s="433">
        <f>INDEX('Volume adjustments'!$J$571:$Y$611,M$17 + 1 + $H34*$H$39, M$15)</f>
        <v>915.56999609230968</v>
      </c>
      <c r="N34" s="433">
        <f>INDEX('Volume adjustments'!$J$571:$Y$611,N$17 + 1 + $H34*$H$39, N$15)</f>
        <v>1214.5765451627567</v>
      </c>
      <c r="O34" s="433">
        <f>INDEX('Volume adjustments'!$J$571:$Y$611,O$17 + 1 + $H34*$H$39, O$15)</f>
        <v>847.64193261639002</v>
      </c>
      <c r="P34" s="433">
        <f>INDEX('Volume adjustments'!$J$571:$Y$611,P$17 + 1 + $H34*$H$39, P$15)</f>
        <v>1420.7552954721566</v>
      </c>
      <c r="Q34" s="433">
        <f>INDEX('Volume adjustments'!$J$571:$Y$611,Q$17 + 1 + $H34*$H$39, Q$15)</f>
        <v>0</v>
      </c>
      <c r="R34" s="433">
        <f>INDEX('Volume adjustments'!$J$571:$Y$611,R$17 + 1 + $H34*$H$39, R$15)</f>
        <v>0</v>
      </c>
      <c r="S34" s="433">
        <f>INDEX('Volume adjustments'!$J$571:$Y$611,S$17 + 1 + $H34*$H$39, S$15)</f>
        <v>839.82213731571881</v>
      </c>
      <c r="T34" s="433">
        <f>INDEX('Volume adjustments'!$J$571:$Y$611,T$17 + 1 + $H34*$H$39, T$15)</f>
        <v>2049.3914706576866</v>
      </c>
      <c r="U34" s="433">
        <f>INDEX('Volume adjustments'!$J$571:$Y$611,U$17 + 1 + $H34*$H$39, U$15)</f>
        <v>3794.9815104340501</v>
      </c>
      <c r="V34" s="433">
        <f>INDEX('Volume adjustments'!$J$571:$Y$611,V$17 + 1 + $H34*$H$39, V$15)</f>
        <v>2751.122048481895</v>
      </c>
      <c r="W34" s="433">
        <f>INDEX('Volume adjustments'!$J$571:$Y$611,W$17 + 1 + $H34*$H$39, W$15)</f>
        <v>0</v>
      </c>
      <c r="X34" s="433">
        <f>INDEX('Volume adjustments'!$J$571:$Y$611,X$17 + 1 + $H34*$H$39, X$15)</f>
        <v>0</v>
      </c>
      <c r="Y34" s="433">
        <f>INDEX('Volume adjustments'!$J$571:$Y$611,Y$17 + 1 + $H34*$H$39, Y$15)</f>
        <v>0</v>
      </c>
      <c r="Z34" s="433">
        <f>INDEX('Volume adjustments'!$J$571:$Y$611,Z$17 + 1 + $H34*$H$39, Z$15)</f>
        <v>0</v>
      </c>
      <c r="AA34" s="433">
        <f>INDEX('Volume adjustments'!$J$571:$Y$611,AA$17 + 1 + $H34*$H$39, AA$15)</f>
        <v>0</v>
      </c>
      <c r="AB34" s="433">
        <f>INDEX('Volume adjustments'!$J$571:$Y$611,AB$17 + 1 + $H34*$H$39, AB$15)</f>
        <v>0</v>
      </c>
      <c r="AC34" s="433">
        <f>INDEX('Volume adjustments'!$J$571:$Y$611,AC$17 + 1 + $H34*$H$39, AC$15)</f>
        <v>0</v>
      </c>
      <c r="AD34" s="433">
        <f>INDEX('Volume adjustments'!$J$571:$Y$611,AD$17 + 1 + $H34*$H$39, AD$15)</f>
        <v>0</v>
      </c>
      <c r="AE34" s="433">
        <f>INDEX('Volume adjustments'!$J$571:$Y$611,AE$17 + 1 + $H34*$H$39, AE$15)</f>
        <v>0</v>
      </c>
      <c r="AF34" s="433">
        <f>INDEX('Volume adjustments'!$J$571:$Y$611,AF$17 + 1 + $H34*$H$39, AF$15)</f>
        <v>0</v>
      </c>
      <c r="AG34" s="433">
        <f>INDEX('Volume adjustments'!$J$571:$Y$611,AG$17 + 1 + $H34*$H$39, AG$15)</f>
        <v>308.80785736453203</v>
      </c>
      <c r="AH34" s="433">
        <f>INDEX('Volume adjustments'!$J$571:$Y$611,AH$17 + 1 + $H34*$H$39, AH$15)</f>
        <v>594.94400000000007</v>
      </c>
      <c r="AI34" s="433">
        <f>INDEX('Volume adjustments'!$J$571:$Y$611,AI$17 + 1 + $H34*$H$39, AI$15)</f>
        <v>0</v>
      </c>
      <c r="AJ34" s="433">
        <f>INDEX('Volume adjustments'!$J$571:$Y$611,AJ$17 + 1 + $H34*$H$39, AJ$15)</f>
        <v>0</v>
      </c>
      <c r="AK34" s="433">
        <f>INDEX('Volume adjustments'!$J$571:$Y$611,AK$17 + 1 + $H34*$H$39, AK$15)</f>
        <v>0</v>
      </c>
      <c r="AL34" s="433">
        <f>INDEX('Volume adjustments'!$J$571:$Y$611,AL$17 + 1 + $H34*$H$39, AL$15)</f>
        <v>0</v>
      </c>
      <c r="AM34" s="433">
        <f>INDEX('Volume adjustments'!$J$571:$Y$611,AM$17 + 1 + $H34*$H$39, AM$15)</f>
        <v>0</v>
      </c>
      <c r="AN34" s="433">
        <f>INDEX('Volume adjustments'!$J$571:$Y$611,AN$17 + 1 + $H34*$H$39, AN$15)</f>
        <v>0</v>
      </c>
      <c r="AO34" s="433">
        <f>INDEX('Volume adjustments'!$J$571:$Y$611,AO$17 + 1 + $H34*$H$39, AO$15)</f>
        <v>0</v>
      </c>
    </row>
    <row r="35" spans="5:43" x14ac:dyDescent="0.25">
      <c r="E35" s="12"/>
      <c r="F35" s="92" t="s">
        <v>201</v>
      </c>
      <c r="G35" s="92" t="s">
        <v>120</v>
      </c>
      <c r="H35" s="435">
        <v>2</v>
      </c>
      <c r="J35" s="433">
        <f>INDEX('Volume adjustments'!$J$571:$Y$611,J$17 + 1 + $H35*$H$39, J$15)</f>
        <v>61812.930833280705</v>
      </c>
      <c r="K35" s="433">
        <f>INDEX('Volume adjustments'!$J$571:$Y$611,K$17 + 1 + $H35*$H$39, K$15)</f>
        <v>158.858</v>
      </c>
      <c r="L35" s="433">
        <f>INDEX('Volume adjustments'!$J$571:$Y$611,L$17 + 1 + $H35*$H$39, L$15)</f>
        <v>0</v>
      </c>
      <c r="M35" s="433">
        <f>INDEX('Volume adjustments'!$J$571:$Y$611,M$17 + 1 + $H35*$H$39, M$15)</f>
        <v>695.14352925185995</v>
      </c>
      <c r="N35" s="433">
        <f>INDEX('Volume adjustments'!$J$571:$Y$611,N$17 + 1 + $H35*$H$39, N$15)</f>
        <v>922.1632750685344</v>
      </c>
      <c r="O35" s="433">
        <f>INDEX('Volume adjustments'!$J$571:$Y$611,O$17 + 1 + $H35*$H$39, O$15)</f>
        <v>643.56936891302064</v>
      </c>
      <c r="P35" s="433">
        <f>INDEX('Volume adjustments'!$J$571:$Y$611,P$17 + 1 + $H35*$H$39, P$15)</f>
        <v>1078.7038178544778</v>
      </c>
      <c r="Q35" s="433">
        <f>INDEX('Volume adjustments'!$J$571:$Y$611,Q$17 + 1 + $H35*$H$39, Q$15)</f>
        <v>0</v>
      </c>
      <c r="R35" s="433">
        <f>INDEX('Volume adjustments'!$J$571:$Y$611,R$17 + 1 + $H35*$H$39, R$15)</f>
        <v>0</v>
      </c>
      <c r="S35" s="433">
        <f>INDEX('Volume adjustments'!$J$571:$Y$611,S$17 + 1 + $H35*$H$39, S$15)</f>
        <v>749.20020265161486</v>
      </c>
      <c r="T35" s="433">
        <f>INDEX('Volume adjustments'!$J$571:$Y$611,T$17 + 1 + $H35*$H$39, T$15)</f>
        <v>1828.2496220411217</v>
      </c>
      <c r="U35" s="433">
        <f>INDEX('Volume adjustments'!$J$571:$Y$611,U$17 + 1 + $H35*$H$39, U$15)</f>
        <v>3385.479841914982</v>
      </c>
      <c r="V35" s="433">
        <f>INDEX('Volume adjustments'!$J$571:$Y$611,V$17 + 1 + $H35*$H$39, V$15)</f>
        <v>2454.2591873439815</v>
      </c>
      <c r="W35" s="433">
        <f>INDEX('Volume adjustments'!$J$571:$Y$611,W$17 + 1 + $H35*$H$39, W$15)</f>
        <v>0</v>
      </c>
      <c r="X35" s="433">
        <f>INDEX('Volume adjustments'!$J$571:$Y$611,X$17 + 1 + $H35*$H$39, X$15)</f>
        <v>0</v>
      </c>
      <c r="Y35" s="433">
        <f>INDEX('Volume adjustments'!$J$571:$Y$611,Y$17 + 1 + $H35*$H$39, Y$15)</f>
        <v>0</v>
      </c>
      <c r="Z35" s="433">
        <f>INDEX('Volume adjustments'!$J$571:$Y$611,Z$17 + 1 + $H35*$H$39, Z$15)</f>
        <v>0</v>
      </c>
      <c r="AA35" s="433">
        <f>INDEX('Volume adjustments'!$J$571:$Y$611,AA$17 + 1 + $H35*$H$39, AA$15)</f>
        <v>0</v>
      </c>
      <c r="AB35" s="433">
        <f>INDEX('Volume adjustments'!$J$571:$Y$611,AB$17 + 1 + $H35*$H$39, AB$15)</f>
        <v>0</v>
      </c>
      <c r="AC35" s="433">
        <f>INDEX('Volume adjustments'!$J$571:$Y$611,AC$17 + 1 + $H35*$H$39, AC$15)</f>
        <v>0</v>
      </c>
      <c r="AD35" s="433">
        <f>INDEX('Volume adjustments'!$J$571:$Y$611,AD$17 + 1 + $H35*$H$39, AD$15)</f>
        <v>0</v>
      </c>
      <c r="AE35" s="433">
        <f>INDEX('Volume adjustments'!$J$571:$Y$611,AE$17 + 1 + $H35*$H$39, AE$15)</f>
        <v>0</v>
      </c>
      <c r="AF35" s="433">
        <f>INDEX('Volume adjustments'!$J$571:$Y$611,AF$17 + 1 + $H35*$H$39, AF$15)</f>
        <v>0</v>
      </c>
      <c r="AG35" s="433">
        <f>INDEX('Volume adjustments'!$J$571:$Y$611,AG$17 + 1 + $H35*$H$39, AG$15)</f>
        <v>331.63771002463056</v>
      </c>
      <c r="AH35" s="433">
        <f>INDEX('Volume adjustments'!$J$571:$Y$611,AH$17 + 1 + $H35*$H$39, AH$15)</f>
        <v>276.19200000000001</v>
      </c>
      <c r="AI35" s="433">
        <f>INDEX('Volume adjustments'!$J$571:$Y$611,AI$17 + 1 + $H35*$H$39, AI$15)</f>
        <v>0</v>
      </c>
      <c r="AJ35" s="433">
        <f>INDEX('Volume adjustments'!$J$571:$Y$611,AJ$17 + 1 + $H35*$H$39, AJ$15)</f>
        <v>0</v>
      </c>
      <c r="AK35" s="433">
        <f>INDEX('Volume adjustments'!$J$571:$Y$611,AK$17 + 1 + $H35*$H$39, AK$15)</f>
        <v>0</v>
      </c>
      <c r="AL35" s="433">
        <f>INDEX('Volume adjustments'!$J$571:$Y$611,AL$17 + 1 + $H35*$H$39, AL$15)</f>
        <v>0</v>
      </c>
      <c r="AM35" s="433">
        <f>INDEX('Volume adjustments'!$J$571:$Y$611,AM$17 + 1 + $H35*$H$39, AM$15)</f>
        <v>0</v>
      </c>
      <c r="AN35" s="433">
        <f>INDEX('Volume adjustments'!$J$571:$Y$611,AN$17 + 1 + $H35*$H$39, AN$15)</f>
        <v>0</v>
      </c>
      <c r="AO35" s="433">
        <f>INDEX('Volume adjustments'!$J$571:$Y$611,AO$17 + 1 + $H35*$H$39, AO$15)</f>
        <v>0</v>
      </c>
    </row>
    <row r="36" spans="5:43" x14ac:dyDescent="0.25">
      <c r="E36" s="12"/>
      <c r="F36" s="92" t="s">
        <v>74</v>
      </c>
      <c r="G36" s="92" t="s">
        <v>74</v>
      </c>
      <c r="H36" s="435">
        <v>3</v>
      </c>
      <c r="J36" s="433">
        <f>INDEX('Volume adjustments'!$J$571:$Y$611,J$17 + 1 + $H36*$H$39, J$15)</f>
        <v>55364.654773703347</v>
      </c>
      <c r="K36" s="433">
        <f>INDEX('Volume adjustments'!$J$571:$Y$611,K$17 + 1 + $H36*$H$39, K$15)</f>
        <v>61</v>
      </c>
      <c r="L36" s="433">
        <f>INDEX('Volume adjustments'!$J$571:$Y$611,L$17 + 1 + $H36*$H$39, L$15)</f>
        <v>0</v>
      </c>
      <c r="M36" s="433">
        <f>INDEX('Volume adjustments'!$J$571:$Y$611,M$17 + 1 + $H36*$H$39, M$15)</f>
        <v>639</v>
      </c>
      <c r="N36" s="433">
        <f>INDEX('Volume adjustments'!$J$571:$Y$611,N$17 + 1 + $H36*$H$39, N$15)</f>
        <v>307</v>
      </c>
      <c r="O36" s="433">
        <f>INDEX('Volume adjustments'!$J$571:$Y$611,O$17 + 1 + $H36*$H$39, O$15)</f>
        <v>160</v>
      </c>
      <c r="P36" s="433">
        <f>INDEX('Volume adjustments'!$J$571:$Y$611,P$17 + 1 + $H36*$H$39, P$15)</f>
        <v>87</v>
      </c>
      <c r="Q36" s="433">
        <f>INDEX('Volume adjustments'!$J$571:$Y$611,Q$17 + 1 + $H36*$H$39, Q$15)</f>
        <v>0</v>
      </c>
      <c r="R36" s="433">
        <f>INDEX('Volume adjustments'!$J$571:$Y$611,R$17 + 1 + $H36*$H$39, R$15)</f>
        <v>0</v>
      </c>
      <c r="S36" s="433">
        <f>INDEX('Volume adjustments'!$J$571:$Y$611,S$17 + 1 + $H36*$H$39, S$15)</f>
        <v>30</v>
      </c>
      <c r="T36" s="433">
        <f>INDEX('Volume adjustments'!$J$571:$Y$611,T$17 + 1 + $H36*$H$39, T$15)</f>
        <v>34</v>
      </c>
      <c r="U36" s="433">
        <f>INDEX('Volume adjustments'!$J$571:$Y$611,U$17 + 1 + $H36*$H$39, U$15)</f>
        <v>36</v>
      </c>
      <c r="V36" s="433">
        <f>INDEX('Volume adjustments'!$J$571:$Y$611,V$17 + 1 + $H36*$H$39, V$15)</f>
        <v>9</v>
      </c>
      <c r="W36" s="433">
        <f>INDEX('Volume adjustments'!$J$571:$Y$611,W$17 + 1 + $H36*$H$39, W$15)</f>
        <v>0</v>
      </c>
      <c r="X36" s="433">
        <f>INDEX('Volume adjustments'!$J$571:$Y$611,X$17 + 1 + $H36*$H$39, X$15)</f>
        <v>0</v>
      </c>
      <c r="Y36" s="433">
        <f>INDEX('Volume adjustments'!$J$571:$Y$611,Y$17 + 1 + $H36*$H$39, Y$15)</f>
        <v>0</v>
      </c>
      <c r="Z36" s="433">
        <f>INDEX('Volume adjustments'!$J$571:$Y$611,Z$17 + 1 + $H36*$H$39, Z$15)</f>
        <v>0</v>
      </c>
      <c r="AA36" s="433">
        <f>INDEX('Volume adjustments'!$J$571:$Y$611,AA$17 + 1 + $H36*$H$39, AA$15)</f>
        <v>0</v>
      </c>
      <c r="AB36" s="433">
        <f>INDEX('Volume adjustments'!$J$571:$Y$611,AB$17 + 1 + $H36*$H$39, AB$15)</f>
        <v>0</v>
      </c>
      <c r="AC36" s="433">
        <f>INDEX('Volume adjustments'!$J$571:$Y$611,AC$17 + 1 + $H36*$H$39, AC$15)</f>
        <v>0</v>
      </c>
      <c r="AD36" s="433">
        <f>INDEX('Volume adjustments'!$J$571:$Y$611,AD$17 + 1 + $H36*$H$39, AD$15)</f>
        <v>0</v>
      </c>
      <c r="AE36" s="433">
        <f>INDEX('Volume adjustments'!$J$571:$Y$611,AE$17 + 1 + $H36*$H$39, AE$15)</f>
        <v>0</v>
      </c>
      <c r="AF36" s="433">
        <f>INDEX('Volume adjustments'!$J$571:$Y$611,AF$17 + 1 + $H36*$H$39, AF$15)</f>
        <v>0</v>
      </c>
      <c r="AG36" s="433">
        <f>INDEX('Volume adjustments'!$J$571:$Y$611,AG$17 + 1 + $H36*$H$39, AG$15)</f>
        <v>71</v>
      </c>
      <c r="AH36" s="433">
        <f>INDEX('Volume adjustments'!$J$571:$Y$611,AH$17 + 1 + $H36*$H$39, AH$15)</f>
        <v>62</v>
      </c>
      <c r="AI36" s="433">
        <f>INDEX('Volume adjustments'!$J$571:$Y$611,AI$17 + 1 + $H36*$H$39, AI$15)</f>
        <v>0</v>
      </c>
      <c r="AJ36" s="433">
        <f>INDEX('Volume adjustments'!$J$571:$Y$611,AJ$17 + 1 + $H36*$H$39, AJ$15)</f>
        <v>0</v>
      </c>
      <c r="AK36" s="433">
        <f>INDEX('Volume adjustments'!$J$571:$Y$611,AK$17 + 1 + $H36*$H$39, AK$15)</f>
        <v>0</v>
      </c>
      <c r="AL36" s="433">
        <f>INDEX('Volume adjustments'!$J$571:$Y$611,AL$17 + 1 + $H36*$H$39, AL$15)</f>
        <v>0</v>
      </c>
      <c r="AM36" s="433">
        <f>INDEX('Volume adjustments'!$J$571:$Y$611,AM$17 + 1 + $H36*$H$39, AM$15)</f>
        <v>0</v>
      </c>
      <c r="AN36" s="433">
        <f>INDEX('Volume adjustments'!$J$571:$Y$611,AN$17 + 1 + $H36*$H$39, AN$15)</f>
        <v>0</v>
      </c>
      <c r="AO36" s="433">
        <f>INDEX('Volume adjustments'!$J$571:$Y$611,AO$17 + 1 + $H36*$H$39, AO$15)</f>
        <v>0</v>
      </c>
    </row>
    <row r="37" spans="5:43" x14ac:dyDescent="0.25">
      <c r="E37" s="12"/>
      <c r="F37" s="92" t="s">
        <v>202</v>
      </c>
      <c r="G37" s="92" t="s">
        <v>169</v>
      </c>
      <c r="H37" s="435">
        <v>4</v>
      </c>
      <c r="J37" s="433">
        <f>INDEX('Volume adjustments'!$J$571:$Y$611,J$17 + 1 + $H37*$H$39, J$15)</f>
        <v>0</v>
      </c>
      <c r="K37" s="433">
        <f>INDEX('Volume adjustments'!$J$571:$Y$611,K$17 + 1 + $H37*$H$39, K$15)</f>
        <v>0</v>
      </c>
      <c r="L37" s="433">
        <f>INDEX('Volume adjustments'!$J$571:$Y$611,L$17 + 1 + $H37*$H$39, L$15)</f>
        <v>0</v>
      </c>
      <c r="M37" s="433">
        <f>INDEX('Volume adjustments'!$J$571:$Y$611,M$17 + 1 + $H37*$H$39, M$15)</f>
        <v>0</v>
      </c>
      <c r="N37" s="433">
        <f>INDEX('Volume adjustments'!$J$571:$Y$611,N$17 + 1 + $H37*$H$39, N$15)</f>
        <v>0</v>
      </c>
      <c r="O37" s="433">
        <f>INDEX('Volume adjustments'!$J$571:$Y$611,O$17 + 1 + $H37*$H$39, O$15)</f>
        <v>0</v>
      </c>
      <c r="P37" s="433">
        <f>INDEX('Volume adjustments'!$J$571:$Y$611,P$17 + 1 + $H37*$H$39, P$15)</f>
        <v>0</v>
      </c>
      <c r="Q37" s="433">
        <f>INDEX('Volume adjustments'!$J$571:$Y$611,Q$17 + 1 + $H37*$H$39, Q$15)</f>
        <v>0</v>
      </c>
      <c r="R37" s="433">
        <f>INDEX('Volume adjustments'!$J$571:$Y$611,R$17 + 1 + $H37*$H$39, R$15)</f>
        <v>0</v>
      </c>
      <c r="S37" s="433">
        <f>INDEX('Volume adjustments'!$J$571:$Y$611,S$17 + 1 + $H37*$H$39, S$15)</f>
        <v>1490</v>
      </c>
      <c r="T37" s="433">
        <f>INDEX('Volume adjustments'!$J$571:$Y$611,T$17 + 1 + $H37*$H$39, T$15)</f>
        <v>3636</v>
      </c>
      <c r="U37" s="433">
        <f>INDEX('Volume adjustments'!$J$571:$Y$611,U$17 + 1 + $H37*$H$39, U$15)</f>
        <v>6733</v>
      </c>
      <c r="V37" s="433">
        <f>INDEX('Volume adjustments'!$J$571:$Y$611,V$17 + 1 + $H37*$H$39, V$15)</f>
        <v>4881</v>
      </c>
      <c r="W37" s="433">
        <f>INDEX('Volume adjustments'!$J$571:$Y$611,W$17 + 1 + $H37*$H$39, W$15)</f>
        <v>0</v>
      </c>
      <c r="X37" s="433">
        <f>INDEX('Volume adjustments'!$J$571:$Y$611,X$17 + 1 + $H37*$H$39, X$15)</f>
        <v>0</v>
      </c>
      <c r="Y37" s="433">
        <f>INDEX('Volume adjustments'!$J$571:$Y$611,Y$17 + 1 + $H37*$H$39, Y$15)</f>
        <v>0</v>
      </c>
      <c r="Z37" s="433">
        <f>INDEX('Volume adjustments'!$J$571:$Y$611,Z$17 + 1 + $H37*$H$39, Z$15)</f>
        <v>0</v>
      </c>
      <c r="AA37" s="433">
        <f>INDEX('Volume adjustments'!$J$571:$Y$611,AA$17 + 1 + $H37*$H$39, AA$15)</f>
        <v>0</v>
      </c>
      <c r="AB37" s="433">
        <f>INDEX('Volume adjustments'!$J$571:$Y$611,AB$17 + 1 + $H37*$H$39, AB$15)</f>
        <v>0</v>
      </c>
      <c r="AC37" s="433">
        <f>INDEX('Volume adjustments'!$J$571:$Y$611,AC$17 + 1 + $H37*$H$39, AC$15)</f>
        <v>0</v>
      </c>
      <c r="AD37" s="433">
        <f>INDEX('Volume adjustments'!$J$571:$Y$611,AD$17 + 1 + $H37*$H$39, AD$15)</f>
        <v>0</v>
      </c>
      <c r="AE37" s="433">
        <f>INDEX('Volume adjustments'!$J$571:$Y$611,AE$17 + 1 + $H37*$H$39, AE$15)</f>
        <v>0</v>
      </c>
      <c r="AF37" s="433">
        <f>INDEX('Volume adjustments'!$J$571:$Y$611,AF$17 + 1 + $H37*$H$39, AF$15)</f>
        <v>0</v>
      </c>
      <c r="AG37" s="433">
        <f>INDEX('Volume adjustments'!$J$571:$Y$611,AG$17 + 1 + $H37*$H$39, AG$15)</f>
        <v>0</v>
      </c>
      <c r="AH37" s="433">
        <f>INDEX('Volume adjustments'!$J$571:$Y$611,AH$17 + 1 + $H37*$H$39, AH$15)</f>
        <v>0</v>
      </c>
      <c r="AI37" s="433">
        <f>INDEX('Volume adjustments'!$J$571:$Y$611,AI$17 + 1 + $H37*$H$39, AI$15)</f>
        <v>0</v>
      </c>
      <c r="AJ37" s="433">
        <f>INDEX('Volume adjustments'!$J$571:$Y$611,AJ$17 + 1 + $H37*$H$39, AJ$15)</f>
        <v>0</v>
      </c>
      <c r="AK37" s="433">
        <f>INDEX('Volume adjustments'!$J$571:$Y$611,AK$17 + 1 + $H37*$H$39, AK$15)</f>
        <v>0</v>
      </c>
      <c r="AL37" s="433">
        <f>INDEX('Volume adjustments'!$J$571:$Y$611,AL$17 + 1 + $H37*$H$39, AL$15)</f>
        <v>0</v>
      </c>
      <c r="AM37" s="433">
        <f>INDEX('Volume adjustments'!$J$571:$Y$611,AM$17 + 1 + $H37*$H$39, AM$15)</f>
        <v>0</v>
      </c>
      <c r="AN37" s="433">
        <f>INDEX('Volume adjustments'!$J$571:$Y$611,AN$17 + 1 + $H37*$H$39, AN$15)</f>
        <v>0</v>
      </c>
      <c r="AO37" s="433">
        <f>INDEX('Volume adjustments'!$J$571:$Y$611,AO$17 + 1 + $H37*$H$39, AO$15)</f>
        <v>0</v>
      </c>
    </row>
    <row r="38" spans="5:43" x14ac:dyDescent="0.25">
      <c r="E38" s="12"/>
      <c r="F38" s="92" t="s">
        <v>203</v>
      </c>
      <c r="G38" s="92" t="s">
        <v>169</v>
      </c>
      <c r="H38" s="435">
        <v>5</v>
      </c>
      <c r="J38" s="433">
        <f>INDEX('Volume adjustments'!$J$571:$Y$611,J$17 + 1 + $H38*$H$39, J$15)</f>
        <v>0</v>
      </c>
      <c r="K38" s="433">
        <f>INDEX('Volume adjustments'!$J$571:$Y$611,K$17 + 1 + $H38*$H$39, K$15)</f>
        <v>0</v>
      </c>
      <c r="L38" s="433">
        <f>INDEX('Volume adjustments'!$J$571:$Y$611,L$17 + 1 + $H38*$H$39, L$15)</f>
        <v>0</v>
      </c>
      <c r="M38" s="433">
        <f>INDEX('Volume adjustments'!$J$571:$Y$611,M$17 + 1 + $H38*$H$39, M$15)</f>
        <v>0</v>
      </c>
      <c r="N38" s="433">
        <f>INDEX('Volume adjustments'!$J$571:$Y$611,N$17 + 1 + $H38*$H$39, N$15)</f>
        <v>0</v>
      </c>
      <c r="O38" s="433">
        <f>INDEX('Volume adjustments'!$J$571:$Y$611,O$17 + 1 + $H38*$H$39, O$15)</f>
        <v>0</v>
      </c>
      <c r="P38" s="433">
        <f>INDEX('Volume adjustments'!$J$571:$Y$611,P$17 + 1 + $H38*$H$39, P$15)</f>
        <v>0</v>
      </c>
      <c r="Q38" s="433">
        <f>INDEX('Volume adjustments'!$J$571:$Y$611,Q$17 + 1 + $H38*$H$39, Q$15)</f>
        <v>0</v>
      </c>
      <c r="R38" s="433">
        <f>INDEX('Volume adjustments'!$J$571:$Y$611,R$17 + 1 + $H38*$H$39, R$15)</f>
        <v>0</v>
      </c>
      <c r="S38" s="433">
        <f>INDEX('Volume adjustments'!$J$571:$Y$611,S$17 + 1 + $H38*$H$39, S$15)</f>
        <v>5</v>
      </c>
      <c r="T38" s="433">
        <f>INDEX('Volume adjustments'!$J$571:$Y$611,T$17 + 1 + $H38*$H$39, T$15)</f>
        <v>12</v>
      </c>
      <c r="U38" s="433">
        <f>INDEX('Volume adjustments'!$J$571:$Y$611,U$17 + 1 + $H38*$H$39, U$15)</f>
        <v>22</v>
      </c>
      <c r="V38" s="433">
        <f>INDEX('Volume adjustments'!$J$571:$Y$611,V$17 + 1 + $H38*$H$39, V$15)</f>
        <v>16</v>
      </c>
      <c r="W38" s="433">
        <f>INDEX('Volume adjustments'!$J$571:$Y$611,W$17 + 1 + $H38*$H$39, W$15)</f>
        <v>0</v>
      </c>
      <c r="X38" s="433">
        <f>INDEX('Volume adjustments'!$J$571:$Y$611,X$17 + 1 + $H38*$H$39, X$15)</f>
        <v>0</v>
      </c>
      <c r="Y38" s="433">
        <f>INDEX('Volume adjustments'!$J$571:$Y$611,Y$17 + 1 + $H38*$H$39, Y$15)</f>
        <v>0</v>
      </c>
      <c r="Z38" s="433">
        <f>INDEX('Volume adjustments'!$J$571:$Y$611,Z$17 + 1 + $H38*$H$39, Z$15)</f>
        <v>0</v>
      </c>
      <c r="AA38" s="433">
        <f>INDEX('Volume adjustments'!$J$571:$Y$611,AA$17 + 1 + $H38*$H$39, AA$15)</f>
        <v>0</v>
      </c>
      <c r="AB38" s="433">
        <f>INDEX('Volume adjustments'!$J$571:$Y$611,AB$17 + 1 + $H38*$H$39, AB$15)</f>
        <v>0</v>
      </c>
      <c r="AC38" s="433">
        <f>INDEX('Volume adjustments'!$J$571:$Y$611,AC$17 + 1 + $H38*$H$39, AC$15)</f>
        <v>0</v>
      </c>
      <c r="AD38" s="433">
        <f>INDEX('Volume adjustments'!$J$571:$Y$611,AD$17 + 1 + $H38*$H$39, AD$15)</f>
        <v>0</v>
      </c>
      <c r="AE38" s="433">
        <f>INDEX('Volume adjustments'!$J$571:$Y$611,AE$17 + 1 + $H38*$H$39, AE$15)</f>
        <v>0</v>
      </c>
      <c r="AF38" s="433">
        <f>INDEX('Volume adjustments'!$J$571:$Y$611,AF$17 + 1 + $H38*$H$39, AF$15)</f>
        <v>0</v>
      </c>
      <c r="AG38" s="433">
        <f>INDEX('Volume adjustments'!$J$571:$Y$611,AG$17 + 1 + $H38*$H$39, AG$15)</f>
        <v>0</v>
      </c>
      <c r="AH38" s="433">
        <f>INDEX('Volume adjustments'!$J$571:$Y$611,AH$17 + 1 + $H38*$H$39, AH$15)</f>
        <v>0</v>
      </c>
      <c r="AI38" s="433">
        <f>INDEX('Volume adjustments'!$J$571:$Y$611,AI$17 + 1 + $H38*$H$39, AI$15)</f>
        <v>0</v>
      </c>
      <c r="AJ38" s="433">
        <f>INDEX('Volume adjustments'!$J$571:$Y$611,AJ$17 + 1 + $H38*$H$39, AJ$15)</f>
        <v>0</v>
      </c>
      <c r="AK38" s="433">
        <f>INDEX('Volume adjustments'!$J$571:$Y$611,AK$17 + 1 + $H38*$H$39, AK$15)</f>
        <v>0</v>
      </c>
      <c r="AL38" s="433">
        <f>INDEX('Volume adjustments'!$J$571:$Y$611,AL$17 + 1 + $H38*$H$39, AL$15)</f>
        <v>0</v>
      </c>
      <c r="AM38" s="433">
        <f>INDEX('Volume adjustments'!$J$571:$Y$611,AM$17 + 1 + $H38*$H$39, AM$15)</f>
        <v>0</v>
      </c>
      <c r="AN38" s="433">
        <f>INDEX('Volume adjustments'!$J$571:$Y$611,AN$17 + 1 + $H38*$H$39, AN$15)</f>
        <v>0</v>
      </c>
      <c r="AO38" s="433">
        <f>INDEX('Volume adjustments'!$J$571:$Y$611,AO$17 + 1 + $H38*$H$39, AO$15)</f>
        <v>0</v>
      </c>
    </row>
    <row r="39" spans="5:43" x14ac:dyDescent="0.25">
      <c r="E39" s="12"/>
      <c r="F39" s="34" t="s">
        <v>204</v>
      </c>
      <c r="G39" s="34" t="s">
        <v>170</v>
      </c>
      <c r="H39" s="403">
        <v>6</v>
      </c>
      <c r="I39" s="17"/>
      <c r="J39" s="239">
        <f>INDEX('Volume adjustments'!$J$571:$Y$611,J$17 + 1 + $H39*$H$39, J$15)</f>
        <v>0</v>
      </c>
      <c r="K39" s="239">
        <f>INDEX('Volume adjustments'!$J$571:$Y$611,K$17 + 1 + $H39*$H$39, K$15)</f>
        <v>0</v>
      </c>
      <c r="L39" s="239">
        <f>INDEX('Volume adjustments'!$J$571:$Y$611,L$17 + 1 + $H39*$H$39, L$15)</f>
        <v>0</v>
      </c>
      <c r="M39" s="239">
        <f>INDEX('Volume adjustments'!$J$571:$Y$611,M$17 + 1 + $H39*$H$39, M$15)</f>
        <v>0</v>
      </c>
      <c r="N39" s="239">
        <f>INDEX('Volume adjustments'!$J$571:$Y$611,N$17 + 1 + $H39*$H$39, N$15)</f>
        <v>0</v>
      </c>
      <c r="O39" s="239">
        <f>INDEX('Volume adjustments'!$J$571:$Y$611,O$17 + 1 + $H39*$H$39, O$15)</f>
        <v>0</v>
      </c>
      <c r="P39" s="239">
        <f>INDEX('Volume adjustments'!$J$571:$Y$611,P$17 + 1 + $H39*$H$39, P$15)</f>
        <v>0</v>
      </c>
      <c r="Q39" s="239">
        <f>INDEX('Volume adjustments'!$J$571:$Y$611,Q$17 + 1 + $H39*$H$39, Q$15)</f>
        <v>0</v>
      </c>
      <c r="R39" s="239">
        <f>INDEX('Volume adjustments'!$J$571:$Y$611,R$17 + 1 + $H39*$H$39, R$15)</f>
        <v>0</v>
      </c>
      <c r="S39" s="239">
        <f>INDEX('Volume adjustments'!$J$571:$Y$611,S$17 + 1 + $H39*$H$39, S$15)</f>
        <v>99.444000000000003</v>
      </c>
      <c r="T39" s="239">
        <f>INDEX('Volume adjustments'!$J$571:$Y$611,T$17 + 1 + $H39*$H$39, T$15)</f>
        <v>242.67099999999999</v>
      </c>
      <c r="U39" s="239">
        <f>INDEX('Volume adjustments'!$J$571:$Y$611,U$17 + 1 + $H39*$H$39, U$15)</f>
        <v>449.36799999999999</v>
      </c>
      <c r="V39" s="239">
        <f>INDEX('Volume adjustments'!$J$571:$Y$611,V$17 + 1 + $H39*$H$39, V$15)</f>
        <v>325.76400000000001</v>
      </c>
      <c r="W39" s="239">
        <f>INDEX('Volume adjustments'!$J$571:$Y$611,W$17 + 1 + $H39*$H$39, W$15)</f>
        <v>0</v>
      </c>
      <c r="X39" s="239">
        <f>INDEX('Volume adjustments'!$J$571:$Y$611,X$17 + 1 + $H39*$H$39, X$15)</f>
        <v>0</v>
      </c>
      <c r="Y39" s="239">
        <f>INDEX('Volume adjustments'!$J$571:$Y$611,Y$17 + 1 + $H39*$H$39, Y$15)</f>
        <v>0</v>
      </c>
      <c r="Z39" s="239">
        <f>INDEX('Volume adjustments'!$J$571:$Y$611,Z$17 + 1 + $H39*$H$39, Z$15)</f>
        <v>0</v>
      </c>
      <c r="AA39" s="239">
        <f>INDEX('Volume adjustments'!$J$571:$Y$611,AA$17 + 1 + $H39*$H$39, AA$15)</f>
        <v>0</v>
      </c>
      <c r="AB39" s="239">
        <f>INDEX('Volume adjustments'!$J$571:$Y$611,AB$17 + 1 + $H39*$H$39, AB$15)</f>
        <v>0</v>
      </c>
      <c r="AC39" s="239">
        <f>INDEX('Volume adjustments'!$J$571:$Y$611,AC$17 + 1 + $H39*$H$39, AC$15)</f>
        <v>0</v>
      </c>
      <c r="AD39" s="239">
        <f>INDEX('Volume adjustments'!$J$571:$Y$611,AD$17 + 1 + $H39*$H$39, AD$15)</f>
        <v>0</v>
      </c>
      <c r="AE39" s="239">
        <f>INDEX('Volume adjustments'!$J$571:$Y$611,AE$17 + 1 + $H39*$H$39, AE$15)</f>
        <v>0</v>
      </c>
      <c r="AF39" s="239">
        <f>INDEX('Volume adjustments'!$J$571:$Y$611,AF$17 + 1 + $H39*$H$39, AF$15)</f>
        <v>0</v>
      </c>
      <c r="AG39" s="239">
        <f>INDEX('Volume adjustments'!$J$571:$Y$611,AG$17 + 1 + $H39*$H$39, AG$15)</f>
        <v>0</v>
      </c>
      <c r="AH39" s="239">
        <f>INDEX('Volume adjustments'!$J$571:$Y$611,AH$17 + 1 + $H39*$H$39, AH$15)</f>
        <v>0</v>
      </c>
      <c r="AI39" s="239">
        <f>INDEX('Volume adjustments'!$J$571:$Y$611,AI$17 + 1 + $H39*$H$39, AI$15)</f>
        <v>0</v>
      </c>
      <c r="AJ39" s="239">
        <f>INDEX('Volume adjustments'!$J$571:$Y$611,AJ$17 + 1 + $H39*$H$39, AJ$15)</f>
        <v>0</v>
      </c>
      <c r="AK39" s="239">
        <f>INDEX('Volume adjustments'!$J$571:$Y$611,AK$17 + 1 + $H39*$H$39, AK$15)</f>
        <v>0</v>
      </c>
      <c r="AL39" s="239">
        <f>INDEX('Volume adjustments'!$J$571:$Y$611,AL$17 + 1 + $H39*$H$39, AL$15)</f>
        <v>0</v>
      </c>
      <c r="AM39" s="239">
        <f>INDEX('Volume adjustments'!$J$571:$Y$611,AM$17 + 1 + $H39*$H$39, AM$15)</f>
        <v>0</v>
      </c>
      <c r="AN39" s="239">
        <f>INDEX('Volume adjustments'!$J$571:$Y$611,AN$17 + 1 + $H39*$H$39, AN$15)</f>
        <v>0</v>
      </c>
      <c r="AO39" s="239">
        <f>INDEX('Volume adjustments'!$J$571:$Y$611,AO$17 + 1 + $H39*$H$39, AO$15)</f>
        <v>0</v>
      </c>
    </row>
    <row r="40" spans="5:43" s="322" customFormat="1" x14ac:dyDescent="0.25">
      <c r="E40" s="370"/>
      <c r="F40" s="324"/>
      <c r="G40" s="324"/>
      <c r="J40" s="371"/>
      <c r="K40" s="371"/>
      <c r="L40" s="371"/>
      <c r="M40" s="371"/>
      <c r="N40" s="371"/>
      <c r="O40" s="371"/>
      <c r="P40" s="371"/>
      <c r="Q40" s="371"/>
      <c r="R40" s="371"/>
      <c r="S40" s="371"/>
      <c r="T40" s="371"/>
      <c r="U40" s="371"/>
      <c r="V40" s="371"/>
      <c r="W40" s="371"/>
      <c r="X40" s="371"/>
      <c r="Y40" s="371"/>
      <c r="Z40" s="371"/>
      <c r="AA40" s="371"/>
      <c r="AB40" s="371"/>
      <c r="AC40" s="371"/>
      <c r="AD40" s="371"/>
      <c r="AE40" s="371"/>
      <c r="AF40" s="371"/>
      <c r="AG40" s="371"/>
      <c r="AH40" s="371"/>
      <c r="AI40" s="371"/>
      <c r="AJ40" s="371"/>
      <c r="AK40" s="371"/>
      <c r="AL40" s="371"/>
      <c r="AM40" s="371"/>
      <c r="AN40" s="371"/>
      <c r="AO40" s="371"/>
    </row>
    <row r="41" spans="5:43" x14ac:dyDescent="0.25">
      <c r="E41" s="52" t="s">
        <v>901</v>
      </c>
      <c r="F41" s="37"/>
      <c r="G41" s="37"/>
      <c r="I41" t="s">
        <v>359</v>
      </c>
      <c r="J41" s="211"/>
      <c r="K41" s="211"/>
      <c r="L41" s="211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1"/>
      <c r="AQ41" t="s">
        <v>691</v>
      </c>
    </row>
    <row r="42" spans="5:43" x14ac:dyDescent="0.25">
      <c r="E42" s="52"/>
      <c r="F42" s="73" t="s">
        <v>1109</v>
      </c>
    </row>
    <row r="43" spans="5:43" x14ac:dyDescent="0.25">
      <c r="E43" s="52"/>
      <c r="F43" s="458" t="s">
        <v>1110</v>
      </c>
      <c r="G43" s="17"/>
    </row>
    <row r="44" spans="5:43" x14ac:dyDescent="0.25">
      <c r="E44" s="12"/>
      <c r="F44" s="92" t="s">
        <v>199</v>
      </c>
      <c r="G44" s="92" t="s">
        <v>120</v>
      </c>
      <c r="H44" s="402">
        <v>0</v>
      </c>
      <c r="I44" s="80"/>
      <c r="J44" s="238">
        <f>INDEX('Volume adjustments'!$J$615:$Y$655,J$17 + 1 + $H44*$H$50, J$15)</f>
        <v>32626.366864146377</v>
      </c>
      <c r="K44" s="238">
        <f>INDEX('Volume adjustments'!$J$615:$Y$655,K$17 + 1 + $H44*$H$50, K$15)</f>
        <v>0</v>
      </c>
      <c r="L44" s="238">
        <f>INDEX('Volume adjustments'!$J$615:$Y$655,L$17 + 1 + $H44*$H$50, L$15)</f>
        <v>0</v>
      </c>
      <c r="M44" s="238">
        <f>INDEX('Volume adjustments'!$J$615:$Y$655,M$17 + 1 + $H44*$H$50, M$15)</f>
        <v>228.32699061290884</v>
      </c>
      <c r="N44" s="238">
        <f>INDEX('Volume adjustments'!$J$615:$Y$655,N$17 + 1 + $H44*$H$50, N$15)</f>
        <v>359.61296770970398</v>
      </c>
      <c r="O44" s="238">
        <f>INDEX('Volume adjustments'!$J$615:$Y$655,O$17 + 1 + $H44*$H$50, O$15)</f>
        <v>568.53660376461573</v>
      </c>
      <c r="P44" s="238">
        <f>INDEX('Volume adjustments'!$J$615:$Y$655,P$17 + 1 + $H44*$H$50, P$15)</f>
        <v>1205.2358848878739</v>
      </c>
      <c r="Q44" s="238">
        <f>INDEX('Volume adjustments'!$J$615:$Y$655,Q$17 + 1 + $H44*$H$50, Q$15)</f>
        <v>0</v>
      </c>
      <c r="R44" s="238">
        <f>INDEX('Volume adjustments'!$J$615:$Y$655,R$17 + 1 + $H44*$H$50, R$15)</f>
        <v>0</v>
      </c>
      <c r="S44" s="238">
        <f>INDEX('Volume adjustments'!$J$615:$Y$655,S$17 + 1 + $H44*$H$50, S$15)</f>
        <v>730.50928978556692</v>
      </c>
      <c r="T44" s="238">
        <f>INDEX('Volume adjustments'!$J$615:$Y$655,T$17 + 1 + $H44*$H$50, T$15)</f>
        <v>2384.6120788141361</v>
      </c>
      <c r="U44" s="238">
        <f>INDEX('Volume adjustments'!$J$615:$Y$655,U$17 + 1 + $H44*$H$50, U$15)</f>
        <v>2728.2165491910973</v>
      </c>
      <c r="V44" s="238">
        <f>INDEX('Volume adjustments'!$J$615:$Y$655,V$17 + 1 + $H44*$H$50, V$15)</f>
        <v>10015.193994900874</v>
      </c>
      <c r="W44" s="238">
        <f>INDEX('Volume adjustments'!$J$615:$Y$655,W$17 + 1 + $H44*$H$50, W$15)</f>
        <v>0</v>
      </c>
      <c r="X44" s="238">
        <f>INDEX('Volume adjustments'!$J$615:$Y$655,X$17 + 1 + $H44*$H$50, X$15)</f>
        <v>0</v>
      </c>
      <c r="Y44" s="238">
        <f>INDEX('Volume adjustments'!$J$615:$Y$655,Y$17 + 1 + $H44*$H$50, Y$15)</f>
        <v>49.851444293283741</v>
      </c>
      <c r="Z44" s="238">
        <f>INDEX('Volume adjustments'!$J$615:$Y$655,Z$17 + 1 + $H44*$H$50, Z$15)</f>
        <v>34.301452495378719</v>
      </c>
      <c r="AA44" s="238">
        <f>INDEX('Volume adjustments'!$J$615:$Y$655,AA$17 + 1 + $H44*$H$50, AA$15)</f>
        <v>3162.4414691739385</v>
      </c>
      <c r="AB44" s="238">
        <f>INDEX('Volume adjustments'!$J$615:$Y$655,AB$17 + 1 + $H44*$H$50, AB$15)</f>
        <v>0</v>
      </c>
      <c r="AC44" s="238">
        <f>INDEX('Volume adjustments'!$J$615:$Y$655,AC$17 + 1 + $H44*$H$50, AC$15)</f>
        <v>405.92264581550916</v>
      </c>
      <c r="AD44" s="238">
        <f>INDEX('Volume adjustments'!$J$615:$Y$655,AD$17 + 1 + $H44*$H$50, AD$15)</f>
        <v>546.80429321484007</v>
      </c>
      <c r="AE44" s="238">
        <f>INDEX('Volume adjustments'!$J$615:$Y$655,AE$17 + 1 + $H44*$H$50, AE$15)</f>
        <v>1687.0281306222398</v>
      </c>
      <c r="AF44" s="238">
        <f>INDEX('Volume adjustments'!$J$615:$Y$655,AF$17 + 1 + $H44*$H$50, AF$15)</f>
        <v>2811.7135510370663</v>
      </c>
      <c r="AG44" s="238">
        <f>INDEX('Volume adjustments'!$J$615:$Y$655,AG$17 + 1 + $H44*$H$50, AG$15)</f>
        <v>24.693411835748794</v>
      </c>
      <c r="AH44" s="238">
        <f>INDEX('Volume adjustments'!$J$615:$Y$655,AH$17 + 1 + $H44*$H$50, AH$15)</f>
        <v>560.25500000000011</v>
      </c>
      <c r="AI44" s="238">
        <f>INDEX('Volume adjustments'!$J$615:$Y$655,AI$17 + 1 + $H44*$H$50, AI$15)</f>
        <v>7.944</v>
      </c>
      <c r="AJ44" s="238">
        <f>INDEX('Volume adjustments'!$J$615:$Y$655,AJ$17 + 1 + $H44*$H$50, AJ$15)</f>
        <v>0</v>
      </c>
      <c r="AK44" s="238">
        <f>INDEX('Volume adjustments'!$J$615:$Y$655,AK$17 + 1 + $H44*$H$50, AK$15)</f>
        <v>0</v>
      </c>
      <c r="AL44" s="238">
        <f>INDEX('Volume adjustments'!$J$615:$Y$655,AL$17 + 1 + $H44*$H$50, AL$15)</f>
        <v>0</v>
      </c>
      <c r="AM44" s="238">
        <f>INDEX('Volume adjustments'!$J$615:$Y$655,AM$17 + 1 + $H44*$H$50, AM$15)</f>
        <v>0</v>
      </c>
      <c r="AN44" s="238">
        <f>INDEX('Volume adjustments'!$J$615:$Y$655,AN$17 + 1 + $H44*$H$50, AN$15)</f>
        <v>0</v>
      </c>
      <c r="AO44" s="238">
        <f>INDEX('Volume adjustments'!$J$615:$Y$655,AO$17 + 1 + $H44*$H$50, AO$15)</f>
        <v>0</v>
      </c>
    </row>
    <row r="45" spans="5:43" x14ac:dyDescent="0.25">
      <c r="E45" s="12"/>
      <c r="F45" s="92" t="s">
        <v>200</v>
      </c>
      <c r="G45" s="92" t="s">
        <v>120</v>
      </c>
      <c r="H45" s="435">
        <v>1</v>
      </c>
      <c r="J45" s="433">
        <f>INDEX('Volume adjustments'!$J$615:$Y$655,J$17 + 1 + $H45*$H$50, J$15)</f>
        <v>111734.49537012567</v>
      </c>
      <c r="K45" s="433">
        <f>INDEX('Volume adjustments'!$J$615:$Y$655,K$17 + 1 + $H45*$H$50, K$15)</f>
        <v>13.045000000000002</v>
      </c>
      <c r="L45" s="433">
        <f>INDEX('Volume adjustments'!$J$615:$Y$655,L$17 + 1 + $H45*$H$50, L$15)</f>
        <v>0</v>
      </c>
      <c r="M45" s="433">
        <f>INDEX('Volume adjustments'!$J$615:$Y$655,M$17 + 1 + $H45*$H$50, M$15)</f>
        <v>1184.7621059224277</v>
      </c>
      <c r="N45" s="433">
        <f>INDEX('Volume adjustments'!$J$615:$Y$655,N$17 + 1 + $H45*$H$50, N$15)</f>
        <v>1865.9897185045068</v>
      </c>
      <c r="O45" s="433">
        <f>INDEX('Volume adjustments'!$J$615:$Y$655,O$17 + 1 + $H45*$H$50, O$15)</f>
        <v>2950.0700822186059</v>
      </c>
      <c r="P45" s="433">
        <f>INDEX('Volume adjustments'!$J$615:$Y$655,P$17 + 1 + $H45*$H$50, P$15)</f>
        <v>6253.8283418881465</v>
      </c>
      <c r="Q45" s="433">
        <f>INDEX('Volume adjustments'!$J$615:$Y$655,Q$17 + 1 + $H45*$H$50, Q$15)</f>
        <v>0</v>
      </c>
      <c r="R45" s="433">
        <f>INDEX('Volume adjustments'!$J$615:$Y$655,R$17 + 1 + $H45*$H$50, R$15)</f>
        <v>0</v>
      </c>
      <c r="S45" s="433">
        <f>INDEX('Volume adjustments'!$J$615:$Y$655,S$17 + 1 + $H45*$H$50, S$15)</f>
        <v>3229.4664471734022</v>
      </c>
      <c r="T45" s="433">
        <f>INDEX('Volume adjustments'!$J$615:$Y$655,T$17 + 1 + $H45*$H$50, T$15)</f>
        <v>10541.994202859791</v>
      </c>
      <c r="U45" s="433">
        <f>INDEX('Volume adjustments'!$J$615:$Y$655,U$17 + 1 + $H45*$H$50, U$15)</f>
        <v>12061.015416822602</v>
      </c>
      <c r="V45" s="433">
        <f>INDEX('Volume adjustments'!$J$615:$Y$655,V$17 + 1 + $H45*$H$50, V$15)</f>
        <v>44275.594329483574</v>
      </c>
      <c r="W45" s="433">
        <f>INDEX('Volume adjustments'!$J$615:$Y$655,W$17 + 1 + $H45*$H$50, W$15)</f>
        <v>0</v>
      </c>
      <c r="X45" s="433">
        <f>INDEX('Volume adjustments'!$J$615:$Y$655,X$17 + 1 + $H45*$H$50, X$15)</f>
        <v>0</v>
      </c>
      <c r="Y45" s="433">
        <f>INDEX('Volume adjustments'!$J$615:$Y$655,Y$17 + 1 + $H45*$H$50, Y$15)</f>
        <v>227.46351702797563</v>
      </c>
      <c r="Z45" s="433">
        <f>INDEX('Volume adjustments'!$J$615:$Y$655,Z$17 + 1 + $H45*$H$50, Z$15)</f>
        <v>156.51159428530434</v>
      </c>
      <c r="AA45" s="433">
        <f>INDEX('Volume adjustments'!$J$615:$Y$655,AA$17 + 1 + $H45*$H$50, AA$15)</f>
        <v>14429.673386019347</v>
      </c>
      <c r="AB45" s="433">
        <f>INDEX('Volume adjustments'!$J$615:$Y$655,AB$17 + 1 + $H45*$H$50, AB$15)</f>
        <v>0</v>
      </c>
      <c r="AC45" s="433">
        <f>INDEX('Volume adjustments'!$J$615:$Y$655,AC$17 + 1 + $H45*$H$50, AC$15)</f>
        <v>1796.7110888868503</v>
      </c>
      <c r="AD45" s="433">
        <f>INDEX('Volume adjustments'!$J$615:$Y$655,AD$17 + 1 + $H45*$H$50, AD$15)</f>
        <v>2420.2870847382105</v>
      </c>
      <c r="AE45" s="433">
        <f>INDEX('Volume adjustments'!$J$615:$Y$655,AE$17 + 1 + $H45*$H$50, AE$15)</f>
        <v>7467.1915469595669</v>
      </c>
      <c r="AF45" s="433">
        <f>INDEX('Volume adjustments'!$J$615:$Y$655,AF$17 + 1 + $H45*$H$50, AF$15)</f>
        <v>12445.319244932612</v>
      </c>
      <c r="AG45" s="433">
        <f>INDEX('Volume adjustments'!$J$615:$Y$655,AG$17 + 1 + $H45*$H$50, AG$15)</f>
        <v>294.53399033816419</v>
      </c>
      <c r="AH45" s="433">
        <f>INDEX('Volume adjustments'!$J$615:$Y$655,AH$17 + 1 + $H45*$H$50, AH$15)</f>
        <v>2047.2030000000002</v>
      </c>
      <c r="AI45" s="433">
        <f>INDEX('Volume adjustments'!$J$615:$Y$655,AI$17 + 1 + $H45*$H$50, AI$15)</f>
        <v>28.603999999999999</v>
      </c>
      <c r="AJ45" s="433">
        <f>INDEX('Volume adjustments'!$J$615:$Y$655,AJ$17 + 1 + $H45*$H$50, AJ$15)</f>
        <v>0</v>
      </c>
      <c r="AK45" s="433">
        <f>INDEX('Volume adjustments'!$J$615:$Y$655,AK$17 + 1 + $H45*$H$50, AK$15)</f>
        <v>0</v>
      </c>
      <c r="AL45" s="433">
        <f>INDEX('Volume adjustments'!$J$615:$Y$655,AL$17 + 1 + $H45*$H$50, AL$15)</f>
        <v>0</v>
      </c>
      <c r="AM45" s="433">
        <f>INDEX('Volume adjustments'!$J$615:$Y$655,AM$17 + 1 + $H45*$H$50, AM$15)</f>
        <v>0</v>
      </c>
      <c r="AN45" s="433">
        <f>INDEX('Volume adjustments'!$J$615:$Y$655,AN$17 + 1 + $H45*$H$50, AN$15)</f>
        <v>0</v>
      </c>
      <c r="AO45" s="433">
        <f>INDEX('Volume adjustments'!$J$615:$Y$655,AO$17 + 1 + $H45*$H$50, AO$15)</f>
        <v>0</v>
      </c>
    </row>
    <row r="46" spans="5:43" x14ac:dyDescent="0.25">
      <c r="E46" s="12"/>
      <c r="F46" s="92" t="s">
        <v>201</v>
      </c>
      <c r="G46" s="92" t="s">
        <v>120</v>
      </c>
      <c r="H46" s="435">
        <v>2</v>
      </c>
      <c r="J46" s="433">
        <f>INDEX('Volume adjustments'!$J$615:$Y$655,J$17 + 1 + $H46*$H$50, J$15)</f>
        <v>100076.82667142931</v>
      </c>
      <c r="K46" s="433">
        <f>INDEX('Volume adjustments'!$J$615:$Y$655,K$17 + 1 + $H46*$H$50, K$15)</f>
        <v>250.68800000000002</v>
      </c>
      <c r="L46" s="433">
        <f>INDEX('Volume adjustments'!$J$615:$Y$655,L$17 + 1 + $H46*$H$50, L$15)</f>
        <v>0</v>
      </c>
      <c r="M46" s="433">
        <f>INDEX('Volume adjustments'!$J$615:$Y$655,M$17 + 1 + $H46*$H$50, M$15)</f>
        <v>924.10191609268861</v>
      </c>
      <c r="N46" s="433">
        <f>INDEX('Volume adjustments'!$J$615:$Y$655,N$17 + 1 + $H46*$H$50, N$15)</f>
        <v>1455.4522512658536</v>
      </c>
      <c r="O46" s="433">
        <f>INDEX('Volume adjustments'!$J$615:$Y$655,O$17 + 1 + $H46*$H$50, O$15)</f>
        <v>2301.0234729472559</v>
      </c>
      <c r="P46" s="433">
        <f>INDEX('Volume adjustments'!$J$615:$Y$655,P$17 + 1 + $H46*$H$50, P$15)</f>
        <v>4877.9199847500777</v>
      </c>
      <c r="Q46" s="433">
        <f>INDEX('Volume adjustments'!$J$615:$Y$655,Q$17 + 1 + $H46*$H$50, Q$15)</f>
        <v>0</v>
      </c>
      <c r="R46" s="433">
        <f>INDEX('Volume adjustments'!$J$615:$Y$655,R$17 + 1 + $H46*$H$50, R$15)</f>
        <v>0</v>
      </c>
      <c r="S46" s="433">
        <f>INDEX('Volume adjustments'!$J$615:$Y$655,S$17 + 1 + $H46*$H$50, S$15)</f>
        <v>2941.2496578870246</v>
      </c>
      <c r="T46" s="433">
        <f>INDEX('Volume adjustments'!$J$615:$Y$655,T$17 + 1 + $H46*$H$50, T$15)</f>
        <v>9601.1639538001637</v>
      </c>
      <c r="U46" s="433">
        <f>INDEX('Volume adjustments'!$J$615:$Y$655,U$17 + 1 + $H46*$H$50, U$15)</f>
        <v>10984.618681995815</v>
      </c>
      <c r="V46" s="433">
        <f>INDEX('Volume adjustments'!$J$615:$Y$655,V$17 + 1 + $H46*$H$50, V$15)</f>
        <v>40324.177013301523</v>
      </c>
      <c r="W46" s="433">
        <f>INDEX('Volume adjustments'!$J$615:$Y$655,W$17 + 1 + $H46*$H$50, W$15)</f>
        <v>0</v>
      </c>
      <c r="X46" s="433">
        <f>INDEX('Volume adjustments'!$J$615:$Y$655,X$17 + 1 + $H46*$H$50, X$15)</f>
        <v>0</v>
      </c>
      <c r="Y46" s="433">
        <f>INDEX('Volume adjustments'!$J$615:$Y$655,Y$17 + 1 + $H46*$H$50, Y$15)</f>
        <v>208.87225658450117</v>
      </c>
      <c r="Z46" s="433">
        <f>INDEX('Volume adjustments'!$J$615:$Y$655,Z$17 + 1 + $H46*$H$50, Z$15)</f>
        <v>143.71944260401457</v>
      </c>
      <c r="AA46" s="433">
        <f>INDEX('Volume adjustments'!$J$615:$Y$655,AA$17 + 1 + $H46*$H$50, AA$15)</f>
        <v>13250.293855011902</v>
      </c>
      <c r="AB46" s="433">
        <f>INDEX('Volume adjustments'!$J$615:$Y$655,AB$17 + 1 + $H46*$H$50, AB$15)</f>
        <v>0</v>
      </c>
      <c r="AC46" s="433">
        <f>INDEX('Volume adjustments'!$J$615:$Y$655,AC$17 + 1 + $H46*$H$50, AC$15)</f>
        <v>2105.8513088995433</v>
      </c>
      <c r="AD46" s="433">
        <f>INDEX('Volume adjustments'!$J$615:$Y$655,AD$17 + 1 + $H46*$H$50, AD$15)</f>
        <v>2836.719134664168</v>
      </c>
      <c r="AE46" s="433">
        <f>INDEX('Volume adjustments'!$J$615:$Y$655,AE$17 + 1 + $H46*$H$50, AE$15)</f>
        <v>8751.988669870505</v>
      </c>
      <c r="AF46" s="433">
        <f>INDEX('Volume adjustments'!$J$615:$Y$655,AF$17 + 1 + $H46*$H$50, AF$15)</f>
        <v>14586.647783117507</v>
      </c>
      <c r="AG46" s="433">
        <f>INDEX('Volume adjustments'!$J$615:$Y$655,AG$17 + 1 + $H46*$H$50, AG$15)</f>
        <v>338.79760084541061</v>
      </c>
      <c r="AH46" s="433">
        <f>INDEX('Volume adjustments'!$J$615:$Y$655,AH$17 + 1 + $H46*$H$50, AH$15)</f>
        <v>914.25899999999979</v>
      </c>
      <c r="AI46" s="433">
        <f>INDEX('Volume adjustments'!$J$615:$Y$655,AI$17 + 1 + $H46*$H$50, AI$15)</f>
        <v>13.100000000000001</v>
      </c>
      <c r="AJ46" s="433">
        <f>INDEX('Volume adjustments'!$J$615:$Y$655,AJ$17 + 1 + $H46*$H$50, AJ$15)</f>
        <v>0</v>
      </c>
      <c r="AK46" s="433">
        <f>INDEX('Volume adjustments'!$J$615:$Y$655,AK$17 + 1 + $H46*$H$50, AK$15)</f>
        <v>0</v>
      </c>
      <c r="AL46" s="433">
        <f>INDEX('Volume adjustments'!$J$615:$Y$655,AL$17 + 1 + $H46*$H$50, AL$15)</f>
        <v>0</v>
      </c>
      <c r="AM46" s="433">
        <f>INDEX('Volume adjustments'!$J$615:$Y$655,AM$17 + 1 + $H46*$H$50, AM$15)</f>
        <v>0</v>
      </c>
      <c r="AN46" s="433">
        <f>INDEX('Volume adjustments'!$J$615:$Y$655,AN$17 + 1 + $H46*$H$50, AN$15)</f>
        <v>0</v>
      </c>
      <c r="AO46" s="433">
        <f>INDEX('Volume adjustments'!$J$615:$Y$655,AO$17 + 1 + $H46*$H$50, AO$15)</f>
        <v>0</v>
      </c>
    </row>
    <row r="47" spans="5:43" x14ac:dyDescent="0.25">
      <c r="E47" s="12"/>
      <c r="F47" s="92" t="s">
        <v>74</v>
      </c>
      <c r="G47" s="92" t="s">
        <v>74</v>
      </c>
      <c r="H47" s="435">
        <v>3</v>
      </c>
      <c r="J47" s="433">
        <f>INDEX('Volume adjustments'!$J$615:$Y$655,J$17 + 1 + $H47*$H$50, J$15)</f>
        <v>84249.703927492461</v>
      </c>
      <c r="K47" s="433">
        <f>INDEX('Volume adjustments'!$J$615:$Y$655,K$17 + 1 + $H47*$H$50, K$15)</f>
        <v>70</v>
      </c>
      <c r="L47" s="433">
        <f>INDEX('Volume adjustments'!$J$615:$Y$655,L$17 + 1 + $H47*$H$50, L$15)</f>
        <v>0</v>
      </c>
      <c r="M47" s="433">
        <f>INDEX('Volume adjustments'!$J$615:$Y$655,M$17 + 1 + $H47*$H$50, M$15)</f>
        <v>587</v>
      </c>
      <c r="N47" s="433">
        <f>INDEX('Volume adjustments'!$J$615:$Y$655,N$17 + 1 + $H47*$H$50, N$15)</f>
        <v>497</v>
      </c>
      <c r="O47" s="433">
        <f>INDEX('Volume adjustments'!$J$615:$Y$655,O$17 + 1 + $H47*$H$50, O$15)</f>
        <v>350</v>
      </c>
      <c r="P47" s="433">
        <f>INDEX('Volume adjustments'!$J$615:$Y$655,P$17 + 1 + $H47*$H$50, P$15)</f>
        <v>288</v>
      </c>
      <c r="Q47" s="433">
        <f>INDEX('Volume adjustments'!$J$615:$Y$655,Q$17 + 1 + $H47*$H$50, Q$15)</f>
        <v>0</v>
      </c>
      <c r="R47" s="433">
        <f>INDEX('Volume adjustments'!$J$615:$Y$655,R$17 + 1 + $H47*$H$50, R$15)</f>
        <v>0</v>
      </c>
      <c r="S47" s="433">
        <f>INDEX('Volume adjustments'!$J$615:$Y$655,S$17 + 1 + $H47*$H$50, S$15)</f>
        <v>89</v>
      </c>
      <c r="T47" s="433">
        <f>INDEX('Volume adjustments'!$J$615:$Y$655,T$17 + 1 + $H47*$H$50, T$15)</f>
        <v>140</v>
      </c>
      <c r="U47" s="433">
        <f>INDEX('Volume adjustments'!$J$615:$Y$655,U$17 + 1 + $H47*$H$50, U$15)</f>
        <v>100</v>
      </c>
      <c r="V47" s="433">
        <f>INDEX('Volume adjustments'!$J$615:$Y$655,V$17 + 1 + $H47*$H$50, V$15)</f>
        <v>152</v>
      </c>
      <c r="W47" s="433">
        <f>INDEX('Volume adjustments'!$J$615:$Y$655,W$17 + 1 + $H47*$H$50, W$15)</f>
        <v>0</v>
      </c>
      <c r="X47" s="433">
        <f>INDEX('Volume adjustments'!$J$615:$Y$655,X$17 + 1 + $H47*$H$50, X$15)</f>
        <v>0</v>
      </c>
      <c r="Y47" s="433">
        <f>INDEX('Volume adjustments'!$J$615:$Y$655,Y$17 + 1 + $H47*$H$50, Y$15)</f>
        <v>3</v>
      </c>
      <c r="Z47" s="433">
        <f>INDEX('Volume adjustments'!$J$615:$Y$655,Z$17 + 1 + $H47*$H$50, Z$15)</f>
        <v>1</v>
      </c>
      <c r="AA47" s="433">
        <f>INDEX('Volume adjustments'!$J$615:$Y$655,AA$17 + 1 + $H47*$H$50, AA$15)</f>
        <v>34</v>
      </c>
      <c r="AB47" s="433">
        <f>INDEX('Volume adjustments'!$J$615:$Y$655,AB$17 + 1 + $H47*$H$50, AB$15)</f>
        <v>0</v>
      </c>
      <c r="AC47" s="433">
        <f>INDEX('Volume adjustments'!$J$615:$Y$655,AC$17 + 1 + $H47*$H$50, AC$15)</f>
        <v>9</v>
      </c>
      <c r="AD47" s="433">
        <f>INDEX('Volume adjustments'!$J$615:$Y$655,AD$17 + 1 + $H47*$H$50, AD$15)</f>
        <v>6</v>
      </c>
      <c r="AE47" s="433">
        <f>INDEX('Volume adjustments'!$J$615:$Y$655,AE$17 + 1 + $H47*$H$50, AE$15)</f>
        <v>8</v>
      </c>
      <c r="AF47" s="433">
        <f>INDEX('Volume adjustments'!$J$615:$Y$655,AF$17 + 1 + $H47*$H$50, AF$15)</f>
        <v>7</v>
      </c>
      <c r="AG47" s="433">
        <f>INDEX('Volume adjustments'!$J$615:$Y$655,AG$17 + 1 + $H47*$H$50, AG$15)</f>
        <v>71</v>
      </c>
      <c r="AH47" s="433">
        <f>INDEX('Volume adjustments'!$J$615:$Y$655,AH$17 + 1 + $H47*$H$50, AH$15)</f>
        <v>521</v>
      </c>
      <c r="AI47" s="433">
        <f>INDEX('Volume adjustments'!$J$615:$Y$655,AI$17 + 1 + $H47*$H$50, AI$15)</f>
        <v>1</v>
      </c>
      <c r="AJ47" s="433">
        <f>INDEX('Volume adjustments'!$J$615:$Y$655,AJ$17 + 1 + $H47*$H$50, AJ$15)</f>
        <v>0</v>
      </c>
      <c r="AK47" s="433">
        <f>INDEX('Volume adjustments'!$J$615:$Y$655,AK$17 + 1 + $H47*$H$50, AK$15)</f>
        <v>0</v>
      </c>
      <c r="AL47" s="433">
        <f>INDEX('Volume adjustments'!$J$615:$Y$655,AL$17 + 1 + $H47*$H$50, AL$15)</f>
        <v>0</v>
      </c>
      <c r="AM47" s="433">
        <f>INDEX('Volume adjustments'!$J$615:$Y$655,AM$17 + 1 + $H47*$H$50, AM$15)</f>
        <v>0</v>
      </c>
      <c r="AN47" s="433">
        <f>INDEX('Volume adjustments'!$J$615:$Y$655,AN$17 + 1 + $H47*$H$50, AN$15)</f>
        <v>0</v>
      </c>
      <c r="AO47" s="433">
        <f>INDEX('Volume adjustments'!$J$615:$Y$655,AO$17 + 1 + $H47*$H$50, AO$15)</f>
        <v>0</v>
      </c>
    </row>
    <row r="48" spans="5:43" x14ac:dyDescent="0.25">
      <c r="E48" s="12"/>
      <c r="F48" s="92" t="s">
        <v>202</v>
      </c>
      <c r="G48" s="92" t="s">
        <v>169</v>
      </c>
      <c r="H48" s="435">
        <v>4</v>
      </c>
      <c r="J48" s="433">
        <f>INDEX('Volume adjustments'!$J$615:$Y$655,J$17 + 1 + $H48*$H$50, J$15)</f>
        <v>0</v>
      </c>
      <c r="K48" s="433">
        <f>INDEX('Volume adjustments'!$J$615:$Y$655,K$17 + 1 + $H48*$H$50, K$15)</f>
        <v>0</v>
      </c>
      <c r="L48" s="433">
        <f>INDEX('Volume adjustments'!$J$615:$Y$655,L$17 + 1 + $H48*$H$50, L$15)</f>
        <v>0</v>
      </c>
      <c r="M48" s="433">
        <f>INDEX('Volume adjustments'!$J$615:$Y$655,M$17 + 1 + $H48*$H$50, M$15)</f>
        <v>0</v>
      </c>
      <c r="N48" s="433">
        <f>INDEX('Volume adjustments'!$J$615:$Y$655,N$17 + 1 + $H48*$H$50, N$15)</f>
        <v>0</v>
      </c>
      <c r="O48" s="433">
        <f>INDEX('Volume adjustments'!$J$615:$Y$655,O$17 + 1 + $H48*$H$50, O$15)</f>
        <v>0</v>
      </c>
      <c r="P48" s="433">
        <f>INDEX('Volume adjustments'!$J$615:$Y$655,P$17 + 1 + $H48*$H$50, P$15)</f>
        <v>0</v>
      </c>
      <c r="Q48" s="433">
        <f>INDEX('Volume adjustments'!$J$615:$Y$655,Q$17 + 1 + $H48*$H$50, Q$15)</f>
        <v>0</v>
      </c>
      <c r="R48" s="433">
        <f>INDEX('Volume adjustments'!$J$615:$Y$655,R$17 + 1 + $H48*$H$50, R$15)</f>
        <v>0</v>
      </c>
      <c r="S48" s="433">
        <f>INDEX('Volume adjustments'!$J$615:$Y$655,S$17 + 1 + $H48*$H$50, S$15)</f>
        <v>4960</v>
      </c>
      <c r="T48" s="433">
        <f>INDEX('Volume adjustments'!$J$615:$Y$655,T$17 + 1 + $H48*$H$50, T$15)</f>
        <v>16191</v>
      </c>
      <c r="U48" s="433">
        <f>INDEX('Volume adjustments'!$J$615:$Y$655,U$17 + 1 + $H48*$H$50, U$15)</f>
        <v>18524</v>
      </c>
      <c r="V48" s="433">
        <f>INDEX('Volume adjustments'!$J$615:$Y$655,V$17 + 1 + $H48*$H$50, V$15)</f>
        <v>68001</v>
      </c>
      <c r="W48" s="433">
        <f>INDEX('Volume adjustments'!$J$615:$Y$655,W$17 + 1 + $H48*$H$50, W$15)</f>
        <v>0</v>
      </c>
      <c r="X48" s="433">
        <f>INDEX('Volume adjustments'!$J$615:$Y$655,X$17 + 1 + $H48*$H$50, X$15)</f>
        <v>0</v>
      </c>
      <c r="Y48" s="433">
        <f>INDEX('Volume adjustments'!$J$615:$Y$655,Y$17 + 1 + $H48*$H$50, Y$15)</f>
        <v>327</v>
      </c>
      <c r="Z48" s="433">
        <f>INDEX('Volume adjustments'!$J$615:$Y$655,Z$17 + 1 + $H48*$H$50, Z$15)</f>
        <v>225</v>
      </c>
      <c r="AA48" s="433">
        <f>INDEX('Volume adjustments'!$J$615:$Y$655,AA$17 + 1 + $H48*$H$50, AA$15)</f>
        <v>20744</v>
      </c>
      <c r="AB48" s="433">
        <f>INDEX('Volume adjustments'!$J$615:$Y$655,AB$17 + 1 + $H48*$H$50, AB$15)</f>
        <v>0</v>
      </c>
      <c r="AC48" s="433">
        <f>INDEX('Volume adjustments'!$J$615:$Y$655,AC$17 + 1 + $H48*$H$50, AC$15)</f>
        <v>2743</v>
      </c>
      <c r="AD48" s="433">
        <f>INDEX('Volume adjustments'!$J$615:$Y$655,AD$17 + 1 + $H48*$H$50, AD$15)</f>
        <v>3695</v>
      </c>
      <c r="AE48" s="433">
        <f>INDEX('Volume adjustments'!$J$615:$Y$655,AE$17 + 1 + $H48*$H$50, AE$15)</f>
        <v>11400</v>
      </c>
      <c r="AF48" s="433">
        <f>INDEX('Volume adjustments'!$J$615:$Y$655,AF$17 + 1 + $H48*$H$50, AF$15)</f>
        <v>19000</v>
      </c>
      <c r="AG48" s="433">
        <f>INDEX('Volume adjustments'!$J$615:$Y$655,AG$17 + 1 + $H48*$H$50, AG$15)</f>
        <v>0</v>
      </c>
      <c r="AH48" s="433">
        <f>INDEX('Volume adjustments'!$J$615:$Y$655,AH$17 + 1 + $H48*$H$50, AH$15)</f>
        <v>0</v>
      </c>
      <c r="AI48" s="433">
        <f>INDEX('Volume adjustments'!$J$615:$Y$655,AI$17 + 1 + $H48*$H$50, AI$15)</f>
        <v>0</v>
      </c>
      <c r="AJ48" s="433">
        <f>INDEX('Volume adjustments'!$J$615:$Y$655,AJ$17 + 1 + $H48*$H$50, AJ$15)</f>
        <v>0</v>
      </c>
      <c r="AK48" s="433">
        <f>INDEX('Volume adjustments'!$J$615:$Y$655,AK$17 + 1 + $H48*$H$50, AK$15)</f>
        <v>0</v>
      </c>
      <c r="AL48" s="433">
        <f>INDEX('Volume adjustments'!$J$615:$Y$655,AL$17 + 1 + $H48*$H$50, AL$15)</f>
        <v>0</v>
      </c>
      <c r="AM48" s="433">
        <f>INDEX('Volume adjustments'!$J$615:$Y$655,AM$17 + 1 + $H48*$H$50, AM$15)</f>
        <v>0</v>
      </c>
      <c r="AN48" s="433">
        <f>INDEX('Volume adjustments'!$J$615:$Y$655,AN$17 + 1 + $H48*$H$50, AN$15)</f>
        <v>0</v>
      </c>
      <c r="AO48" s="433">
        <f>INDEX('Volume adjustments'!$J$615:$Y$655,AO$17 + 1 + $H48*$H$50, AO$15)</f>
        <v>0</v>
      </c>
    </row>
    <row r="49" spans="3:43" x14ac:dyDescent="0.25">
      <c r="E49" s="12"/>
      <c r="F49" s="92" t="s">
        <v>203</v>
      </c>
      <c r="G49" s="92" t="s">
        <v>169</v>
      </c>
      <c r="H49" s="435">
        <v>5</v>
      </c>
      <c r="J49" s="433">
        <f>INDEX('Volume adjustments'!$J$615:$Y$655,J$17 + 1 + $H49*$H$50, J$15)</f>
        <v>0</v>
      </c>
      <c r="K49" s="433">
        <f>INDEX('Volume adjustments'!$J$615:$Y$655,K$17 + 1 + $H49*$H$50, K$15)</f>
        <v>0</v>
      </c>
      <c r="L49" s="433">
        <f>INDEX('Volume adjustments'!$J$615:$Y$655,L$17 + 1 + $H49*$H$50, L$15)</f>
        <v>0</v>
      </c>
      <c r="M49" s="433">
        <f>INDEX('Volume adjustments'!$J$615:$Y$655,M$17 + 1 + $H49*$H$50, M$15)</f>
        <v>0</v>
      </c>
      <c r="N49" s="433">
        <f>INDEX('Volume adjustments'!$J$615:$Y$655,N$17 + 1 + $H49*$H$50, N$15)</f>
        <v>0</v>
      </c>
      <c r="O49" s="433">
        <f>INDEX('Volume adjustments'!$J$615:$Y$655,O$17 + 1 + $H49*$H$50, O$15)</f>
        <v>0</v>
      </c>
      <c r="P49" s="433">
        <f>INDEX('Volume adjustments'!$J$615:$Y$655,P$17 + 1 + $H49*$H$50, P$15)</f>
        <v>0</v>
      </c>
      <c r="Q49" s="433">
        <f>INDEX('Volume adjustments'!$J$615:$Y$655,Q$17 + 1 + $H49*$H$50, Q$15)</f>
        <v>0</v>
      </c>
      <c r="R49" s="433">
        <f>INDEX('Volume adjustments'!$J$615:$Y$655,R$17 + 1 + $H49*$H$50, R$15)</f>
        <v>0</v>
      </c>
      <c r="S49" s="433">
        <f>INDEX('Volume adjustments'!$J$615:$Y$655,S$17 + 1 + $H49*$H$50, S$15)</f>
        <v>12</v>
      </c>
      <c r="T49" s="433">
        <f>INDEX('Volume adjustments'!$J$615:$Y$655,T$17 + 1 + $H49*$H$50, T$15)</f>
        <v>39</v>
      </c>
      <c r="U49" s="433">
        <f>INDEX('Volume adjustments'!$J$615:$Y$655,U$17 + 1 + $H49*$H$50, U$15)</f>
        <v>45</v>
      </c>
      <c r="V49" s="433">
        <f>INDEX('Volume adjustments'!$J$615:$Y$655,V$17 + 1 + $H49*$H$50, V$15)</f>
        <v>165</v>
      </c>
      <c r="W49" s="433">
        <f>INDEX('Volume adjustments'!$J$615:$Y$655,W$17 + 1 + $H49*$H$50, W$15)</f>
        <v>0</v>
      </c>
      <c r="X49" s="433">
        <f>INDEX('Volume adjustments'!$J$615:$Y$655,X$17 + 1 + $H49*$H$50, X$15)</f>
        <v>0</v>
      </c>
      <c r="Y49" s="433">
        <f>INDEX('Volume adjustments'!$J$615:$Y$655,Y$17 + 1 + $H49*$H$50, Y$15)</f>
        <v>0</v>
      </c>
      <c r="Z49" s="433">
        <f>INDEX('Volume adjustments'!$J$615:$Y$655,Z$17 + 1 + $H49*$H$50, Z$15)</f>
        <v>0</v>
      </c>
      <c r="AA49" s="433">
        <f>INDEX('Volume adjustments'!$J$615:$Y$655,AA$17 + 1 + $H49*$H$50, AA$15)</f>
        <v>6</v>
      </c>
      <c r="AB49" s="433">
        <f>INDEX('Volume adjustments'!$J$615:$Y$655,AB$17 + 1 + $H49*$H$50, AB$15)</f>
        <v>0</v>
      </c>
      <c r="AC49" s="433">
        <f>INDEX('Volume adjustments'!$J$615:$Y$655,AC$17 + 1 + $H49*$H$50, AC$15)</f>
        <v>12</v>
      </c>
      <c r="AD49" s="433">
        <f>INDEX('Volume adjustments'!$J$615:$Y$655,AD$17 + 1 + $H49*$H$50, AD$15)</f>
        <v>17</v>
      </c>
      <c r="AE49" s="433">
        <f>INDEX('Volume adjustments'!$J$615:$Y$655,AE$17 + 1 + $H49*$H$50, AE$15)</f>
        <v>51</v>
      </c>
      <c r="AF49" s="433">
        <f>INDEX('Volume adjustments'!$J$615:$Y$655,AF$17 + 1 + $H49*$H$50, AF$15)</f>
        <v>85</v>
      </c>
      <c r="AG49" s="433">
        <f>INDEX('Volume adjustments'!$J$615:$Y$655,AG$17 + 1 + $H49*$H$50, AG$15)</f>
        <v>0</v>
      </c>
      <c r="AH49" s="433">
        <f>INDEX('Volume adjustments'!$J$615:$Y$655,AH$17 + 1 + $H49*$H$50, AH$15)</f>
        <v>0</v>
      </c>
      <c r="AI49" s="433">
        <f>INDEX('Volume adjustments'!$J$615:$Y$655,AI$17 + 1 + $H49*$H$50, AI$15)</f>
        <v>0</v>
      </c>
      <c r="AJ49" s="433">
        <f>INDEX('Volume adjustments'!$J$615:$Y$655,AJ$17 + 1 + $H49*$H$50, AJ$15)</f>
        <v>0</v>
      </c>
      <c r="AK49" s="433">
        <f>INDEX('Volume adjustments'!$J$615:$Y$655,AK$17 + 1 + $H49*$H$50, AK$15)</f>
        <v>0</v>
      </c>
      <c r="AL49" s="433">
        <f>INDEX('Volume adjustments'!$J$615:$Y$655,AL$17 + 1 + $H49*$H$50, AL$15)</f>
        <v>0</v>
      </c>
      <c r="AM49" s="433">
        <f>INDEX('Volume adjustments'!$J$615:$Y$655,AM$17 + 1 + $H49*$H$50, AM$15)</f>
        <v>0</v>
      </c>
      <c r="AN49" s="433">
        <f>INDEX('Volume adjustments'!$J$615:$Y$655,AN$17 + 1 + $H49*$H$50, AN$15)</f>
        <v>0</v>
      </c>
      <c r="AO49" s="433">
        <f>INDEX('Volume adjustments'!$J$615:$Y$655,AO$17 + 1 + $H49*$H$50, AO$15)</f>
        <v>0</v>
      </c>
    </row>
    <row r="50" spans="3:43" x14ac:dyDescent="0.25">
      <c r="E50" s="12"/>
      <c r="F50" s="34" t="s">
        <v>204</v>
      </c>
      <c r="G50" s="34" t="s">
        <v>170</v>
      </c>
      <c r="H50" s="403">
        <v>6</v>
      </c>
      <c r="I50" s="17"/>
      <c r="J50" s="239">
        <f>INDEX('Volume adjustments'!$J$615:$Y$655,J$17 + 1 + $H50*$H$50, J$15)</f>
        <v>0</v>
      </c>
      <c r="K50" s="239">
        <f>INDEX('Volume adjustments'!$J$615:$Y$655,K$17 + 1 + $H50*$H$50, K$15)</f>
        <v>0</v>
      </c>
      <c r="L50" s="239">
        <f>INDEX('Volume adjustments'!$J$615:$Y$655,L$17 + 1 + $H50*$H$50, L$15)</f>
        <v>0</v>
      </c>
      <c r="M50" s="239">
        <f>INDEX('Volume adjustments'!$J$615:$Y$655,M$17 + 1 + $H50*$H$50, M$15)</f>
        <v>0</v>
      </c>
      <c r="N50" s="239">
        <f>INDEX('Volume adjustments'!$J$615:$Y$655,N$17 + 1 + $H50*$H$50, N$15)</f>
        <v>0</v>
      </c>
      <c r="O50" s="239">
        <f>INDEX('Volume adjustments'!$J$615:$Y$655,O$17 + 1 + $H50*$H$50, O$15)</f>
        <v>0</v>
      </c>
      <c r="P50" s="239">
        <f>INDEX('Volume adjustments'!$J$615:$Y$655,P$17 + 1 + $H50*$H$50, P$15)</f>
        <v>0</v>
      </c>
      <c r="Q50" s="239">
        <f>INDEX('Volume adjustments'!$J$615:$Y$655,Q$17 + 1 + $H50*$H$50, Q$15)</f>
        <v>0</v>
      </c>
      <c r="R50" s="239">
        <f>INDEX('Volume adjustments'!$J$615:$Y$655,R$17 + 1 + $H50*$H$50, R$15)</f>
        <v>0</v>
      </c>
      <c r="S50" s="239">
        <f>INDEX('Volume adjustments'!$J$615:$Y$655,S$17 + 1 + $H50*$H$50, S$15)</f>
        <v>335.12900000000002</v>
      </c>
      <c r="T50" s="239">
        <f>INDEX('Volume adjustments'!$J$615:$Y$655,T$17 + 1 + $H50*$H$50, T$15)</f>
        <v>1093.9659999999999</v>
      </c>
      <c r="U50" s="239">
        <f>INDEX('Volume adjustments'!$J$615:$Y$655,U$17 + 1 + $H50*$H$50, U$15)</f>
        <v>1251.598</v>
      </c>
      <c r="V50" s="239">
        <f>INDEX('Volume adjustments'!$J$615:$Y$655,V$17 + 1 + $H50*$H$50, V$15)</f>
        <v>4594.5749999999998</v>
      </c>
      <c r="W50" s="239">
        <f>INDEX('Volume adjustments'!$J$615:$Y$655,W$17 + 1 + $H50*$H$50, W$15)</f>
        <v>0</v>
      </c>
      <c r="X50" s="239">
        <f>INDEX('Volume adjustments'!$J$615:$Y$655,X$17 + 1 + $H50*$H$50, X$15)</f>
        <v>0</v>
      </c>
      <c r="Y50" s="239">
        <f>INDEX('Volume adjustments'!$J$615:$Y$655,Y$17 + 1 + $H50*$H$50, Y$15)</f>
        <v>26.922000000000001</v>
      </c>
      <c r="Z50" s="239">
        <f>INDEX('Volume adjustments'!$J$615:$Y$655,Z$17 + 1 + $H50*$H$50, Z$15)</f>
        <v>18.524000000000001</v>
      </c>
      <c r="AA50" s="239">
        <f>INDEX('Volume adjustments'!$J$615:$Y$655,AA$17 + 1 + $H50*$H$50, AA$15)</f>
        <v>1707.8620000000001</v>
      </c>
      <c r="AB50" s="239">
        <f>INDEX('Volume adjustments'!$J$615:$Y$655,AB$17 + 1 + $H50*$H$50, AB$15)</f>
        <v>0</v>
      </c>
      <c r="AC50" s="239">
        <f>INDEX('Volume adjustments'!$J$615:$Y$655,AC$17 + 1 + $H50*$H$50, AC$15)</f>
        <v>139.03299999999999</v>
      </c>
      <c r="AD50" s="239">
        <f>INDEX('Volume adjustments'!$J$615:$Y$655,AD$17 + 1 + $H50*$H$50, AD$15)</f>
        <v>187.28700000000001</v>
      </c>
      <c r="AE50" s="239">
        <f>INDEX('Volume adjustments'!$J$615:$Y$655,AE$17 + 1 + $H50*$H$50, AE$15)</f>
        <v>577.82799999999997</v>
      </c>
      <c r="AF50" s="239">
        <f>INDEX('Volume adjustments'!$J$615:$Y$655,AF$17 + 1 + $H50*$H$50, AF$15)</f>
        <v>963.04600000000005</v>
      </c>
      <c r="AG50" s="239">
        <f>INDEX('Volume adjustments'!$J$615:$Y$655,AG$17 + 1 + $H50*$H$50, AG$15)</f>
        <v>0</v>
      </c>
      <c r="AH50" s="239">
        <f>INDEX('Volume adjustments'!$J$615:$Y$655,AH$17 + 1 + $H50*$H$50, AH$15)</f>
        <v>0</v>
      </c>
      <c r="AI50" s="239">
        <f>INDEX('Volume adjustments'!$J$615:$Y$655,AI$17 + 1 + $H50*$H$50, AI$15)</f>
        <v>0</v>
      </c>
      <c r="AJ50" s="239">
        <f>INDEX('Volume adjustments'!$J$615:$Y$655,AJ$17 + 1 + $H50*$H$50, AJ$15)</f>
        <v>0</v>
      </c>
      <c r="AK50" s="239">
        <f>INDEX('Volume adjustments'!$J$615:$Y$655,AK$17 + 1 + $H50*$H$50, AK$15)</f>
        <v>0</v>
      </c>
      <c r="AL50" s="239">
        <f>INDEX('Volume adjustments'!$J$615:$Y$655,AL$17 + 1 + $H50*$H$50, AL$15)</f>
        <v>0</v>
      </c>
      <c r="AM50" s="239">
        <f>INDEX('Volume adjustments'!$J$615:$Y$655,AM$17 + 1 + $H50*$H$50, AM$15)</f>
        <v>0</v>
      </c>
      <c r="AN50" s="239">
        <f>INDEX('Volume adjustments'!$J$615:$Y$655,AN$17 + 1 + $H50*$H$50, AN$15)</f>
        <v>0</v>
      </c>
      <c r="AO50" s="239">
        <f>INDEX('Volume adjustments'!$J$615:$Y$655,AO$17 + 1 + $H50*$H$50, AO$15)</f>
        <v>0</v>
      </c>
    </row>
    <row r="51" spans="3:43" x14ac:dyDescent="0.25">
      <c r="E51" s="12"/>
      <c r="G51" s="9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1"/>
    </row>
    <row r="52" spans="3:43" x14ac:dyDescent="0.25">
      <c r="C52" s="5" t="str">
        <f ca="1">INDEX('Version control'!$H$36:$H$62,MATCH($A$1,'Version control'!$F$36:$F$62,0),1)&amp;"-B: Tariff forecast"</f>
        <v>Section 521-B: Tariff forecast</v>
      </c>
      <c r="D52" s="5"/>
      <c r="E52" s="5"/>
      <c r="F52" s="5"/>
      <c r="G52" s="5"/>
      <c r="H52" s="5"/>
      <c r="I52" s="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5"/>
      <c r="AH52" s="205"/>
      <c r="AI52" s="205"/>
      <c r="AJ52" s="205"/>
      <c r="AK52" s="205"/>
      <c r="AL52" s="205"/>
      <c r="AM52" s="205"/>
      <c r="AN52" s="205"/>
      <c r="AO52" s="205"/>
      <c r="AP52" s="5"/>
      <c r="AQ52" s="5"/>
    </row>
    <row r="53" spans="3:43" x14ac:dyDescent="0.25">
      <c r="D53" s="52"/>
      <c r="E53" s="12"/>
      <c r="G53" s="9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1"/>
      <c r="AE53" s="211"/>
      <c r="AF53" s="211"/>
      <c r="AG53" s="211"/>
      <c r="AH53" s="211"/>
      <c r="AI53" s="211"/>
      <c r="AJ53" s="211"/>
      <c r="AK53" s="211"/>
      <c r="AL53" s="211"/>
      <c r="AM53" s="211"/>
      <c r="AN53" s="211"/>
      <c r="AO53" s="211"/>
    </row>
    <row r="54" spans="3:43" x14ac:dyDescent="0.25">
      <c r="E54" s="52" t="s">
        <v>775</v>
      </c>
      <c r="G54" s="91"/>
      <c r="I54" t="s">
        <v>359</v>
      </c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  <c r="AA54" s="211"/>
      <c r="AB54" s="211"/>
      <c r="AC54" s="211"/>
      <c r="AD54" s="211"/>
      <c r="AE54" s="211"/>
      <c r="AF54" s="211"/>
      <c r="AG54" s="211"/>
      <c r="AH54" s="211"/>
      <c r="AI54" s="211"/>
      <c r="AJ54" s="211"/>
      <c r="AK54" s="211"/>
      <c r="AL54" s="211"/>
      <c r="AM54" s="211"/>
      <c r="AN54" s="211"/>
      <c r="AO54" s="211"/>
      <c r="AQ54" t="s">
        <v>698</v>
      </c>
    </row>
    <row r="55" spans="3:43" x14ac:dyDescent="0.25">
      <c r="F55" s="80" t="s">
        <v>134</v>
      </c>
      <c r="G55" s="108" t="s">
        <v>183</v>
      </c>
      <c r="H55" s="307"/>
      <c r="I55" s="296"/>
      <c r="J55" s="307">
        <f>Rounding!J150</f>
        <v>8.3000000000000007</v>
      </c>
      <c r="K55" s="307">
        <f>Rounding!K150</f>
        <v>8.3000000000000007</v>
      </c>
      <c r="L55" s="307">
        <f>Rounding!L150</f>
        <v>10.018000000000001</v>
      </c>
      <c r="M55" s="307">
        <f>Rounding!M150</f>
        <v>10.018000000000001</v>
      </c>
      <c r="N55" s="307">
        <f>Rounding!N150</f>
        <v>10.018000000000001</v>
      </c>
      <c r="O55" s="307">
        <f>Rounding!O150</f>
        <v>10.018000000000001</v>
      </c>
      <c r="P55" s="307">
        <f>Rounding!P150</f>
        <v>10.018000000000001</v>
      </c>
      <c r="Q55" s="307">
        <f>Rounding!Q150</f>
        <v>10.018000000000001</v>
      </c>
      <c r="R55" s="307">
        <f>Rounding!R150</f>
        <v>7.2439999999999998</v>
      </c>
      <c r="S55" s="307">
        <f>Rounding!S150</f>
        <v>7.2439999999999998</v>
      </c>
      <c r="T55" s="307">
        <f>Rounding!T150</f>
        <v>7.2439999999999998</v>
      </c>
      <c r="U55" s="307">
        <f>Rounding!U150</f>
        <v>7.2439999999999998</v>
      </c>
      <c r="V55" s="307">
        <f>Rounding!V150</f>
        <v>7.2439999999999998</v>
      </c>
      <c r="W55" s="307">
        <f>Rounding!W150</f>
        <v>4.1680000000000001</v>
      </c>
      <c r="X55" s="307">
        <f>Rounding!X150</f>
        <v>4.1680000000000001</v>
      </c>
      <c r="Y55" s="307">
        <f>Rounding!Y150</f>
        <v>4.1680000000000001</v>
      </c>
      <c r="Z55" s="307">
        <f>Rounding!Z150</f>
        <v>4.1680000000000001</v>
      </c>
      <c r="AA55" s="307">
        <f>Rounding!AA150</f>
        <v>4.1680000000000001</v>
      </c>
      <c r="AB55" s="307">
        <f>Rounding!AB150</f>
        <v>2.887</v>
      </c>
      <c r="AC55" s="307">
        <f>Rounding!AC150</f>
        <v>2.887</v>
      </c>
      <c r="AD55" s="307">
        <f>Rounding!AD150</f>
        <v>2.887</v>
      </c>
      <c r="AE55" s="307">
        <f>Rounding!AE150</f>
        <v>2.887</v>
      </c>
      <c r="AF55" s="307">
        <f>Rounding!AF150</f>
        <v>2.887</v>
      </c>
      <c r="AG55" s="307">
        <f>Rounding!AG150</f>
        <v>25.23</v>
      </c>
      <c r="AH55" s="307">
        <f>Rounding!AH150</f>
        <v>-6.5279999999999996</v>
      </c>
      <c r="AI55" s="307">
        <f>Rounding!AI150</f>
        <v>-5.6840000000000002</v>
      </c>
      <c r="AJ55" s="307">
        <f>Rounding!AJ150</f>
        <v>-6.5279999999999996</v>
      </c>
      <c r="AK55" s="307">
        <f>Rounding!AK150</f>
        <v>-6.5279999999999996</v>
      </c>
      <c r="AL55" s="307">
        <f>Rounding!AL150</f>
        <v>-5.6840000000000002</v>
      </c>
      <c r="AM55" s="307">
        <f>Rounding!AM150</f>
        <v>-5.6840000000000002</v>
      </c>
      <c r="AN55" s="307">
        <f>Rounding!AN150</f>
        <v>-3.512</v>
      </c>
      <c r="AO55" s="307">
        <f>Rounding!AO150</f>
        <v>-3.512</v>
      </c>
      <c r="AP55" s="298"/>
      <c r="AQ55" s="298"/>
    </row>
    <row r="56" spans="3:43" x14ac:dyDescent="0.25">
      <c r="E56" s="12"/>
      <c r="F56" t="s">
        <v>135</v>
      </c>
      <c r="G56" s="91" t="s">
        <v>183</v>
      </c>
      <c r="H56" s="363"/>
      <c r="I56" s="298"/>
      <c r="J56" s="363">
        <f>Rounding!J151</f>
        <v>0.95299999999999996</v>
      </c>
      <c r="K56" s="363">
        <f>Rounding!K151</f>
        <v>0.95299999999999996</v>
      </c>
      <c r="L56" s="363">
        <f>Rounding!L151</f>
        <v>1.1499999999999999</v>
      </c>
      <c r="M56" s="363">
        <f>Rounding!M151</f>
        <v>1.1499999999999999</v>
      </c>
      <c r="N56" s="363">
        <f>Rounding!N151</f>
        <v>1.1499999999999999</v>
      </c>
      <c r="O56" s="363">
        <f>Rounding!O151</f>
        <v>1.1499999999999999</v>
      </c>
      <c r="P56" s="363">
        <f>Rounding!P151</f>
        <v>1.1499999999999999</v>
      </c>
      <c r="Q56" s="363">
        <f>Rounding!Q151</f>
        <v>1.1499999999999999</v>
      </c>
      <c r="R56" s="363">
        <f>Rounding!R151</f>
        <v>0.78700000000000003</v>
      </c>
      <c r="S56" s="363">
        <f>Rounding!S151</f>
        <v>0.78700000000000003</v>
      </c>
      <c r="T56" s="363">
        <f>Rounding!T151</f>
        <v>0.78700000000000003</v>
      </c>
      <c r="U56" s="363">
        <f>Rounding!U151</f>
        <v>0.78700000000000003</v>
      </c>
      <c r="V56" s="363">
        <f>Rounding!V151</f>
        <v>0.78700000000000003</v>
      </c>
      <c r="W56" s="363">
        <f>Rounding!W151</f>
        <v>0.374</v>
      </c>
      <c r="X56" s="363">
        <f>Rounding!X151</f>
        <v>0.374</v>
      </c>
      <c r="Y56" s="363">
        <f>Rounding!Y151</f>
        <v>0.374</v>
      </c>
      <c r="Z56" s="363">
        <f>Rounding!Z151</f>
        <v>0.374</v>
      </c>
      <c r="AA56" s="363">
        <f>Rounding!AA151</f>
        <v>0.374</v>
      </c>
      <c r="AB56" s="363">
        <f>Rounding!AB151</f>
        <v>0.22900000000000001</v>
      </c>
      <c r="AC56" s="363">
        <f>Rounding!AC151</f>
        <v>0.22900000000000001</v>
      </c>
      <c r="AD56" s="363">
        <f>Rounding!AD151</f>
        <v>0.22900000000000001</v>
      </c>
      <c r="AE56" s="363">
        <f>Rounding!AE151</f>
        <v>0.22900000000000001</v>
      </c>
      <c r="AF56" s="363">
        <f>Rounding!AF151</f>
        <v>0.22900000000000001</v>
      </c>
      <c r="AG56" s="363">
        <f>Rounding!AG151</f>
        <v>3.8370000000000002</v>
      </c>
      <c r="AH56" s="363">
        <f>Rounding!AH151</f>
        <v>-0.75</v>
      </c>
      <c r="AI56" s="363">
        <f>Rounding!AI151</f>
        <v>-0.63500000000000001</v>
      </c>
      <c r="AJ56" s="363">
        <f>Rounding!AJ151</f>
        <v>-0.75</v>
      </c>
      <c r="AK56" s="363">
        <f>Rounding!AK151</f>
        <v>-0.75</v>
      </c>
      <c r="AL56" s="363">
        <f>Rounding!AL151</f>
        <v>-0.63500000000000001</v>
      </c>
      <c r="AM56" s="363">
        <f>Rounding!AM151</f>
        <v>-0.63500000000000001</v>
      </c>
      <c r="AN56" s="363">
        <f>Rounding!AN151</f>
        <v>-0.313</v>
      </c>
      <c r="AO56" s="363">
        <f>Rounding!AO151</f>
        <v>-0.313</v>
      </c>
      <c r="AP56" s="298"/>
      <c r="AQ56" s="298"/>
    </row>
    <row r="57" spans="3:43" x14ac:dyDescent="0.25">
      <c r="E57" s="12"/>
      <c r="F57" t="s">
        <v>136</v>
      </c>
      <c r="G57" s="91" t="s">
        <v>183</v>
      </c>
      <c r="H57" s="363"/>
      <c r="I57" s="298"/>
      <c r="J57" s="363">
        <f>Rounding!J152</f>
        <v>1.7000000000000001E-2</v>
      </c>
      <c r="K57" s="363">
        <f>Rounding!K152</f>
        <v>1.7000000000000001E-2</v>
      </c>
      <c r="L57" s="363">
        <f>Rounding!L152</f>
        <v>2.1000000000000001E-2</v>
      </c>
      <c r="M57" s="363">
        <f>Rounding!M152</f>
        <v>2.1000000000000001E-2</v>
      </c>
      <c r="N57" s="363">
        <f>Rounding!N152</f>
        <v>2.1000000000000001E-2</v>
      </c>
      <c r="O57" s="363">
        <f>Rounding!O152</f>
        <v>2.1000000000000001E-2</v>
      </c>
      <c r="P57" s="363">
        <f>Rounding!P152</f>
        <v>2.1000000000000001E-2</v>
      </c>
      <c r="Q57" s="363">
        <f>Rounding!Q152</f>
        <v>2.1000000000000001E-2</v>
      </c>
      <c r="R57" s="363">
        <f>Rounding!R152</f>
        <v>1.4E-2</v>
      </c>
      <c r="S57" s="363">
        <f>Rounding!S152</f>
        <v>1.4E-2</v>
      </c>
      <c r="T57" s="363">
        <f>Rounding!T152</f>
        <v>1.4E-2</v>
      </c>
      <c r="U57" s="363">
        <f>Rounding!U152</f>
        <v>1.4E-2</v>
      </c>
      <c r="V57" s="363">
        <f>Rounding!V152</f>
        <v>1.4E-2</v>
      </c>
      <c r="W57" s="363">
        <f>Rounding!W152</f>
        <v>6.0000000000000001E-3</v>
      </c>
      <c r="X57" s="363">
        <f>Rounding!X152</f>
        <v>6.0000000000000001E-3</v>
      </c>
      <c r="Y57" s="363">
        <f>Rounding!Y152</f>
        <v>6.0000000000000001E-3</v>
      </c>
      <c r="Z57" s="363">
        <f>Rounding!Z152</f>
        <v>6.0000000000000001E-3</v>
      </c>
      <c r="AA57" s="363">
        <f>Rounding!AA152</f>
        <v>6.0000000000000001E-3</v>
      </c>
      <c r="AB57" s="363">
        <f>Rounding!AB152</f>
        <v>3.0000000000000001E-3</v>
      </c>
      <c r="AC57" s="363">
        <f>Rounding!AC152</f>
        <v>3.0000000000000001E-3</v>
      </c>
      <c r="AD57" s="363">
        <f>Rounding!AD152</f>
        <v>3.0000000000000001E-3</v>
      </c>
      <c r="AE57" s="363">
        <f>Rounding!AE152</f>
        <v>3.0000000000000001E-3</v>
      </c>
      <c r="AF57" s="363">
        <f>Rounding!AF152</f>
        <v>3.0000000000000001E-3</v>
      </c>
      <c r="AG57" s="363">
        <f>Rounding!AG152</f>
        <v>2.9350000000000001</v>
      </c>
      <c r="AH57" s="363">
        <f>Rounding!AH152</f>
        <v>-1.2999999999999999E-2</v>
      </c>
      <c r="AI57" s="363">
        <f>Rounding!AI152</f>
        <v>-1.0999999999999999E-2</v>
      </c>
      <c r="AJ57" s="363">
        <f>Rounding!AJ152</f>
        <v>-1.2999999999999999E-2</v>
      </c>
      <c r="AK57" s="363">
        <f>Rounding!AK152</f>
        <v>-1.2999999999999999E-2</v>
      </c>
      <c r="AL57" s="363">
        <f>Rounding!AL152</f>
        <v>-1.0999999999999999E-2</v>
      </c>
      <c r="AM57" s="363">
        <f>Rounding!AM152</f>
        <v>-1.0999999999999999E-2</v>
      </c>
      <c r="AN57" s="363">
        <f>Rounding!AN152</f>
        <v>-5.0000000000000001E-3</v>
      </c>
      <c r="AO57" s="363">
        <f>Rounding!AO152</f>
        <v>-5.0000000000000001E-3</v>
      </c>
      <c r="AP57" s="298"/>
      <c r="AQ57" s="298"/>
    </row>
    <row r="58" spans="3:43" x14ac:dyDescent="0.25">
      <c r="E58" s="12"/>
      <c r="F58" t="s">
        <v>254</v>
      </c>
      <c r="G58" s="91" t="s">
        <v>252</v>
      </c>
      <c r="H58" s="327"/>
      <c r="J58" s="229">
        <f>Rounding!J153</f>
        <v>25.29</v>
      </c>
      <c r="K58" s="229">
        <f>Rounding!K153</f>
        <v>0</v>
      </c>
      <c r="L58" s="229">
        <f>Rounding!L153</f>
        <v>6.3</v>
      </c>
      <c r="M58" s="229">
        <f>Rounding!M153</f>
        <v>31.74</v>
      </c>
      <c r="N58" s="229">
        <f>Rounding!N153</f>
        <v>64.75</v>
      </c>
      <c r="O58" s="229">
        <f>Rounding!O153</f>
        <v>132.53</v>
      </c>
      <c r="P58" s="229">
        <f>Rounding!P153</f>
        <v>377.39</v>
      </c>
      <c r="Q58" s="229">
        <f>Rounding!Q153</f>
        <v>0</v>
      </c>
      <c r="R58" s="229">
        <f>Rounding!R153</f>
        <v>24.08</v>
      </c>
      <c r="S58" s="229">
        <f>Rounding!S153</f>
        <v>713.27</v>
      </c>
      <c r="T58" s="229">
        <f>Rounding!T153</f>
        <v>1228.42</v>
      </c>
      <c r="U58" s="229">
        <f>Rounding!U153</f>
        <v>2054.9299999999998</v>
      </c>
      <c r="V58" s="229">
        <f>Rounding!V153</f>
        <v>4446.13</v>
      </c>
      <c r="W58" s="229">
        <f>Rounding!W153</f>
        <v>8.6999999999999993</v>
      </c>
      <c r="X58" s="229">
        <f>Rounding!X153</f>
        <v>697.9</v>
      </c>
      <c r="Y58" s="229">
        <f>Rounding!Y153</f>
        <v>1213.05</v>
      </c>
      <c r="Z58" s="229">
        <f>Rounding!Z153</f>
        <v>2039.55</v>
      </c>
      <c r="AA58" s="229">
        <f>Rounding!AA153</f>
        <v>4430.75</v>
      </c>
      <c r="AB58" s="229">
        <f>Rounding!AB153</f>
        <v>127.31</v>
      </c>
      <c r="AC58" s="229">
        <f>Rounding!AC153</f>
        <v>3572.11</v>
      </c>
      <c r="AD58" s="229">
        <f>Rounding!AD153</f>
        <v>10572.74</v>
      </c>
      <c r="AE58" s="229">
        <f>Rounding!AE153</f>
        <v>21420.09</v>
      </c>
      <c r="AF58" s="229">
        <f>Rounding!AF153</f>
        <v>56602.14</v>
      </c>
      <c r="AG58" s="229">
        <f>Rounding!AG153</f>
        <v>0</v>
      </c>
      <c r="AH58" s="229">
        <f>Rounding!AH153</f>
        <v>0</v>
      </c>
      <c r="AI58" s="229">
        <f>Rounding!AI153</f>
        <v>0</v>
      </c>
      <c r="AJ58" s="229">
        <f>Rounding!AJ153</f>
        <v>0</v>
      </c>
      <c r="AK58" s="229">
        <f>Rounding!AK153</f>
        <v>0</v>
      </c>
      <c r="AL58" s="229">
        <f>Rounding!AL153</f>
        <v>0</v>
      </c>
      <c r="AM58" s="229">
        <f>Rounding!AM153</f>
        <v>0</v>
      </c>
      <c r="AN58" s="229">
        <f>Rounding!AN153</f>
        <v>92.73</v>
      </c>
      <c r="AO58" s="229">
        <f>Rounding!AO153</f>
        <v>92.73</v>
      </c>
    </row>
    <row r="59" spans="3:43" x14ac:dyDescent="0.25">
      <c r="E59" s="12"/>
      <c r="F59" t="s">
        <v>255</v>
      </c>
      <c r="G59" s="91" t="s">
        <v>251</v>
      </c>
      <c r="H59" s="327"/>
      <c r="J59" s="229">
        <f>Rounding!J154</f>
        <v>0</v>
      </c>
      <c r="K59" s="229">
        <f>Rounding!K154</f>
        <v>0</v>
      </c>
      <c r="L59" s="229">
        <f>Rounding!L154</f>
        <v>0</v>
      </c>
      <c r="M59" s="229">
        <f>Rounding!M154</f>
        <v>0</v>
      </c>
      <c r="N59" s="229">
        <f>Rounding!N154</f>
        <v>0</v>
      </c>
      <c r="O59" s="229">
        <f>Rounding!O154</f>
        <v>0</v>
      </c>
      <c r="P59" s="229">
        <f>Rounding!P154</f>
        <v>0</v>
      </c>
      <c r="Q59" s="229">
        <f>Rounding!Q154</f>
        <v>0</v>
      </c>
      <c r="R59" s="229">
        <f>Rounding!R154</f>
        <v>2.94</v>
      </c>
      <c r="S59" s="229">
        <f>Rounding!S154</f>
        <v>2.94</v>
      </c>
      <c r="T59" s="229">
        <f>Rounding!T154</f>
        <v>2.94</v>
      </c>
      <c r="U59" s="229">
        <f>Rounding!U154</f>
        <v>2.94</v>
      </c>
      <c r="V59" s="229">
        <f>Rounding!V154</f>
        <v>2.94</v>
      </c>
      <c r="W59" s="229">
        <f>Rounding!W154</f>
        <v>5.42</v>
      </c>
      <c r="X59" s="229">
        <f>Rounding!X154</f>
        <v>5.42</v>
      </c>
      <c r="Y59" s="229">
        <f>Rounding!Y154</f>
        <v>5.42</v>
      </c>
      <c r="Z59" s="229">
        <f>Rounding!Z154</f>
        <v>5.42</v>
      </c>
      <c r="AA59" s="229">
        <f>Rounding!AA154</f>
        <v>5.42</v>
      </c>
      <c r="AB59" s="229">
        <f>Rounding!AB154</f>
        <v>5.97</v>
      </c>
      <c r="AC59" s="229">
        <f>Rounding!AC154</f>
        <v>5.97</v>
      </c>
      <c r="AD59" s="229">
        <f>Rounding!AD154</f>
        <v>5.97</v>
      </c>
      <c r="AE59" s="229">
        <f>Rounding!AE154</f>
        <v>5.97</v>
      </c>
      <c r="AF59" s="229">
        <f>Rounding!AF154</f>
        <v>5.97</v>
      </c>
      <c r="AG59" s="229">
        <f>Rounding!AG154</f>
        <v>0</v>
      </c>
      <c r="AH59" s="229">
        <f>Rounding!AH154</f>
        <v>0</v>
      </c>
      <c r="AI59" s="229">
        <f>Rounding!AI154</f>
        <v>0</v>
      </c>
      <c r="AJ59" s="229">
        <f>Rounding!AJ154</f>
        <v>0</v>
      </c>
      <c r="AK59" s="229">
        <f>Rounding!AK154</f>
        <v>0</v>
      </c>
      <c r="AL59" s="229">
        <f>Rounding!AL154</f>
        <v>0</v>
      </c>
      <c r="AM59" s="229">
        <f>Rounding!AM154</f>
        <v>0</v>
      </c>
      <c r="AN59" s="229">
        <f>Rounding!AN154</f>
        <v>0</v>
      </c>
      <c r="AO59" s="229">
        <f>Rounding!AO154</f>
        <v>0</v>
      </c>
    </row>
    <row r="60" spans="3:43" x14ac:dyDescent="0.25">
      <c r="E60" s="12"/>
      <c r="F60" t="s">
        <v>256</v>
      </c>
      <c r="G60" s="91" t="s">
        <v>251</v>
      </c>
      <c r="H60" s="327"/>
      <c r="J60" s="229">
        <f>Rounding!J155</f>
        <v>0</v>
      </c>
      <c r="K60" s="229">
        <f>Rounding!K155</f>
        <v>0</v>
      </c>
      <c r="L60" s="229">
        <f>Rounding!L155</f>
        <v>0</v>
      </c>
      <c r="M60" s="229">
        <f>Rounding!M155</f>
        <v>0</v>
      </c>
      <c r="N60" s="229">
        <f>Rounding!N155</f>
        <v>0</v>
      </c>
      <c r="O60" s="229">
        <f>Rounding!O155</f>
        <v>0</v>
      </c>
      <c r="P60" s="229">
        <f>Rounding!P155</f>
        <v>0</v>
      </c>
      <c r="Q60" s="229">
        <f>Rounding!Q155</f>
        <v>0</v>
      </c>
      <c r="R60" s="229">
        <f>Rounding!R155</f>
        <v>4.2699999999999996</v>
      </c>
      <c r="S60" s="229">
        <f>Rounding!S155</f>
        <v>4.2699999999999996</v>
      </c>
      <c r="T60" s="229">
        <f>Rounding!T155</f>
        <v>4.2699999999999996</v>
      </c>
      <c r="U60" s="229">
        <f>Rounding!U155</f>
        <v>4.2699999999999996</v>
      </c>
      <c r="V60" s="229">
        <f>Rounding!V155</f>
        <v>4.2699999999999996</v>
      </c>
      <c r="W60" s="229">
        <f>Rounding!W155</f>
        <v>6.18</v>
      </c>
      <c r="X60" s="229">
        <f>Rounding!X155</f>
        <v>6.18</v>
      </c>
      <c r="Y60" s="229">
        <f>Rounding!Y155</f>
        <v>6.18</v>
      </c>
      <c r="Z60" s="229">
        <f>Rounding!Z155</f>
        <v>6.18</v>
      </c>
      <c r="AA60" s="229">
        <f>Rounding!AA155</f>
        <v>6.18</v>
      </c>
      <c r="AB60" s="229">
        <f>Rounding!AB155</f>
        <v>7.35</v>
      </c>
      <c r="AC60" s="229">
        <f>Rounding!AC155</f>
        <v>7.35</v>
      </c>
      <c r="AD60" s="229">
        <f>Rounding!AD155</f>
        <v>7.35</v>
      </c>
      <c r="AE60" s="229">
        <f>Rounding!AE155</f>
        <v>7.35</v>
      </c>
      <c r="AF60" s="229">
        <f>Rounding!AF155</f>
        <v>7.35</v>
      </c>
      <c r="AG60" s="229">
        <f>Rounding!AG155</f>
        <v>0</v>
      </c>
      <c r="AH60" s="229">
        <f>Rounding!AH155</f>
        <v>0</v>
      </c>
      <c r="AI60" s="229">
        <f>Rounding!AI155</f>
        <v>0</v>
      </c>
      <c r="AJ60" s="229">
        <f>Rounding!AJ155</f>
        <v>0</v>
      </c>
      <c r="AK60" s="229">
        <f>Rounding!AK155</f>
        <v>0</v>
      </c>
      <c r="AL60" s="229">
        <f>Rounding!AL155</f>
        <v>0</v>
      </c>
      <c r="AM60" s="229">
        <f>Rounding!AM155</f>
        <v>0</v>
      </c>
      <c r="AN60" s="229">
        <f>Rounding!AN155</f>
        <v>0</v>
      </c>
      <c r="AO60" s="229">
        <f>Rounding!AO155</f>
        <v>0</v>
      </c>
    </row>
    <row r="61" spans="3:43" x14ac:dyDescent="0.25">
      <c r="E61" s="12"/>
      <c r="F61" s="17" t="s">
        <v>257</v>
      </c>
      <c r="G61" s="109" t="s">
        <v>258</v>
      </c>
      <c r="H61" s="310"/>
      <c r="I61" s="300"/>
      <c r="J61" s="310">
        <f>Rounding!J156</f>
        <v>0</v>
      </c>
      <c r="K61" s="310">
        <f>Rounding!K156</f>
        <v>0</v>
      </c>
      <c r="L61" s="310">
        <f>Rounding!L156</f>
        <v>0</v>
      </c>
      <c r="M61" s="310">
        <f>Rounding!M156</f>
        <v>0</v>
      </c>
      <c r="N61" s="310">
        <f>Rounding!N156</f>
        <v>0</v>
      </c>
      <c r="O61" s="310">
        <f>Rounding!O156</f>
        <v>0</v>
      </c>
      <c r="P61" s="310">
        <f>Rounding!P156</f>
        <v>0</v>
      </c>
      <c r="Q61" s="310">
        <f>Rounding!Q156</f>
        <v>0</v>
      </c>
      <c r="R61" s="310">
        <f>Rounding!R156</f>
        <v>0.14899999999999999</v>
      </c>
      <c r="S61" s="310">
        <f>Rounding!S156</f>
        <v>0.14899999999999999</v>
      </c>
      <c r="T61" s="310">
        <f>Rounding!T156</f>
        <v>0.14899999999999999</v>
      </c>
      <c r="U61" s="310">
        <f>Rounding!U156</f>
        <v>0.14899999999999999</v>
      </c>
      <c r="V61" s="310">
        <f>Rounding!V156</f>
        <v>0.14899999999999999</v>
      </c>
      <c r="W61" s="310">
        <f>Rounding!W156</f>
        <v>7.4999999999999997E-2</v>
      </c>
      <c r="X61" s="310">
        <f>Rounding!X156</f>
        <v>7.4999999999999997E-2</v>
      </c>
      <c r="Y61" s="310">
        <f>Rounding!Y156</f>
        <v>7.4999999999999997E-2</v>
      </c>
      <c r="Z61" s="310">
        <f>Rounding!Z156</f>
        <v>7.4999999999999997E-2</v>
      </c>
      <c r="AA61" s="310">
        <f>Rounding!AA156</f>
        <v>7.4999999999999997E-2</v>
      </c>
      <c r="AB61" s="310">
        <f>Rounding!AB156</f>
        <v>4.8000000000000001E-2</v>
      </c>
      <c r="AC61" s="310">
        <f>Rounding!AC156</f>
        <v>4.8000000000000001E-2</v>
      </c>
      <c r="AD61" s="310">
        <f>Rounding!AD156</f>
        <v>4.8000000000000001E-2</v>
      </c>
      <c r="AE61" s="310">
        <f>Rounding!AE156</f>
        <v>4.8000000000000001E-2</v>
      </c>
      <c r="AF61" s="310">
        <f>Rounding!AF156</f>
        <v>4.8000000000000001E-2</v>
      </c>
      <c r="AG61" s="310">
        <f>Rounding!AG156</f>
        <v>0</v>
      </c>
      <c r="AH61" s="310">
        <f>Rounding!AH156</f>
        <v>0</v>
      </c>
      <c r="AI61" s="310">
        <f>Rounding!AI156</f>
        <v>0</v>
      </c>
      <c r="AJ61" s="310">
        <f>Rounding!AJ156</f>
        <v>0.13500000000000001</v>
      </c>
      <c r="AK61" s="310">
        <f>Rounding!AK156</f>
        <v>0</v>
      </c>
      <c r="AL61" s="310">
        <f>Rounding!AL156</f>
        <v>0.11700000000000001</v>
      </c>
      <c r="AM61" s="310">
        <f>Rounding!AM156</f>
        <v>0</v>
      </c>
      <c r="AN61" s="310">
        <f>Rounding!AN156</f>
        <v>9.6000000000000002E-2</v>
      </c>
      <c r="AO61" s="310">
        <f>Rounding!AO156</f>
        <v>0</v>
      </c>
      <c r="AP61" s="298"/>
      <c r="AQ61" s="298"/>
    </row>
    <row r="62" spans="3:43" x14ac:dyDescent="0.25">
      <c r="E62" s="12"/>
      <c r="G62" s="9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  <c r="V62" s="211"/>
      <c r="W62" s="211"/>
      <c r="X62" s="211"/>
      <c r="Y62" s="211"/>
      <c r="Z62" s="211"/>
      <c r="AA62" s="211"/>
      <c r="AB62" s="211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</row>
    <row r="63" spans="3:43" x14ac:dyDescent="0.25">
      <c r="E63" s="52" t="s">
        <v>776</v>
      </c>
      <c r="G63" s="91"/>
      <c r="I63" t="s">
        <v>359</v>
      </c>
      <c r="J63" s="220"/>
      <c r="K63" s="220"/>
      <c r="L63" s="220"/>
      <c r="M63" s="220"/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220"/>
      <c r="AC63" s="220"/>
      <c r="AD63" s="220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Q63" t="s">
        <v>698</v>
      </c>
    </row>
    <row r="64" spans="3:43" x14ac:dyDescent="0.25">
      <c r="F64" s="80" t="s">
        <v>134</v>
      </c>
      <c r="G64" s="108" t="s">
        <v>183</v>
      </c>
      <c r="H64" s="307"/>
      <c r="I64" s="296"/>
      <c r="J64" s="307">
        <f>Rounding!J159</f>
        <v>4.9279999999999999</v>
      </c>
      <c r="K64" s="307">
        <f>Rounding!K159</f>
        <v>4.9279999999999999</v>
      </c>
      <c r="L64" s="307">
        <f>Rounding!L159</f>
        <v>5.9480000000000004</v>
      </c>
      <c r="M64" s="307">
        <f>Rounding!M159</f>
        <v>5.9480000000000004</v>
      </c>
      <c r="N64" s="307">
        <f>Rounding!N159</f>
        <v>5.9480000000000004</v>
      </c>
      <c r="O64" s="307">
        <f>Rounding!O159</f>
        <v>5.9480000000000004</v>
      </c>
      <c r="P64" s="307">
        <f>Rounding!P159</f>
        <v>5.9480000000000004</v>
      </c>
      <c r="Q64" s="307">
        <f>Rounding!Q159</f>
        <v>5.9480000000000004</v>
      </c>
      <c r="R64" s="307">
        <f>Rounding!R159</f>
        <v>4.3010000000000002</v>
      </c>
      <c r="S64" s="307">
        <f>Rounding!S159</f>
        <v>4.3010000000000002</v>
      </c>
      <c r="T64" s="307">
        <f>Rounding!T159</f>
        <v>4.3010000000000002</v>
      </c>
      <c r="U64" s="307">
        <f>Rounding!U159</f>
        <v>4.3010000000000002</v>
      </c>
      <c r="V64" s="307">
        <f>Rounding!V159</f>
        <v>4.3010000000000002</v>
      </c>
      <c r="W64" s="307">
        <f>Rounding!W159</f>
        <v>0</v>
      </c>
      <c r="X64" s="307">
        <f>Rounding!X159</f>
        <v>0</v>
      </c>
      <c r="Y64" s="307">
        <f>Rounding!Y159</f>
        <v>0</v>
      </c>
      <c r="Z64" s="307">
        <f>Rounding!Z159</f>
        <v>0</v>
      </c>
      <c r="AA64" s="307">
        <f>Rounding!AA159</f>
        <v>0</v>
      </c>
      <c r="AB64" s="307">
        <f>Rounding!AB159</f>
        <v>0</v>
      </c>
      <c r="AC64" s="307">
        <f>Rounding!AC159</f>
        <v>0</v>
      </c>
      <c r="AD64" s="307">
        <f>Rounding!AD159</f>
        <v>0</v>
      </c>
      <c r="AE64" s="307">
        <f>Rounding!AE159</f>
        <v>0</v>
      </c>
      <c r="AF64" s="307">
        <f>Rounding!AF159</f>
        <v>0</v>
      </c>
      <c r="AG64" s="307">
        <f>Rounding!AG159</f>
        <v>14.981</v>
      </c>
      <c r="AH64" s="307">
        <f>Rounding!AH159</f>
        <v>-6.5279999999999996</v>
      </c>
      <c r="AI64" s="307">
        <f>Rounding!AI159</f>
        <v>0</v>
      </c>
      <c r="AJ64" s="307">
        <f>Rounding!AJ159</f>
        <v>-6.5279999999999996</v>
      </c>
      <c r="AK64" s="307">
        <f>Rounding!AK159</f>
        <v>0</v>
      </c>
      <c r="AL64" s="307">
        <f>Rounding!AL159</f>
        <v>0</v>
      </c>
      <c r="AM64" s="307">
        <f>Rounding!AM159</f>
        <v>0</v>
      </c>
      <c r="AN64" s="307">
        <f>Rounding!AN159</f>
        <v>0</v>
      </c>
      <c r="AO64" s="307">
        <f>Rounding!AO159</f>
        <v>0</v>
      </c>
      <c r="AP64" s="298"/>
      <c r="AQ64" s="298"/>
    </row>
    <row r="65" spans="3:43" x14ac:dyDescent="0.25">
      <c r="E65" s="12"/>
      <c r="F65" t="s">
        <v>135</v>
      </c>
      <c r="G65" s="91" t="s">
        <v>183</v>
      </c>
      <c r="H65" s="363"/>
      <c r="I65" s="298"/>
      <c r="J65" s="363">
        <f>Rounding!J160</f>
        <v>0.56599999999999995</v>
      </c>
      <c r="K65" s="363">
        <f>Rounding!K160</f>
        <v>0.56599999999999995</v>
      </c>
      <c r="L65" s="363">
        <f>Rounding!L160</f>
        <v>0.68300000000000005</v>
      </c>
      <c r="M65" s="363">
        <f>Rounding!M160</f>
        <v>0.68300000000000005</v>
      </c>
      <c r="N65" s="363">
        <f>Rounding!N160</f>
        <v>0.68300000000000005</v>
      </c>
      <c r="O65" s="363">
        <f>Rounding!O160</f>
        <v>0.68300000000000005</v>
      </c>
      <c r="P65" s="363">
        <f>Rounding!P160</f>
        <v>0.68300000000000005</v>
      </c>
      <c r="Q65" s="363">
        <f>Rounding!Q160</f>
        <v>0.68300000000000005</v>
      </c>
      <c r="R65" s="363">
        <f>Rounding!R160</f>
        <v>0.46700000000000003</v>
      </c>
      <c r="S65" s="363">
        <f>Rounding!S160</f>
        <v>0.46700000000000003</v>
      </c>
      <c r="T65" s="363">
        <f>Rounding!T160</f>
        <v>0.46700000000000003</v>
      </c>
      <c r="U65" s="363">
        <f>Rounding!U160</f>
        <v>0.46700000000000003</v>
      </c>
      <c r="V65" s="363">
        <f>Rounding!V160</f>
        <v>0.46700000000000003</v>
      </c>
      <c r="W65" s="363">
        <f>Rounding!W160</f>
        <v>0</v>
      </c>
      <c r="X65" s="363">
        <f>Rounding!X160</f>
        <v>0</v>
      </c>
      <c r="Y65" s="363">
        <f>Rounding!Y160</f>
        <v>0</v>
      </c>
      <c r="Z65" s="363">
        <f>Rounding!Z160</f>
        <v>0</v>
      </c>
      <c r="AA65" s="363">
        <f>Rounding!AA160</f>
        <v>0</v>
      </c>
      <c r="AB65" s="363">
        <f>Rounding!AB160</f>
        <v>0</v>
      </c>
      <c r="AC65" s="363">
        <f>Rounding!AC160</f>
        <v>0</v>
      </c>
      <c r="AD65" s="363">
        <f>Rounding!AD160</f>
        <v>0</v>
      </c>
      <c r="AE65" s="363">
        <f>Rounding!AE160</f>
        <v>0</v>
      </c>
      <c r="AF65" s="363">
        <f>Rounding!AF160</f>
        <v>0</v>
      </c>
      <c r="AG65" s="363">
        <f>Rounding!AG160</f>
        <v>2.278</v>
      </c>
      <c r="AH65" s="363">
        <f>Rounding!AH160</f>
        <v>-0.75</v>
      </c>
      <c r="AI65" s="363">
        <f>Rounding!AI160</f>
        <v>0</v>
      </c>
      <c r="AJ65" s="363">
        <f>Rounding!AJ160</f>
        <v>-0.75</v>
      </c>
      <c r="AK65" s="363">
        <f>Rounding!AK160</f>
        <v>0</v>
      </c>
      <c r="AL65" s="363">
        <f>Rounding!AL160</f>
        <v>0</v>
      </c>
      <c r="AM65" s="363">
        <f>Rounding!AM160</f>
        <v>0</v>
      </c>
      <c r="AN65" s="363">
        <f>Rounding!AN160</f>
        <v>0</v>
      </c>
      <c r="AO65" s="363">
        <f>Rounding!AO160</f>
        <v>0</v>
      </c>
      <c r="AP65" s="298"/>
      <c r="AQ65" s="298"/>
    </row>
    <row r="66" spans="3:43" x14ac:dyDescent="0.25">
      <c r="E66" s="12"/>
      <c r="F66" t="s">
        <v>136</v>
      </c>
      <c r="G66" s="91" t="s">
        <v>183</v>
      </c>
      <c r="H66" s="363"/>
      <c r="I66" s="298"/>
      <c r="J66" s="363">
        <f>Rounding!J161</f>
        <v>0.01</v>
      </c>
      <c r="K66" s="363">
        <f>Rounding!K161</f>
        <v>0.01</v>
      </c>
      <c r="L66" s="363">
        <f>Rounding!L161</f>
        <v>1.2E-2</v>
      </c>
      <c r="M66" s="363">
        <f>Rounding!M161</f>
        <v>1.2E-2</v>
      </c>
      <c r="N66" s="363">
        <f>Rounding!N161</f>
        <v>1.2E-2</v>
      </c>
      <c r="O66" s="363">
        <f>Rounding!O161</f>
        <v>1.2E-2</v>
      </c>
      <c r="P66" s="363">
        <f>Rounding!P161</f>
        <v>1.2E-2</v>
      </c>
      <c r="Q66" s="363">
        <f>Rounding!Q161</f>
        <v>1.2E-2</v>
      </c>
      <c r="R66" s="363">
        <f>Rounding!R161</f>
        <v>8.0000000000000002E-3</v>
      </c>
      <c r="S66" s="363">
        <f>Rounding!S161</f>
        <v>8.0000000000000002E-3</v>
      </c>
      <c r="T66" s="363">
        <f>Rounding!T161</f>
        <v>8.0000000000000002E-3</v>
      </c>
      <c r="U66" s="363">
        <f>Rounding!U161</f>
        <v>8.0000000000000002E-3</v>
      </c>
      <c r="V66" s="363">
        <f>Rounding!V161</f>
        <v>8.0000000000000002E-3</v>
      </c>
      <c r="W66" s="363">
        <f>Rounding!W161</f>
        <v>0</v>
      </c>
      <c r="X66" s="363">
        <f>Rounding!X161</f>
        <v>0</v>
      </c>
      <c r="Y66" s="363">
        <f>Rounding!Y161</f>
        <v>0</v>
      </c>
      <c r="Z66" s="363">
        <f>Rounding!Z161</f>
        <v>0</v>
      </c>
      <c r="AA66" s="363">
        <f>Rounding!AA161</f>
        <v>0</v>
      </c>
      <c r="AB66" s="363">
        <f>Rounding!AB161</f>
        <v>0</v>
      </c>
      <c r="AC66" s="363">
        <f>Rounding!AC161</f>
        <v>0</v>
      </c>
      <c r="AD66" s="363">
        <f>Rounding!AD161</f>
        <v>0</v>
      </c>
      <c r="AE66" s="363">
        <f>Rounding!AE161</f>
        <v>0</v>
      </c>
      <c r="AF66" s="363">
        <f>Rounding!AF161</f>
        <v>0</v>
      </c>
      <c r="AG66" s="363">
        <f>Rounding!AG161</f>
        <v>1.7430000000000001</v>
      </c>
      <c r="AH66" s="363">
        <f>Rounding!AH161</f>
        <v>-1.2999999999999999E-2</v>
      </c>
      <c r="AI66" s="363">
        <f>Rounding!AI161</f>
        <v>0</v>
      </c>
      <c r="AJ66" s="363">
        <f>Rounding!AJ161</f>
        <v>-1.2999999999999999E-2</v>
      </c>
      <c r="AK66" s="363">
        <f>Rounding!AK161</f>
        <v>0</v>
      </c>
      <c r="AL66" s="363">
        <f>Rounding!AL161</f>
        <v>0</v>
      </c>
      <c r="AM66" s="363">
        <f>Rounding!AM161</f>
        <v>0</v>
      </c>
      <c r="AN66" s="363">
        <f>Rounding!AN161</f>
        <v>0</v>
      </c>
      <c r="AO66" s="363">
        <f>Rounding!AO161</f>
        <v>0</v>
      </c>
      <c r="AP66" s="298"/>
      <c r="AQ66" s="298"/>
    </row>
    <row r="67" spans="3:43" x14ac:dyDescent="0.25">
      <c r="E67" s="12"/>
      <c r="F67" t="s">
        <v>254</v>
      </c>
      <c r="G67" s="91" t="s">
        <v>252</v>
      </c>
      <c r="H67" s="327"/>
      <c r="J67" s="229">
        <f>Rounding!J162</f>
        <v>15.21</v>
      </c>
      <c r="K67" s="229">
        <f>Rounding!K162</f>
        <v>0</v>
      </c>
      <c r="L67" s="229">
        <f>Rounding!L162</f>
        <v>3.87</v>
      </c>
      <c r="M67" s="229">
        <f>Rounding!M162</f>
        <v>18.97</v>
      </c>
      <c r="N67" s="229">
        <f>Rounding!N162</f>
        <v>38.57</v>
      </c>
      <c r="O67" s="229">
        <f>Rounding!O162</f>
        <v>78.819999999999993</v>
      </c>
      <c r="P67" s="229">
        <f>Rounding!P162</f>
        <v>224.21</v>
      </c>
      <c r="Q67" s="229">
        <f>Rounding!Q162</f>
        <v>0</v>
      </c>
      <c r="R67" s="229">
        <f>Rounding!R162</f>
        <v>14.42</v>
      </c>
      <c r="S67" s="229">
        <f>Rounding!S162</f>
        <v>423.64</v>
      </c>
      <c r="T67" s="229">
        <f>Rounding!T162</f>
        <v>729.51</v>
      </c>
      <c r="U67" s="229">
        <f>Rounding!U162</f>
        <v>1220.25</v>
      </c>
      <c r="V67" s="229">
        <f>Rounding!V162</f>
        <v>2640.04</v>
      </c>
      <c r="W67" s="229">
        <f>Rounding!W162</f>
        <v>0</v>
      </c>
      <c r="X67" s="229">
        <f>Rounding!X162</f>
        <v>0</v>
      </c>
      <c r="Y67" s="229">
        <f>Rounding!Y162</f>
        <v>0</v>
      </c>
      <c r="Z67" s="229">
        <f>Rounding!Z162</f>
        <v>0</v>
      </c>
      <c r="AA67" s="229">
        <f>Rounding!AA162</f>
        <v>0</v>
      </c>
      <c r="AB67" s="229">
        <f>Rounding!AB162</f>
        <v>0</v>
      </c>
      <c r="AC67" s="229">
        <f>Rounding!AC162</f>
        <v>0</v>
      </c>
      <c r="AD67" s="229">
        <f>Rounding!AD162</f>
        <v>0</v>
      </c>
      <c r="AE67" s="229">
        <f>Rounding!AE162</f>
        <v>0</v>
      </c>
      <c r="AF67" s="229">
        <f>Rounding!AF162</f>
        <v>0</v>
      </c>
      <c r="AG67" s="229">
        <f>Rounding!AG162</f>
        <v>0</v>
      </c>
      <c r="AH67" s="229">
        <f>Rounding!AH162</f>
        <v>0</v>
      </c>
      <c r="AI67" s="229">
        <f>Rounding!AI162</f>
        <v>0</v>
      </c>
      <c r="AJ67" s="229">
        <f>Rounding!AJ162</f>
        <v>0</v>
      </c>
      <c r="AK67" s="229">
        <f>Rounding!AK162</f>
        <v>0</v>
      </c>
      <c r="AL67" s="229">
        <f>Rounding!AL162</f>
        <v>0</v>
      </c>
      <c r="AM67" s="229">
        <f>Rounding!AM162</f>
        <v>0</v>
      </c>
      <c r="AN67" s="229">
        <f>Rounding!AN162</f>
        <v>0</v>
      </c>
      <c r="AO67" s="229">
        <f>Rounding!AO162</f>
        <v>0</v>
      </c>
    </row>
    <row r="68" spans="3:43" x14ac:dyDescent="0.25">
      <c r="E68" s="12"/>
      <c r="F68" t="s">
        <v>255</v>
      </c>
      <c r="G68" s="91" t="s">
        <v>251</v>
      </c>
      <c r="H68" s="327"/>
      <c r="J68" s="229">
        <f>Rounding!J163</f>
        <v>0</v>
      </c>
      <c r="K68" s="229">
        <f>Rounding!K163</f>
        <v>0</v>
      </c>
      <c r="L68" s="229">
        <f>Rounding!L163</f>
        <v>0</v>
      </c>
      <c r="M68" s="229">
        <f>Rounding!M163</f>
        <v>0</v>
      </c>
      <c r="N68" s="229">
        <f>Rounding!N163</f>
        <v>0</v>
      </c>
      <c r="O68" s="229">
        <f>Rounding!O163</f>
        <v>0</v>
      </c>
      <c r="P68" s="229">
        <f>Rounding!P163</f>
        <v>0</v>
      </c>
      <c r="Q68" s="229">
        <f>Rounding!Q163</f>
        <v>0</v>
      </c>
      <c r="R68" s="229">
        <f>Rounding!R163</f>
        <v>1.75</v>
      </c>
      <c r="S68" s="229">
        <f>Rounding!S163</f>
        <v>1.75</v>
      </c>
      <c r="T68" s="229">
        <f>Rounding!T163</f>
        <v>1.75</v>
      </c>
      <c r="U68" s="229">
        <f>Rounding!U163</f>
        <v>1.75</v>
      </c>
      <c r="V68" s="229">
        <f>Rounding!V163</f>
        <v>1.75</v>
      </c>
      <c r="W68" s="229">
        <f>Rounding!W163</f>
        <v>0</v>
      </c>
      <c r="X68" s="229">
        <f>Rounding!X163</f>
        <v>0</v>
      </c>
      <c r="Y68" s="229">
        <f>Rounding!Y163</f>
        <v>0</v>
      </c>
      <c r="Z68" s="229">
        <f>Rounding!Z163</f>
        <v>0</v>
      </c>
      <c r="AA68" s="229">
        <f>Rounding!AA163</f>
        <v>0</v>
      </c>
      <c r="AB68" s="229">
        <f>Rounding!AB163</f>
        <v>0</v>
      </c>
      <c r="AC68" s="229">
        <f>Rounding!AC163</f>
        <v>0</v>
      </c>
      <c r="AD68" s="229">
        <f>Rounding!AD163</f>
        <v>0</v>
      </c>
      <c r="AE68" s="229">
        <f>Rounding!AE163</f>
        <v>0</v>
      </c>
      <c r="AF68" s="229">
        <f>Rounding!AF163</f>
        <v>0</v>
      </c>
      <c r="AG68" s="229">
        <f>Rounding!AG163</f>
        <v>0</v>
      </c>
      <c r="AH68" s="229">
        <f>Rounding!AH163</f>
        <v>0</v>
      </c>
      <c r="AI68" s="229">
        <f>Rounding!AI163</f>
        <v>0</v>
      </c>
      <c r="AJ68" s="229">
        <f>Rounding!AJ163</f>
        <v>0</v>
      </c>
      <c r="AK68" s="229">
        <f>Rounding!AK163</f>
        <v>0</v>
      </c>
      <c r="AL68" s="229">
        <f>Rounding!AL163</f>
        <v>0</v>
      </c>
      <c r="AM68" s="229">
        <f>Rounding!AM163</f>
        <v>0</v>
      </c>
      <c r="AN68" s="229">
        <f>Rounding!AN163</f>
        <v>0</v>
      </c>
      <c r="AO68" s="229">
        <f>Rounding!AO163</f>
        <v>0</v>
      </c>
    </row>
    <row r="69" spans="3:43" x14ac:dyDescent="0.25">
      <c r="E69" s="12"/>
      <c r="F69" t="s">
        <v>256</v>
      </c>
      <c r="G69" s="91" t="s">
        <v>251</v>
      </c>
      <c r="H69" s="327"/>
      <c r="J69" s="229">
        <f>Rounding!J164</f>
        <v>0</v>
      </c>
      <c r="K69" s="229">
        <f>Rounding!K164</f>
        <v>0</v>
      </c>
      <c r="L69" s="229">
        <f>Rounding!L164</f>
        <v>0</v>
      </c>
      <c r="M69" s="229">
        <f>Rounding!M164</f>
        <v>0</v>
      </c>
      <c r="N69" s="229">
        <f>Rounding!N164</f>
        <v>0</v>
      </c>
      <c r="O69" s="229">
        <f>Rounding!O164</f>
        <v>0</v>
      </c>
      <c r="P69" s="229">
        <f>Rounding!P164</f>
        <v>0</v>
      </c>
      <c r="Q69" s="229">
        <f>Rounding!Q164</f>
        <v>0</v>
      </c>
      <c r="R69" s="229">
        <f>Rounding!R164</f>
        <v>2.54</v>
      </c>
      <c r="S69" s="229">
        <f>Rounding!S164</f>
        <v>2.54</v>
      </c>
      <c r="T69" s="229">
        <f>Rounding!T164</f>
        <v>2.54</v>
      </c>
      <c r="U69" s="229">
        <f>Rounding!U164</f>
        <v>2.54</v>
      </c>
      <c r="V69" s="229">
        <f>Rounding!V164</f>
        <v>2.54</v>
      </c>
      <c r="W69" s="229">
        <f>Rounding!W164</f>
        <v>0</v>
      </c>
      <c r="X69" s="229">
        <f>Rounding!X164</f>
        <v>0</v>
      </c>
      <c r="Y69" s="229">
        <f>Rounding!Y164</f>
        <v>0</v>
      </c>
      <c r="Z69" s="229">
        <f>Rounding!Z164</f>
        <v>0</v>
      </c>
      <c r="AA69" s="229">
        <f>Rounding!AA164</f>
        <v>0</v>
      </c>
      <c r="AB69" s="229">
        <f>Rounding!AB164</f>
        <v>0</v>
      </c>
      <c r="AC69" s="229">
        <f>Rounding!AC164</f>
        <v>0</v>
      </c>
      <c r="AD69" s="229">
        <f>Rounding!AD164</f>
        <v>0</v>
      </c>
      <c r="AE69" s="229">
        <f>Rounding!AE164</f>
        <v>0</v>
      </c>
      <c r="AF69" s="229">
        <f>Rounding!AF164</f>
        <v>0</v>
      </c>
      <c r="AG69" s="229">
        <f>Rounding!AG164</f>
        <v>0</v>
      </c>
      <c r="AH69" s="229">
        <f>Rounding!AH164</f>
        <v>0</v>
      </c>
      <c r="AI69" s="229">
        <f>Rounding!AI164</f>
        <v>0</v>
      </c>
      <c r="AJ69" s="229">
        <f>Rounding!AJ164</f>
        <v>0</v>
      </c>
      <c r="AK69" s="229">
        <f>Rounding!AK164</f>
        <v>0</v>
      </c>
      <c r="AL69" s="229">
        <f>Rounding!AL164</f>
        <v>0</v>
      </c>
      <c r="AM69" s="229">
        <f>Rounding!AM164</f>
        <v>0</v>
      </c>
      <c r="AN69" s="229">
        <f>Rounding!AN164</f>
        <v>0</v>
      </c>
      <c r="AO69" s="229">
        <f>Rounding!AO164</f>
        <v>0</v>
      </c>
    </row>
    <row r="70" spans="3:43" x14ac:dyDescent="0.25">
      <c r="E70" s="12"/>
      <c r="F70" s="17" t="s">
        <v>257</v>
      </c>
      <c r="G70" s="109" t="s">
        <v>258</v>
      </c>
      <c r="H70" s="310"/>
      <c r="I70" s="300"/>
      <c r="J70" s="310">
        <f>Rounding!J165</f>
        <v>0</v>
      </c>
      <c r="K70" s="310">
        <f>Rounding!K165</f>
        <v>0</v>
      </c>
      <c r="L70" s="310">
        <f>Rounding!L165</f>
        <v>0</v>
      </c>
      <c r="M70" s="310">
        <f>Rounding!M165</f>
        <v>0</v>
      </c>
      <c r="N70" s="310">
        <f>Rounding!N165</f>
        <v>0</v>
      </c>
      <c r="O70" s="310">
        <f>Rounding!O165</f>
        <v>0</v>
      </c>
      <c r="P70" s="310">
        <f>Rounding!P165</f>
        <v>0</v>
      </c>
      <c r="Q70" s="310">
        <f>Rounding!Q165</f>
        <v>0</v>
      </c>
      <c r="R70" s="310">
        <f>Rounding!R165</f>
        <v>8.8999999999999996E-2</v>
      </c>
      <c r="S70" s="310">
        <f>Rounding!S165</f>
        <v>8.8999999999999996E-2</v>
      </c>
      <c r="T70" s="310">
        <f>Rounding!T165</f>
        <v>8.8999999999999996E-2</v>
      </c>
      <c r="U70" s="310">
        <f>Rounding!U165</f>
        <v>8.8999999999999996E-2</v>
      </c>
      <c r="V70" s="310">
        <f>Rounding!V165</f>
        <v>8.8999999999999996E-2</v>
      </c>
      <c r="W70" s="310">
        <f>Rounding!W165</f>
        <v>0</v>
      </c>
      <c r="X70" s="310">
        <f>Rounding!X165</f>
        <v>0</v>
      </c>
      <c r="Y70" s="310">
        <f>Rounding!Y165</f>
        <v>0</v>
      </c>
      <c r="Z70" s="310">
        <f>Rounding!Z165</f>
        <v>0</v>
      </c>
      <c r="AA70" s="310">
        <f>Rounding!AA165</f>
        <v>0</v>
      </c>
      <c r="AB70" s="310">
        <f>Rounding!AB165</f>
        <v>0</v>
      </c>
      <c r="AC70" s="310">
        <f>Rounding!AC165</f>
        <v>0</v>
      </c>
      <c r="AD70" s="310">
        <f>Rounding!AD165</f>
        <v>0</v>
      </c>
      <c r="AE70" s="310">
        <f>Rounding!AE165</f>
        <v>0</v>
      </c>
      <c r="AF70" s="310">
        <f>Rounding!AF165</f>
        <v>0</v>
      </c>
      <c r="AG70" s="310">
        <f>Rounding!AG165</f>
        <v>0</v>
      </c>
      <c r="AH70" s="310">
        <f>Rounding!AH165</f>
        <v>0</v>
      </c>
      <c r="AI70" s="310">
        <f>Rounding!AI165</f>
        <v>0</v>
      </c>
      <c r="AJ70" s="310">
        <f>Rounding!AJ165</f>
        <v>0.13500000000000001</v>
      </c>
      <c r="AK70" s="310">
        <f>Rounding!AK165</f>
        <v>0</v>
      </c>
      <c r="AL70" s="310">
        <f>Rounding!AL165</f>
        <v>0</v>
      </c>
      <c r="AM70" s="310">
        <f>Rounding!AM165</f>
        <v>0</v>
      </c>
      <c r="AN70" s="310">
        <f>Rounding!AN165</f>
        <v>0</v>
      </c>
      <c r="AO70" s="310">
        <f>Rounding!AO165</f>
        <v>0</v>
      </c>
      <c r="AP70" s="298"/>
      <c r="AQ70" s="298"/>
    </row>
    <row r="71" spans="3:43" x14ac:dyDescent="0.25">
      <c r="E71" s="12"/>
      <c r="G71" s="9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</row>
    <row r="72" spans="3:43" x14ac:dyDescent="0.25">
      <c r="E72" s="52" t="s">
        <v>777</v>
      </c>
      <c r="G72" s="91"/>
      <c r="I72" t="s">
        <v>359</v>
      </c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220"/>
      <c r="AL72" s="220"/>
      <c r="AM72" s="220"/>
      <c r="AN72" s="220"/>
      <c r="AO72" s="220"/>
      <c r="AQ72" t="s">
        <v>698</v>
      </c>
    </row>
    <row r="73" spans="3:43" x14ac:dyDescent="0.25">
      <c r="C73" s="76"/>
      <c r="F73" s="80" t="s">
        <v>134</v>
      </c>
      <c r="G73" s="108" t="s">
        <v>183</v>
      </c>
      <c r="H73" s="307"/>
      <c r="I73" s="296"/>
      <c r="J73" s="307">
        <f>Rounding!J168</f>
        <v>3.262</v>
      </c>
      <c r="K73" s="307">
        <f>Rounding!K168</f>
        <v>3.262</v>
      </c>
      <c r="L73" s="307">
        <f>Rounding!L168</f>
        <v>3.9369999999999998</v>
      </c>
      <c r="M73" s="307">
        <f>Rounding!M168</f>
        <v>3.9369999999999998</v>
      </c>
      <c r="N73" s="307">
        <f>Rounding!N168</f>
        <v>3.9369999999999998</v>
      </c>
      <c r="O73" s="307">
        <f>Rounding!O168</f>
        <v>3.9369999999999998</v>
      </c>
      <c r="P73" s="307">
        <f>Rounding!P168</f>
        <v>3.9369999999999998</v>
      </c>
      <c r="Q73" s="307">
        <f>Rounding!Q168</f>
        <v>3.9369999999999998</v>
      </c>
      <c r="R73" s="307">
        <f>Rounding!R168</f>
        <v>2.847</v>
      </c>
      <c r="S73" s="307">
        <f>Rounding!S168</f>
        <v>2.847</v>
      </c>
      <c r="T73" s="307">
        <f>Rounding!T168</f>
        <v>2.847</v>
      </c>
      <c r="U73" s="307">
        <f>Rounding!U168</f>
        <v>2.847</v>
      </c>
      <c r="V73" s="307">
        <f>Rounding!V168</f>
        <v>2.847</v>
      </c>
      <c r="W73" s="307">
        <f>Rounding!W168</f>
        <v>2.7629999999999999</v>
      </c>
      <c r="X73" s="307">
        <f>Rounding!X168</f>
        <v>2.7629999999999999</v>
      </c>
      <c r="Y73" s="307">
        <f>Rounding!Y168</f>
        <v>2.7629999999999999</v>
      </c>
      <c r="Z73" s="307">
        <f>Rounding!Z168</f>
        <v>2.7629999999999999</v>
      </c>
      <c r="AA73" s="307">
        <f>Rounding!AA168</f>
        <v>2.7629999999999999</v>
      </c>
      <c r="AB73" s="307">
        <f>Rounding!AB168</f>
        <v>2.1960000000000002</v>
      </c>
      <c r="AC73" s="307">
        <f>Rounding!AC168</f>
        <v>2.1960000000000002</v>
      </c>
      <c r="AD73" s="307">
        <f>Rounding!AD168</f>
        <v>2.1960000000000002</v>
      </c>
      <c r="AE73" s="307">
        <f>Rounding!AE168</f>
        <v>2.1960000000000002</v>
      </c>
      <c r="AF73" s="307">
        <f>Rounding!AF168</f>
        <v>2.1960000000000002</v>
      </c>
      <c r="AG73" s="307">
        <f>Rounding!AG168</f>
        <v>9.9160000000000004</v>
      </c>
      <c r="AH73" s="307">
        <f>Rounding!AH168</f>
        <v>-6.5279999999999996</v>
      </c>
      <c r="AI73" s="307">
        <f>Rounding!AI168</f>
        <v>-5.6840000000000002</v>
      </c>
      <c r="AJ73" s="307">
        <f>Rounding!AJ168</f>
        <v>-6.5279999999999996</v>
      </c>
      <c r="AK73" s="307">
        <f>Rounding!AK168</f>
        <v>0</v>
      </c>
      <c r="AL73" s="307">
        <f>Rounding!AL168</f>
        <v>-5.6840000000000002</v>
      </c>
      <c r="AM73" s="307">
        <f>Rounding!AM168</f>
        <v>0</v>
      </c>
      <c r="AN73" s="307">
        <f>Rounding!AN168</f>
        <v>-3.512</v>
      </c>
      <c r="AO73" s="307">
        <f>Rounding!AO168</f>
        <v>0</v>
      </c>
      <c r="AP73" s="298"/>
      <c r="AQ73" s="298"/>
    </row>
    <row r="74" spans="3:43" x14ac:dyDescent="0.25">
      <c r="C74" s="76"/>
      <c r="F74" t="s">
        <v>135</v>
      </c>
      <c r="G74" s="91" t="s">
        <v>183</v>
      </c>
      <c r="H74" s="363"/>
      <c r="I74" s="298"/>
      <c r="J74" s="363">
        <f>Rounding!J169</f>
        <v>0.375</v>
      </c>
      <c r="K74" s="363">
        <f>Rounding!K169</f>
        <v>0.375</v>
      </c>
      <c r="L74" s="363">
        <f>Rounding!L169</f>
        <v>0.45200000000000001</v>
      </c>
      <c r="M74" s="363">
        <f>Rounding!M169</f>
        <v>0.45200000000000001</v>
      </c>
      <c r="N74" s="363">
        <f>Rounding!N169</f>
        <v>0.45200000000000001</v>
      </c>
      <c r="O74" s="363">
        <f>Rounding!O169</f>
        <v>0.45200000000000001</v>
      </c>
      <c r="P74" s="363">
        <f>Rounding!P169</f>
        <v>0.45200000000000001</v>
      </c>
      <c r="Q74" s="363">
        <f>Rounding!Q169</f>
        <v>0.45200000000000001</v>
      </c>
      <c r="R74" s="363">
        <f>Rounding!R169</f>
        <v>0.309</v>
      </c>
      <c r="S74" s="363">
        <f>Rounding!S169</f>
        <v>0.309</v>
      </c>
      <c r="T74" s="363">
        <f>Rounding!T169</f>
        <v>0.309</v>
      </c>
      <c r="U74" s="363">
        <f>Rounding!U169</f>
        <v>0.309</v>
      </c>
      <c r="V74" s="363">
        <f>Rounding!V169</f>
        <v>0.309</v>
      </c>
      <c r="W74" s="363">
        <f>Rounding!W169</f>
        <v>0.248</v>
      </c>
      <c r="X74" s="363">
        <f>Rounding!X169</f>
        <v>0.248</v>
      </c>
      <c r="Y74" s="363">
        <f>Rounding!Y169</f>
        <v>0.248</v>
      </c>
      <c r="Z74" s="363">
        <f>Rounding!Z169</f>
        <v>0.248</v>
      </c>
      <c r="AA74" s="363">
        <f>Rounding!AA169</f>
        <v>0.248</v>
      </c>
      <c r="AB74" s="363">
        <f>Rounding!AB169</f>
        <v>0.17399999999999999</v>
      </c>
      <c r="AC74" s="363">
        <f>Rounding!AC169</f>
        <v>0.17399999999999999</v>
      </c>
      <c r="AD74" s="363">
        <f>Rounding!AD169</f>
        <v>0.17399999999999999</v>
      </c>
      <c r="AE74" s="363">
        <f>Rounding!AE169</f>
        <v>0.17399999999999999</v>
      </c>
      <c r="AF74" s="363">
        <f>Rounding!AF169</f>
        <v>0.17399999999999999</v>
      </c>
      <c r="AG74" s="363">
        <f>Rounding!AG169</f>
        <v>1.508</v>
      </c>
      <c r="AH74" s="363">
        <f>Rounding!AH169</f>
        <v>-0.75</v>
      </c>
      <c r="AI74" s="363">
        <f>Rounding!AI169</f>
        <v>-0.63500000000000001</v>
      </c>
      <c r="AJ74" s="363">
        <f>Rounding!AJ169</f>
        <v>-0.75</v>
      </c>
      <c r="AK74" s="363">
        <f>Rounding!AK169</f>
        <v>0</v>
      </c>
      <c r="AL74" s="363">
        <f>Rounding!AL169</f>
        <v>-0.63500000000000001</v>
      </c>
      <c r="AM74" s="363">
        <f>Rounding!AM169</f>
        <v>0</v>
      </c>
      <c r="AN74" s="363">
        <f>Rounding!AN169</f>
        <v>-0.313</v>
      </c>
      <c r="AO74" s="363">
        <f>Rounding!AO169</f>
        <v>0</v>
      </c>
      <c r="AP74" s="298"/>
      <c r="AQ74" s="298"/>
    </row>
    <row r="75" spans="3:43" x14ac:dyDescent="0.25">
      <c r="C75" s="76"/>
      <c r="F75" t="s">
        <v>136</v>
      </c>
      <c r="G75" s="91" t="s">
        <v>183</v>
      </c>
      <c r="H75" s="363"/>
      <c r="I75" s="298"/>
      <c r="J75" s="363">
        <f>Rounding!J170</f>
        <v>7.0000000000000001E-3</v>
      </c>
      <c r="K75" s="363">
        <f>Rounding!K170</f>
        <v>7.0000000000000001E-3</v>
      </c>
      <c r="L75" s="363">
        <f>Rounding!L170</f>
        <v>8.0000000000000002E-3</v>
      </c>
      <c r="M75" s="363">
        <f>Rounding!M170</f>
        <v>8.0000000000000002E-3</v>
      </c>
      <c r="N75" s="363">
        <f>Rounding!N170</f>
        <v>8.0000000000000002E-3</v>
      </c>
      <c r="O75" s="363">
        <f>Rounding!O170</f>
        <v>8.0000000000000002E-3</v>
      </c>
      <c r="P75" s="363">
        <f>Rounding!P170</f>
        <v>8.0000000000000002E-3</v>
      </c>
      <c r="Q75" s="363">
        <f>Rounding!Q170</f>
        <v>8.0000000000000002E-3</v>
      </c>
      <c r="R75" s="363">
        <f>Rounding!R170</f>
        <v>5.0000000000000001E-3</v>
      </c>
      <c r="S75" s="363">
        <f>Rounding!S170</f>
        <v>5.0000000000000001E-3</v>
      </c>
      <c r="T75" s="363">
        <f>Rounding!T170</f>
        <v>5.0000000000000001E-3</v>
      </c>
      <c r="U75" s="363">
        <f>Rounding!U170</f>
        <v>5.0000000000000001E-3</v>
      </c>
      <c r="V75" s="363">
        <f>Rounding!V170</f>
        <v>5.0000000000000001E-3</v>
      </c>
      <c r="W75" s="363">
        <f>Rounding!W170</f>
        <v>4.0000000000000001E-3</v>
      </c>
      <c r="X75" s="363">
        <f>Rounding!X170</f>
        <v>4.0000000000000001E-3</v>
      </c>
      <c r="Y75" s="363">
        <f>Rounding!Y170</f>
        <v>4.0000000000000001E-3</v>
      </c>
      <c r="Z75" s="363">
        <f>Rounding!Z170</f>
        <v>4.0000000000000001E-3</v>
      </c>
      <c r="AA75" s="363">
        <f>Rounding!AA170</f>
        <v>4.0000000000000001E-3</v>
      </c>
      <c r="AB75" s="363">
        <f>Rounding!AB170</f>
        <v>2E-3</v>
      </c>
      <c r="AC75" s="363">
        <f>Rounding!AC170</f>
        <v>2E-3</v>
      </c>
      <c r="AD75" s="363">
        <f>Rounding!AD170</f>
        <v>2E-3</v>
      </c>
      <c r="AE75" s="363">
        <f>Rounding!AE170</f>
        <v>2E-3</v>
      </c>
      <c r="AF75" s="363">
        <f>Rounding!AF170</f>
        <v>2E-3</v>
      </c>
      <c r="AG75" s="363">
        <f>Rounding!AG170</f>
        <v>1.1539999999999999</v>
      </c>
      <c r="AH75" s="363">
        <f>Rounding!AH170</f>
        <v>-1.2999999999999999E-2</v>
      </c>
      <c r="AI75" s="363">
        <f>Rounding!AI170</f>
        <v>-1.0999999999999999E-2</v>
      </c>
      <c r="AJ75" s="363">
        <f>Rounding!AJ170</f>
        <v>-1.2999999999999999E-2</v>
      </c>
      <c r="AK75" s="363">
        <f>Rounding!AK170</f>
        <v>0</v>
      </c>
      <c r="AL75" s="363">
        <f>Rounding!AL170</f>
        <v>-1.0999999999999999E-2</v>
      </c>
      <c r="AM75" s="363">
        <f>Rounding!AM170</f>
        <v>0</v>
      </c>
      <c r="AN75" s="363">
        <f>Rounding!AN170</f>
        <v>-5.0000000000000001E-3</v>
      </c>
      <c r="AO75" s="363">
        <f>Rounding!AO170</f>
        <v>0</v>
      </c>
      <c r="AP75" s="298"/>
      <c r="AQ75" s="298"/>
    </row>
    <row r="76" spans="3:43" x14ac:dyDescent="0.25">
      <c r="C76" s="76"/>
      <c r="F76" t="s">
        <v>254</v>
      </c>
      <c r="G76" s="91" t="s">
        <v>252</v>
      </c>
      <c r="H76" s="327"/>
      <c r="J76" s="229">
        <f>Rounding!J171</f>
        <v>10.23</v>
      </c>
      <c r="K76" s="229">
        <f>Rounding!K171</f>
        <v>0</v>
      </c>
      <c r="L76" s="229">
        <f>Rounding!L171</f>
        <v>2.67</v>
      </c>
      <c r="M76" s="229">
        <f>Rounding!M171</f>
        <v>12.66</v>
      </c>
      <c r="N76" s="229">
        <f>Rounding!N171</f>
        <v>25.64</v>
      </c>
      <c r="O76" s="229">
        <f>Rounding!O171</f>
        <v>52.27</v>
      </c>
      <c r="P76" s="229">
        <f>Rounding!P171</f>
        <v>148.51</v>
      </c>
      <c r="Q76" s="229">
        <f>Rounding!Q171</f>
        <v>0</v>
      </c>
      <c r="R76" s="229">
        <f>Rounding!R171</f>
        <v>9.65</v>
      </c>
      <c r="S76" s="229">
        <f>Rounding!S171</f>
        <v>280.51</v>
      </c>
      <c r="T76" s="229">
        <f>Rounding!T171</f>
        <v>482.96</v>
      </c>
      <c r="U76" s="229">
        <f>Rounding!U171</f>
        <v>807.78</v>
      </c>
      <c r="V76" s="229">
        <f>Rounding!V171</f>
        <v>1747.53</v>
      </c>
      <c r="W76" s="229">
        <f>Rounding!W171</f>
        <v>5.87</v>
      </c>
      <c r="X76" s="229">
        <f>Rounding!X171</f>
        <v>462.78</v>
      </c>
      <c r="Y76" s="229">
        <f>Rounding!Y171</f>
        <v>804.31</v>
      </c>
      <c r="Z76" s="229">
        <f>Rounding!Z171</f>
        <v>1352.25</v>
      </c>
      <c r="AA76" s="229">
        <f>Rounding!AA171</f>
        <v>2937.52</v>
      </c>
      <c r="AB76" s="229">
        <f>Rounding!AB171</f>
        <v>96.91</v>
      </c>
      <c r="AC76" s="229">
        <f>Rounding!AC171</f>
        <v>2717.16</v>
      </c>
      <c r="AD76" s="229">
        <f>Rounding!AD171</f>
        <v>8042.1</v>
      </c>
      <c r="AE76" s="229">
        <f>Rounding!AE171</f>
        <v>16293.01</v>
      </c>
      <c r="AF76" s="229">
        <f>Rounding!AF171</f>
        <v>43053.82</v>
      </c>
      <c r="AG76" s="229">
        <f>Rounding!AG171</f>
        <v>0</v>
      </c>
      <c r="AH76" s="229">
        <f>Rounding!AH171</f>
        <v>0</v>
      </c>
      <c r="AI76" s="229">
        <f>Rounding!AI171</f>
        <v>0</v>
      </c>
      <c r="AJ76" s="229">
        <f>Rounding!AJ171</f>
        <v>0</v>
      </c>
      <c r="AK76" s="229">
        <f>Rounding!AK171</f>
        <v>0</v>
      </c>
      <c r="AL76" s="229">
        <f>Rounding!AL171</f>
        <v>0</v>
      </c>
      <c r="AM76" s="229">
        <f>Rounding!AM171</f>
        <v>0</v>
      </c>
      <c r="AN76" s="229">
        <f>Rounding!AN171</f>
        <v>0</v>
      </c>
      <c r="AO76" s="229">
        <f>Rounding!AO171</f>
        <v>0</v>
      </c>
    </row>
    <row r="77" spans="3:43" x14ac:dyDescent="0.25">
      <c r="C77" s="76"/>
      <c r="F77" t="s">
        <v>255</v>
      </c>
      <c r="G77" s="91" t="s">
        <v>251</v>
      </c>
      <c r="H77" s="327"/>
      <c r="J77" s="229">
        <f>Rounding!J172</f>
        <v>0</v>
      </c>
      <c r="K77" s="229">
        <f>Rounding!K172</f>
        <v>0</v>
      </c>
      <c r="L77" s="229">
        <f>Rounding!L172</f>
        <v>0</v>
      </c>
      <c r="M77" s="229">
        <f>Rounding!M172</f>
        <v>0</v>
      </c>
      <c r="N77" s="229">
        <f>Rounding!N172</f>
        <v>0</v>
      </c>
      <c r="O77" s="229">
        <f>Rounding!O172</f>
        <v>0</v>
      </c>
      <c r="P77" s="229">
        <f>Rounding!P172</f>
        <v>0</v>
      </c>
      <c r="Q77" s="229">
        <f>Rounding!Q172</f>
        <v>0</v>
      </c>
      <c r="R77" s="229">
        <f>Rounding!R172</f>
        <v>1.1599999999999999</v>
      </c>
      <c r="S77" s="229">
        <f>Rounding!S172</f>
        <v>1.1599999999999999</v>
      </c>
      <c r="T77" s="229">
        <f>Rounding!T172</f>
        <v>1.1599999999999999</v>
      </c>
      <c r="U77" s="229">
        <f>Rounding!U172</f>
        <v>1.1599999999999999</v>
      </c>
      <c r="V77" s="229">
        <f>Rounding!V172</f>
        <v>1.1599999999999999</v>
      </c>
      <c r="W77" s="229">
        <f>Rounding!W172</f>
        <v>3.6</v>
      </c>
      <c r="X77" s="229">
        <f>Rounding!X172</f>
        <v>3.6</v>
      </c>
      <c r="Y77" s="229">
        <f>Rounding!Y172</f>
        <v>3.6</v>
      </c>
      <c r="Z77" s="229">
        <f>Rounding!Z172</f>
        <v>3.6</v>
      </c>
      <c r="AA77" s="229">
        <f>Rounding!AA172</f>
        <v>3.6</v>
      </c>
      <c r="AB77" s="229">
        <f>Rounding!AB172</f>
        <v>4.54</v>
      </c>
      <c r="AC77" s="229">
        <f>Rounding!AC172</f>
        <v>4.54</v>
      </c>
      <c r="AD77" s="229">
        <f>Rounding!AD172</f>
        <v>4.54</v>
      </c>
      <c r="AE77" s="229">
        <f>Rounding!AE172</f>
        <v>4.54</v>
      </c>
      <c r="AF77" s="229">
        <f>Rounding!AF172</f>
        <v>4.54</v>
      </c>
      <c r="AG77" s="229">
        <f>Rounding!AG172</f>
        <v>0</v>
      </c>
      <c r="AH77" s="229">
        <f>Rounding!AH172</f>
        <v>0</v>
      </c>
      <c r="AI77" s="229">
        <f>Rounding!AI172</f>
        <v>0</v>
      </c>
      <c r="AJ77" s="229">
        <f>Rounding!AJ172</f>
        <v>0</v>
      </c>
      <c r="AK77" s="229">
        <f>Rounding!AK172</f>
        <v>0</v>
      </c>
      <c r="AL77" s="229">
        <f>Rounding!AL172</f>
        <v>0</v>
      </c>
      <c r="AM77" s="229">
        <f>Rounding!AM172</f>
        <v>0</v>
      </c>
      <c r="AN77" s="229">
        <f>Rounding!AN172</f>
        <v>0</v>
      </c>
      <c r="AO77" s="229">
        <f>Rounding!AO172</f>
        <v>0</v>
      </c>
    </row>
    <row r="78" spans="3:43" x14ac:dyDescent="0.25">
      <c r="C78" s="76"/>
      <c r="F78" t="s">
        <v>256</v>
      </c>
      <c r="G78" s="91" t="s">
        <v>251</v>
      </c>
      <c r="H78" s="327"/>
      <c r="J78" s="229">
        <f>Rounding!J173</f>
        <v>0</v>
      </c>
      <c r="K78" s="229">
        <f>Rounding!K173</f>
        <v>0</v>
      </c>
      <c r="L78" s="229">
        <f>Rounding!L173</f>
        <v>0</v>
      </c>
      <c r="M78" s="229">
        <f>Rounding!M173</f>
        <v>0</v>
      </c>
      <c r="N78" s="229">
        <f>Rounding!N173</f>
        <v>0</v>
      </c>
      <c r="O78" s="229">
        <f>Rounding!O173</f>
        <v>0</v>
      </c>
      <c r="P78" s="229">
        <f>Rounding!P173</f>
        <v>0</v>
      </c>
      <c r="Q78" s="229">
        <f>Rounding!Q173</f>
        <v>0</v>
      </c>
      <c r="R78" s="229">
        <f>Rounding!R173</f>
        <v>1.68</v>
      </c>
      <c r="S78" s="229">
        <f>Rounding!S173</f>
        <v>1.68</v>
      </c>
      <c r="T78" s="229">
        <f>Rounding!T173</f>
        <v>1.68</v>
      </c>
      <c r="U78" s="229">
        <f>Rounding!U173</f>
        <v>1.68</v>
      </c>
      <c r="V78" s="229">
        <f>Rounding!V173</f>
        <v>1.68</v>
      </c>
      <c r="W78" s="229">
        <f>Rounding!W173</f>
        <v>4.0999999999999996</v>
      </c>
      <c r="X78" s="229">
        <f>Rounding!X173</f>
        <v>4.0999999999999996</v>
      </c>
      <c r="Y78" s="229">
        <f>Rounding!Y173</f>
        <v>4.0999999999999996</v>
      </c>
      <c r="Z78" s="229">
        <f>Rounding!Z173</f>
        <v>4.0999999999999996</v>
      </c>
      <c r="AA78" s="229">
        <f>Rounding!AA173</f>
        <v>4.0999999999999996</v>
      </c>
      <c r="AB78" s="229">
        <f>Rounding!AB173</f>
        <v>5.59</v>
      </c>
      <c r="AC78" s="229">
        <f>Rounding!AC173</f>
        <v>5.59</v>
      </c>
      <c r="AD78" s="229">
        <f>Rounding!AD173</f>
        <v>5.59</v>
      </c>
      <c r="AE78" s="229">
        <f>Rounding!AE173</f>
        <v>5.59</v>
      </c>
      <c r="AF78" s="229">
        <f>Rounding!AF173</f>
        <v>5.59</v>
      </c>
      <c r="AG78" s="229">
        <f>Rounding!AG173</f>
        <v>0</v>
      </c>
      <c r="AH78" s="229">
        <f>Rounding!AH173</f>
        <v>0</v>
      </c>
      <c r="AI78" s="229">
        <f>Rounding!AI173</f>
        <v>0</v>
      </c>
      <c r="AJ78" s="229">
        <f>Rounding!AJ173</f>
        <v>0</v>
      </c>
      <c r="AK78" s="229">
        <f>Rounding!AK173</f>
        <v>0</v>
      </c>
      <c r="AL78" s="229">
        <f>Rounding!AL173</f>
        <v>0</v>
      </c>
      <c r="AM78" s="229">
        <f>Rounding!AM173</f>
        <v>0</v>
      </c>
      <c r="AN78" s="229">
        <f>Rounding!AN173</f>
        <v>0</v>
      </c>
      <c r="AO78" s="229">
        <f>Rounding!AO173</f>
        <v>0</v>
      </c>
    </row>
    <row r="79" spans="3:43" x14ac:dyDescent="0.25">
      <c r="C79" s="76"/>
      <c r="F79" s="17" t="s">
        <v>257</v>
      </c>
      <c r="G79" s="109" t="s">
        <v>258</v>
      </c>
      <c r="H79" s="310"/>
      <c r="I79" s="300"/>
      <c r="J79" s="310">
        <f>Rounding!J174</f>
        <v>0</v>
      </c>
      <c r="K79" s="310">
        <f>Rounding!K174</f>
        <v>0</v>
      </c>
      <c r="L79" s="310">
        <f>Rounding!L174</f>
        <v>0</v>
      </c>
      <c r="M79" s="310">
        <f>Rounding!M174</f>
        <v>0</v>
      </c>
      <c r="N79" s="310">
        <f>Rounding!N174</f>
        <v>0</v>
      </c>
      <c r="O79" s="310">
        <f>Rounding!O174</f>
        <v>0</v>
      </c>
      <c r="P79" s="310">
        <f>Rounding!P174</f>
        <v>0</v>
      </c>
      <c r="Q79" s="310">
        <f>Rounding!Q174</f>
        <v>0</v>
      </c>
      <c r="R79" s="310">
        <f>Rounding!R174</f>
        <v>5.8999999999999997E-2</v>
      </c>
      <c r="S79" s="310">
        <f>Rounding!S174</f>
        <v>5.8999999999999997E-2</v>
      </c>
      <c r="T79" s="310">
        <f>Rounding!T174</f>
        <v>5.8999999999999997E-2</v>
      </c>
      <c r="U79" s="310">
        <f>Rounding!U174</f>
        <v>5.8999999999999997E-2</v>
      </c>
      <c r="V79" s="310">
        <f>Rounding!V174</f>
        <v>5.8999999999999997E-2</v>
      </c>
      <c r="W79" s="310">
        <f>Rounding!W174</f>
        <v>0.05</v>
      </c>
      <c r="X79" s="310">
        <f>Rounding!X174</f>
        <v>0.05</v>
      </c>
      <c r="Y79" s="310">
        <f>Rounding!Y174</f>
        <v>0.05</v>
      </c>
      <c r="Z79" s="310">
        <f>Rounding!Z174</f>
        <v>0.05</v>
      </c>
      <c r="AA79" s="310">
        <f>Rounding!AA174</f>
        <v>0.05</v>
      </c>
      <c r="AB79" s="310">
        <f>Rounding!AB174</f>
        <v>3.5999999999999997E-2</v>
      </c>
      <c r="AC79" s="310">
        <f>Rounding!AC174</f>
        <v>3.5999999999999997E-2</v>
      </c>
      <c r="AD79" s="310">
        <f>Rounding!AD174</f>
        <v>3.5999999999999997E-2</v>
      </c>
      <c r="AE79" s="310">
        <f>Rounding!AE174</f>
        <v>3.5999999999999997E-2</v>
      </c>
      <c r="AF79" s="310">
        <f>Rounding!AF174</f>
        <v>3.5999999999999997E-2</v>
      </c>
      <c r="AG79" s="310">
        <f>Rounding!AG174</f>
        <v>0</v>
      </c>
      <c r="AH79" s="310">
        <f>Rounding!AH174</f>
        <v>0</v>
      </c>
      <c r="AI79" s="310">
        <f>Rounding!AI174</f>
        <v>0</v>
      </c>
      <c r="AJ79" s="310">
        <f>Rounding!AJ174</f>
        <v>0.13500000000000001</v>
      </c>
      <c r="AK79" s="310">
        <f>Rounding!AK174</f>
        <v>0</v>
      </c>
      <c r="AL79" s="310">
        <f>Rounding!AL174</f>
        <v>0.11700000000000001</v>
      </c>
      <c r="AM79" s="310">
        <f>Rounding!AM174</f>
        <v>0</v>
      </c>
      <c r="AN79" s="310">
        <f>Rounding!AN174</f>
        <v>9.6000000000000002E-2</v>
      </c>
      <c r="AO79" s="310">
        <f>Rounding!AO174</f>
        <v>0</v>
      </c>
      <c r="AP79" s="298"/>
      <c r="AQ79" s="298"/>
    </row>
    <row r="80" spans="3:43" x14ac:dyDescent="0.25">
      <c r="C80" s="76"/>
      <c r="D80" s="84"/>
      <c r="E80" s="84"/>
      <c r="G80" s="9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1"/>
    </row>
    <row r="81" spans="2:43" x14ac:dyDescent="0.25">
      <c r="C81" s="5" t="str">
        <f ca="1">INDEX('Version control'!$H$36:$H$62,MATCH($A$1,'Version control'!$F$36:$F$62,0),1)&amp;"-C: Net revenue components"</f>
        <v>Section 521-C: Net revenue components</v>
      </c>
      <c r="D81" s="5"/>
      <c r="E81" s="5"/>
      <c r="F81" s="5"/>
      <c r="G81" s="5"/>
      <c r="H81" s="5"/>
      <c r="I81" s="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  <c r="Y81" s="205"/>
      <c r="Z81" s="205"/>
      <c r="AA81" s="205"/>
      <c r="AB81" s="205"/>
      <c r="AC81" s="205"/>
      <c r="AD81" s="205"/>
      <c r="AE81" s="205"/>
      <c r="AF81" s="205"/>
      <c r="AG81" s="205"/>
      <c r="AH81" s="205"/>
      <c r="AI81" s="205"/>
      <c r="AJ81" s="205"/>
      <c r="AK81" s="205"/>
      <c r="AL81" s="205"/>
      <c r="AM81" s="205"/>
      <c r="AN81" s="205"/>
      <c r="AO81" s="205"/>
      <c r="AP81" s="5"/>
      <c r="AQ81" s="5"/>
    </row>
    <row r="82" spans="2:43" x14ac:dyDescent="0.25">
      <c r="D82" s="52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1"/>
    </row>
    <row r="83" spans="2:43" x14ac:dyDescent="0.25">
      <c r="E83" t="s">
        <v>184</v>
      </c>
      <c r="G83" s="91" t="s">
        <v>107</v>
      </c>
      <c r="H83" s="229">
        <f>'General inputs'!$H$91</f>
        <v>590490361.41500902</v>
      </c>
      <c r="J83" s="197"/>
      <c r="K83" s="197"/>
      <c r="L83" s="197"/>
      <c r="M83" s="197"/>
      <c r="N83" s="197"/>
      <c r="O83" s="197"/>
      <c r="P83" s="197"/>
      <c r="Q83" s="197"/>
      <c r="R83" s="197"/>
      <c r="S83" s="197"/>
      <c r="T83" s="197"/>
      <c r="U83" s="197"/>
      <c r="V83" s="197"/>
      <c r="W83" s="197"/>
      <c r="X83" s="197"/>
      <c r="Y83" s="197"/>
      <c r="Z83" s="197"/>
      <c r="AA83" s="197"/>
      <c r="AB83" s="197"/>
      <c r="AC83" s="197"/>
      <c r="AD83" s="197"/>
      <c r="AE83" s="197"/>
      <c r="AF83" s="197"/>
      <c r="AG83" s="197"/>
      <c r="AH83" s="197"/>
      <c r="AI83" s="197"/>
      <c r="AJ83" s="197"/>
      <c r="AK83" s="197"/>
      <c r="AL83" s="197"/>
      <c r="AM83" s="197"/>
      <c r="AN83" s="197"/>
      <c r="AO83" s="197"/>
    </row>
    <row r="84" spans="2:43" x14ac:dyDescent="0.25">
      <c r="G84" s="91"/>
      <c r="H84" s="229"/>
      <c r="J84" s="197"/>
      <c r="K84" s="197"/>
      <c r="L84" s="197"/>
      <c r="M84" s="197"/>
      <c r="N84" s="197"/>
      <c r="O84" s="197"/>
      <c r="P84" s="197"/>
      <c r="Q84" s="197"/>
      <c r="R84" s="197"/>
      <c r="S84" s="197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197"/>
      <c r="AH84" s="197"/>
      <c r="AI84" s="197"/>
      <c r="AJ84" s="197"/>
      <c r="AK84" s="197"/>
      <c r="AL84" s="197"/>
      <c r="AM84" s="197"/>
      <c r="AN84" s="197"/>
      <c r="AO84" s="197"/>
    </row>
    <row r="85" spans="2:43" x14ac:dyDescent="0.25">
      <c r="E85" t="s">
        <v>613</v>
      </c>
      <c r="G85" s="91" t="s">
        <v>107</v>
      </c>
      <c r="H85" s="229">
        <f>'Revenue matching'!H83</f>
        <v>241206195.71250156</v>
      </c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  <c r="V85" s="197"/>
      <c r="W85" s="197"/>
      <c r="X85" s="197"/>
      <c r="Y85" s="197"/>
      <c r="Z85" s="197"/>
      <c r="AA85" s="197"/>
      <c r="AB85" s="197"/>
      <c r="AC85" s="197"/>
      <c r="AD85" s="197"/>
      <c r="AE85" s="197"/>
      <c r="AF85" s="197"/>
      <c r="AG85" s="197"/>
      <c r="AH85" s="197"/>
      <c r="AI85" s="197"/>
      <c r="AJ85" s="197"/>
      <c r="AK85" s="197"/>
      <c r="AL85" s="197"/>
      <c r="AM85" s="197"/>
      <c r="AN85" s="197"/>
      <c r="AO85" s="197"/>
    </row>
    <row r="86" spans="2:43" x14ac:dyDescent="0.25">
      <c r="E86" t="s">
        <v>985</v>
      </c>
      <c r="G86" s="91" t="s">
        <v>107</v>
      </c>
      <c r="H86" s="228">
        <f>'SoLR &amp; bad debt adders'!H57</f>
        <v>3640734.8109803977</v>
      </c>
      <c r="J86" s="197"/>
      <c r="K86" s="197"/>
      <c r="L86" s="197"/>
      <c r="M86" s="197"/>
      <c r="N86" s="197"/>
      <c r="O86" s="197"/>
      <c r="P86" s="197"/>
      <c r="Q86" s="197"/>
      <c r="R86" s="197"/>
      <c r="S86" s="197"/>
      <c r="T86" s="197"/>
      <c r="U86" s="197"/>
      <c r="V86" s="197"/>
      <c r="W86" s="197"/>
      <c r="X86" s="197"/>
      <c r="Y86" s="197"/>
      <c r="Z86" s="197"/>
      <c r="AA86" s="197"/>
      <c r="AB86" s="197"/>
      <c r="AC86" s="197"/>
      <c r="AD86" s="197"/>
      <c r="AE86" s="197"/>
      <c r="AF86" s="197"/>
      <c r="AG86" s="197"/>
      <c r="AH86" s="197"/>
      <c r="AI86" s="197"/>
      <c r="AJ86" s="197"/>
      <c r="AK86" s="197"/>
      <c r="AL86" s="197"/>
      <c r="AM86" s="197"/>
      <c r="AN86" s="197"/>
      <c r="AO86" s="197"/>
    </row>
    <row r="87" spans="2:43" x14ac:dyDescent="0.25">
      <c r="E87" t="s">
        <v>986</v>
      </c>
      <c r="G87" s="91" t="s">
        <v>107</v>
      </c>
      <c r="H87" s="228">
        <f>'SoLR &amp; bad debt adders'!H61</f>
        <v>6080.3424178222458</v>
      </c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97"/>
      <c r="W87" s="197"/>
      <c r="X87" s="197"/>
      <c r="Y87" s="197"/>
      <c r="Z87" s="197"/>
      <c r="AA87" s="197"/>
      <c r="AB87" s="197"/>
      <c r="AC87" s="197"/>
      <c r="AD87" s="197"/>
      <c r="AE87" s="197"/>
      <c r="AF87" s="197"/>
      <c r="AG87" s="197"/>
      <c r="AH87" s="197"/>
      <c r="AI87" s="197"/>
      <c r="AJ87" s="197"/>
      <c r="AK87" s="197"/>
      <c r="AL87" s="197"/>
      <c r="AM87" s="197"/>
      <c r="AN87" s="197"/>
      <c r="AO87" s="197"/>
    </row>
    <row r="88" spans="2:43" x14ac:dyDescent="0.25">
      <c r="E88" t="s">
        <v>1217</v>
      </c>
      <c r="G88" s="91" t="s">
        <v>107</v>
      </c>
      <c r="H88" s="228">
        <f>'Revenue matching'!H85</f>
        <v>345637350.54910934</v>
      </c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197"/>
      <c r="AJ88" s="197"/>
      <c r="AK88" s="197"/>
      <c r="AL88" s="197"/>
      <c r="AM88" s="197"/>
      <c r="AN88" s="197"/>
      <c r="AO88" s="197"/>
    </row>
    <row r="89" spans="2:43" x14ac:dyDescent="0.25">
      <c r="D89" s="52"/>
      <c r="H89" s="211"/>
      <c r="J89" s="211"/>
      <c r="K89" s="211"/>
      <c r="L89" s="211"/>
      <c r="M89" s="211"/>
      <c r="N89" s="211"/>
      <c r="O89" s="211"/>
      <c r="P89" s="211"/>
      <c r="Q89" s="211"/>
      <c r="R89" s="211"/>
      <c r="S89" s="211"/>
      <c r="T89" s="211"/>
      <c r="U89" s="211"/>
      <c r="V89" s="211"/>
      <c r="W89" s="211"/>
      <c r="X89" s="211"/>
      <c r="Y89" s="211"/>
      <c r="Z89" s="211"/>
      <c r="AA89" s="211"/>
      <c r="AB89" s="211"/>
      <c r="AC89" s="211"/>
      <c r="AD89" s="211"/>
      <c r="AE89" s="211"/>
      <c r="AF89" s="211"/>
      <c r="AG89" s="211"/>
      <c r="AH89" s="211"/>
      <c r="AI89" s="211"/>
      <c r="AJ89" s="211"/>
      <c r="AK89" s="211"/>
      <c r="AL89" s="211"/>
      <c r="AM89" s="211"/>
      <c r="AN89" s="211"/>
      <c r="AO89" s="211"/>
    </row>
    <row r="90" spans="2:43" x14ac:dyDescent="0.25">
      <c r="B90" s="82" t="s">
        <v>483</v>
      </c>
      <c r="C90" s="82"/>
      <c r="D90" s="82"/>
      <c r="E90" s="82"/>
      <c r="F90" s="82"/>
      <c r="G90" s="82"/>
      <c r="H90" s="236"/>
      <c r="I90" s="82"/>
      <c r="J90" s="236"/>
      <c r="K90" s="236"/>
      <c r="L90" s="236"/>
      <c r="M90" s="236"/>
      <c r="N90" s="236"/>
      <c r="O90" s="236"/>
      <c r="P90" s="236"/>
      <c r="Q90" s="236"/>
      <c r="R90" s="236"/>
      <c r="S90" s="236"/>
      <c r="T90" s="236"/>
      <c r="U90" s="236"/>
      <c r="V90" s="236"/>
      <c r="W90" s="236"/>
      <c r="X90" s="236"/>
      <c r="Y90" s="236"/>
      <c r="Z90" s="236"/>
      <c r="AA90" s="236"/>
      <c r="AB90" s="236"/>
      <c r="AC90" s="236"/>
      <c r="AD90" s="236"/>
      <c r="AE90" s="236"/>
      <c r="AF90" s="236"/>
      <c r="AG90" s="236"/>
      <c r="AH90" s="236"/>
      <c r="AI90" s="236"/>
      <c r="AJ90" s="236"/>
      <c r="AK90" s="236"/>
      <c r="AL90" s="236"/>
      <c r="AM90" s="236"/>
      <c r="AN90" s="236"/>
      <c r="AO90" s="236"/>
      <c r="AP90" s="82"/>
      <c r="AQ90" s="82"/>
    </row>
    <row r="91" spans="2:43" x14ac:dyDescent="0.25">
      <c r="D91" s="84"/>
      <c r="E91" s="84"/>
      <c r="H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211"/>
      <c r="AI91" s="211"/>
      <c r="AJ91" s="211"/>
      <c r="AK91" s="211"/>
      <c r="AL91" s="211"/>
      <c r="AM91" s="211"/>
      <c r="AN91" s="211"/>
      <c r="AO91" s="211"/>
    </row>
    <row r="92" spans="2:43" x14ac:dyDescent="0.25">
      <c r="C92" s="5" t="str">
        <f ca="1">INDEX('Version control'!$H$36:$H$62,MATCH($A$1,'Version control'!$F$36:$F$62,0),1)&amp;"-D: Net revenue by tariff"</f>
        <v>Section 521-D: Net revenue by tariff</v>
      </c>
      <c r="D92" s="5"/>
      <c r="E92" s="5"/>
      <c r="F92" s="5"/>
      <c r="G92" s="5"/>
      <c r="H92" s="205"/>
      <c r="I92" s="5"/>
      <c r="J92" s="205"/>
      <c r="K92" s="205"/>
      <c r="L92" s="205"/>
      <c r="M92" s="205"/>
      <c r="N92" s="205"/>
      <c r="O92" s="205"/>
      <c r="P92" s="205"/>
      <c r="Q92" s="205"/>
      <c r="R92" s="205"/>
      <c r="S92" s="205"/>
      <c r="T92" s="205"/>
      <c r="U92" s="205"/>
      <c r="V92" s="205"/>
      <c r="W92" s="205"/>
      <c r="X92" s="205"/>
      <c r="Y92" s="205"/>
      <c r="Z92" s="205"/>
      <c r="AA92" s="205"/>
      <c r="AB92" s="205"/>
      <c r="AC92" s="205"/>
      <c r="AD92" s="205"/>
      <c r="AE92" s="205"/>
      <c r="AF92" s="205"/>
      <c r="AG92" s="205"/>
      <c r="AH92" s="205"/>
      <c r="AI92" s="205"/>
      <c r="AJ92" s="205"/>
      <c r="AK92" s="205"/>
      <c r="AL92" s="205"/>
      <c r="AM92" s="205"/>
      <c r="AN92" s="205"/>
      <c r="AO92" s="205"/>
      <c r="AP92" s="5"/>
      <c r="AQ92" s="5"/>
    </row>
    <row r="93" spans="2:43" x14ac:dyDescent="0.25">
      <c r="F93" s="19"/>
      <c r="G93" s="140"/>
      <c r="H93" s="232"/>
      <c r="I93" s="19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</row>
    <row r="94" spans="2:43" x14ac:dyDescent="0.25">
      <c r="E94" s="52" t="s">
        <v>903</v>
      </c>
      <c r="G94" s="91"/>
      <c r="H94" s="240" t="s">
        <v>215</v>
      </c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211"/>
      <c r="AI94" s="211"/>
      <c r="AJ94" s="211"/>
      <c r="AK94" s="211"/>
      <c r="AL94" s="211"/>
      <c r="AM94" s="211"/>
      <c r="AN94" s="211"/>
      <c r="AO94" s="211"/>
    </row>
    <row r="95" spans="2:43" x14ac:dyDescent="0.25">
      <c r="E95" s="12"/>
      <c r="F95" s="80" t="s">
        <v>134</v>
      </c>
      <c r="G95" s="108" t="s">
        <v>107</v>
      </c>
      <c r="H95" s="224">
        <f t="shared" ref="H95:H101" si="0">SUM(J95:AO95)</f>
        <v>102186203.85024203</v>
      </c>
      <c r="I95" s="80"/>
      <c r="J95" s="224">
        <f t="shared" ref="J95:AO95" si="1">J22 * thousand * J55 / hundred</f>
        <v>57325238.787982352</v>
      </c>
      <c r="K95" s="224">
        <f t="shared" si="1"/>
        <v>54128.743517389732</v>
      </c>
      <c r="L95" s="224">
        <f t="shared" si="1"/>
        <v>1748.9631610135955</v>
      </c>
      <c r="M95" s="224">
        <f t="shared" si="1"/>
        <v>1666620.732537969</v>
      </c>
      <c r="N95" s="224">
        <f t="shared" si="1"/>
        <v>3011142.2534528393</v>
      </c>
      <c r="O95" s="224">
        <f t="shared" si="1"/>
        <v>3749329.0596084166</v>
      </c>
      <c r="P95" s="224">
        <f t="shared" si="1"/>
        <v>11328229.645240743</v>
      </c>
      <c r="Q95" s="224">
        <f t="shared" si="1"/>
        <v>59759.568636778335</v>
      </c>
      <c r="R95" s="224">
        <f t="shared" si="1"/>
        <v>895.86922536614179</v>
      </c>
      <c r="S95" s="224">
        <f t="shared" si="1"/>
        <v>3315690.501945293</v>
      </c>
      <c r="T95" s="224">
        <f t="shared" si="1"/>
        <v>4753940.4925080612</v>
      </c>
      <c r="U95" s="224">
        <f t="shared" si="1"/>
        <v>2670759.0900508799</v>
      </c>
      <c r="V95" s="224">
        <f t="shared" si="1"/>
        <v>6587260.9029643973</v>
      </c>
      <c r="W95" s="224">
        <f t="shared" si="1"/>
        <v>4.505215793510807</v>
      </c>
      <c r="X95" s="224">
        <f t="shared" si="1"/>
        <v>5768.6816347594386</v>
      </c>
      <c r="Y95" s="224">
        <f t="shared" si="1"/>
        <v>25931.348318537493</v>
      </c>
      <c r="Z95" s="224">
        <f t="shared" si="1"/>
        <v>87023.581533030694</v>
      </c>
      <c r="AA95" s="224">
        <f t="shared" si="1"/>
        <v>904393.63585787895</v>
      </c>
      <c r="AB95" s="224">
        <f t="shared" si="1"/>
        <v>8747.6932095913598</v>
      </c>
      <c r="AC95" s="224">
        <f t="shared" si="1"/>
        <v>485742.37982537528</v>
      </c>
      <c r="AD95" s="224">
        <f t="shared" si="1"/>
        <v>1672538.0118554521</v>
      </c>
      <c r="AE95" s="224">
        <f t="shared" si="1"/>
        <v>1505837.5696648406</v>
      </c>
      <c r="AF95" s="224">
        <f t="shared" si="1"/>
        <v>4750399.3121921867</v>
      </c>
      <c r="AG95" s="224">
        <f t="shared" si="1"/>
        <v>2820848.4230825519</v>
      </c>
      <c r="AH95" s="224">
        <f t="shared" si="1"/>
        <v>-60804.166699425354</v>
      </c>
      <c r="AI95" s="224">
        <f t="shared" si="1"/>
        <v>-657.75248000000011</v>
      </c>
      <c r="AJ95" s="224">
        <f t="shared" si="1"/>
        <v>-381237.48479999998</v>
      </c>
      <c r="AK95" s="224">
        <f t="shared" si="1"/>
        <v>0</v>
      </c>
      <c r="AL95" s="224">
        <f t="shared" si="1"/>
        <v>-3573.13292</v>
      </c>
      <c r="AM95" s="224">
        <f t="shared" si="1"/>
        <v>0</v>
      </c>
      <c r="AN95" s="224">
        <f t="shared" si="1"/>
        <v>-4159503.3660799991</v>
      </c>
      <c r="AO95" s="224">
        <f t="shared" si="1"/>
        <v>0</v>
      </c>
    </row>
    <row r="96" spans="2:43" x14ac:dyDescent="0.25">
      <c r="E96" s="12"/>
      <c r="F96" t="s">
        <v>135</v>
      </c>
      <c r="G96" s="91" t="s">
        <v>107</v>
      </c>
      <c r="H96" s="231">
        <f t="shared" si="0"/>
        <v>48024981.772690736</v>
      </c>
      <c r="J96" s="231">
        <f t="shared" ref="J96:AO96" si="2">J23 * thousand * J56 / hundred</f>
        <v>22650555.990306582</v>
      </c>
      <c r="K96" s="231">
        <f t="shared" si="2"/>
        <v>169242.86816307378</v>
      </c>
      <c r="L96" s="231">
        <f t="shared" si="2"/>
        <v>1032.3973528022395</v>
      </c>
      <c r="M96" s="231">
        <f t="shared" si="2"/>
        <v>983791.35178602743</v>
      </c>
      <c r="N96" s="231">
        <f t="shared" si="2"/>
        <v>1777450.412148227</v>
      </c>
      <c r="O96" s="231">
        <f t="shared" si="2"/>
        <v>2213195.4990298101</v>
      </c>
      <c r="P96" s="231">
        <f t="shared" si="2"/>
        <v>6686952.9092336809</v>
      </c>
      <c r="Q96" s="231">
        <f t="shared" si="2"/>
        <v>102033.51925548387</v>
      </c>
      <c r="R96" s="231">
        <f t="shared" si="2"/>
        <v>466.95043726299883</v>
      </c>
      <c r="S96" s="231">
        <f t="shared" si="2"/>
        <v>1728224.4839690207</v>
      </c>
      <c r="T96" s="231">
        <f t="shared" si="2"/>
        <v>2477877.9411600623</v>
      </c>
      <c r="U96" s="231">
        <f t="shared" si="2"/>
        <v>1392069.3887142877</v>
      </c>
      <c r="V96" s="231">
        <f t="shared" si="2"/>
        <v>3433452.4190710443</v>
      </c>
      <c r="W96" s="231">
        <f t="shared" si="2"/>
        <v>1.8841399369006604</v>
      </c>
      <c r="X96" s="231">
        <f t="shared" si="2"/>
        <v>2412.5378116118368</v>
      </c>
      <c r="Y96" s="231">
        <f t="shared" si="2"/>
        <v>10844.8276894999</v>
      </c>
      <c r="Z96" s="231">
        <f t="shared" si="2"/>
        <v>36394.395503692453</v>
      </c>
      <c r="AA96" s="231">
        <f t="shared" si="2"/>
        <v>378229.20057525882</v>
      </c>
      <c r="AB96" s="231">
        <f t="shared" si="2"/>
        <v>3218.1895017539814</v>
      </c>
      <c r="AC96" s="231">
        <f t="shared" si="2"/>
        <v>178699.80003380132</v>
      </c>
      <c r="AD96" s="231">
        <f t="shared" si="2"/>
        <v>615310.13286291645</v>
      </c>
      <c r="AE96" s="231">
        <f t="shared" si="2"/>
        <v>553982.69485819084</v>
      </c>
      <c r="AF96" s="231">
        <f t="shared" si="2"/>
        <v>1747624.7542465404</v>
      </c>
      <c r="AG96" s="231">
        <f t="shared" si="2"/>
        <v>2471312.7291690018</v>
      </c>
      <c r="AH96" s="231">
        <f t="shared" si="2"/>
        <v>-44998.60274885023</v>
      </c>
      <c r="AI96" s="231">
        <f t="shared" si="2"/>
        <v>-312.92165</v>
      </c>
      <c r="AJ96" s="231">
        <f t="shared" si="2"/>
        <v>-198439.995</v>
      </c>
      <c r="AK96" s="231">
        <f t="shared" si="2"/>
        <v>0</v>
      </c>
      <c r="AL96" s="231">
        <f t="shared" si="2"/>
        <v>-1984.2479999999998</v>
      </c>
      <c r="AM96" s="231">
        <f t="shared" si="2"/>
        <v>0</v>
      </c>
      <c r="AN96" s="231">
        <f t="shared" si="2"/>
        <v>-1343659.7369299999</v>
      </c>
      <c r="AO96" s="231">
        <f t="shared" si="2"/>
        <v>0</v>
      </c>
    </row>
    <row r="97" spans="5:41" x14ac:dyDescent="0.25">
      <c r="E97" s="12"/>
      <c r="F97" t="s">
        <v>136</v>
      </c>
      <c r="G97" s="91" t="s">
        <v>107</v>
      </c>
      <c r="H97" s="231">
        <f t="shared" si="0"/>
        <v>5118199.7347225463</v>
      </c>
      <c r="J97" s="231">
        <f t="shared" ref="J97:AO97" si="3">J24 * thousand * J57 / hundred</f>
        <v>383723.03246133507</v>
      </c>
      <c r="K97" s="231">
        <f t="shared" si="3"/>
        <v>29171.113662214986</v>
      </c>
      <c r="L97" s="231">
        <f t="shared" si="3"/>
        <v>15.163567289181303</v>
      </c>
      <c r="M97" s="231">
        <f t="shared" si="3"/>
        <v>14449.655765612595</v>
      </c>
      <c r="N97" s="231">
        <f t="shared" si="3"/>
        <v>26106.700927346872</v>
      </c>
      <c r="O97" s="231">
        <f t="shared" si="3"/>
        <v>32506.804461053558</v>
      </c>
      <c r="P97" s="231">
        <f t="shared" si="3"/>
        <v>98216.118167609107</v>
      </c>
      <c r="Q97" s="231">
        <f t="shared" si="3"/>
        <v>7528.636071586021</v>
      </c>
      <c r="R97" s="231">
        <f t="shared" si="3"/>
        <v>7.3681128691432773</v>
      </c>
      <c r="S97" s="231">
        <f t="shared" si="3"/>
        <v>27270.031345807809</v>
      </c>
      <c r="T97" s="231">
        <f t="shared" si="3"/>
        <v>39098.976870953695</v>
      </c>
      <c r="U97" s="231">
        <f t="shared" si="3"/>
        <v>21965.76672643565</v>
      </c>
      <c r="V97" s="231">
        <f t="shared" si="3"/>
        <v>54177.195127670355</v>
      </c>
      <c r="W97" s="231">
        <f t="shared" si="3"/>
        <v>3.1087720689176292E-2</v>
      </c>
      <c r="X97" s="231">
        <f t="shared" si="3"/>
        <v>39.806120644540918</v>
      </c>
      <c r="Y97" s="231">
        <f t="shared" si="3"/>
        <v>178.93627088442395</v>
      </c>
      <c r="Z97" s="231">
        <f t="shared" si="3"/>
        <v>600.49616268489387</v>
      </c>
      <c r="AA97" s="231">
        <f t="shared" si="3"/>
        <v>6240.6637180654534</v>
      </c>
      <c r="AB97" s="231">
        <f t="shared" si="3"/>
        <v>46.391539283363279</v>
      </c>
      <c r="AC97" s="231">
        <f t="shared" si="3"/>
        <v>2576.0318926772165</v>
      </c>
      <c r="AD97" s="231">
        <f t="shared" si="3"/>
        <v>8869.9513141173757</v>
      </c>
      <c r="AE97" s="231">
        <f t="shared" si="3"/>
        <v>7985.8908050039072</v>
      </c>
      <c r="AF97" s="231">
        <f t="shared" si="3"/>
        <v>25192.737219178322</v>
      </c>
      <c r="AG97" s="231">
        <f t="shared" si="3"/>
        <v>4360942.12775518</v>
      </c>
      <c r="AH97" s="231">
        <f t="shared" si="3"/>
        <v>-348.64423067732446</v>
      </c>
      <c r="AI97" s="231">
        <f t="shared" si="3"/>
        <v>-4.9615499999999999</v>
      </c>
      <c r="AJ97" s="231">
        <f t="shared" si="3"/>
        <v>-3862.7845100000004</v>
      </c>
      <c r="AK97" s="231">
        <f t="shared" si="3"/>
        <v>0</v>
      </c>
      <c r="AL97" s="231">
        <f t="shared" si="3"/>
        <v>-30.288939999999997</v>
      </c>
      <c r="AM97" s="231">
        <f t="shared" si="3"/>
        <v>0</v>
      </c>
      <c r="AN97" s="231">
        <f t="shared" si="3"/>
        <v>-24463.213199999998</v>
      </c>
      <c r="AO97" s="231">
        <f t="shared" si="3"/>
        <v>0</v>
      </c>
    </row>
    <row r="98" spans="5:41" x14ac:dyDescent="0.25">
      <c r="E98" s="12"/>
      <c r="F98" s="80" t="s">
        <v>254</v>
      </c>
      <c r="G98" s="108" t="s">
        <v>107</v>
      </c>
      <c r="H98" s="224">
        <f t="shared" si="0"/>
        <v>370163918.27450007</v>
      </c>
      <c r="I98" s="80"/>
      <c r="J98" s="224">
        <f t="shared" ref="J98:AO98" si="4" xml:space="preserve"> J25 * J58 * days_in_year / hundred</f>
        <v>171521008.48800001</v>
      </c>
      <c r="K98" s="224">
        <f t="shared" si="4"/>
        <v>0</v>
      </c>
      <c r="L98" s="224">
        <f t="shared" si="4"/>
        <v>1379.7</v>
      </c>
      <c r="M98" s="224">
        <f t="shared" si="4"/>
        <v>5399004.1529999999</v>
      </c>
      <c r="N98" s="224">
        <f t="shared" si="4"/>
        <v>8664369.0875000004</v>
      </c>
      <c r="O98" s="224">
        <f t="shared" si="4"/>
        <v>10210184.091499999</v>
      </c>
      <c r="P98" s="224">
        <f t="shared" si="4"/>
        <v>29898062.317499995</v>
      </c>
      <c r="Q98" s="224">
        <f t="shared" si="4"/>
        <v>0</v>
      </c>
      <c r="R98" s="224">
        <f t="shared" si="4"/>
        <v>1845.7319999999997</v>
      </c>
      <c r="S98" s="224">
        <f t="shared" si="4"/>
        <v>11777942.202</v>
      </c>
      <c r="T98" s="224">
        <f t="shared" si="4"/>
        <v>16692937.959000001</v>
      </c>
      <c r="U98" s="224">
        <f t="shared" si="4"/>
        <v>9458123.5645000003</v>
      </c>
      <c r="V98" s="224">
        <f t="shared" si="4"/>
        <v>25267579.096500002</v>
      </c>
      <c r="W98" s="224">
        <f t="shared" si="4"/>
        <v>31.754999999999995</v>
      </c>
      <c r="X98" s="224">
        <f t="shared" si="4"/>
        <v>25473.35</v>
      </c>
      <c r="Y98" s="224">
        <f t="shared" si="4"/>
        <v>106263.17999999998</v>
      </c>
      <c r="Z98" s="224">
        <f t="shared" si="4"/>
        <v>305218.65749999997</v>
      </c>
      <c r="AA98" s="224">
        <f t="shared" si="4"/>
        <v>3266791.9750000001</v>
      </c>
      <c r="AB98" s="224">
        <f t="shared" si="4"/>
        <v>61802.639500000005</v>
      </c>
      <c r="AC98" s="224">
        <f t="shared" si="4"/>
        <v>4641599.7340000002</v>
      </c>
      <c r="AD98" s="224">
        <f t="shared" si="4"/>
        <v>15551971.902999999</v>
      </c>
      <c r="AE98" s="224">
        <f t="shared" si="4"/>
        <v>13838449.1445</v>
      </c>
      <c r="AF98" s="224">
        <f t="shared" si="4"/>
        <v>43385540.310000002</v>
      </c>
      <c r="AG98" s="224">
        <f t="shared" si="4"/>
        <v>0</v>
      </c>
      <c r="AH98" s="224">
        <f t="shared" si="4"/>
        <v>0</v>
      </c>
      <c r="AI98" s="224">
        <f t="shared" si="4"/>
        <v>0</v>
      </c>
      <c r="AJ98" s="224">
        <f t="shared" si="4"/>
        <v>0</v>
      </c>
      <c r="AK98" s="224">
        <f t="shared" si="4"/>
        <v>0</v>
      </c>
      <c r="AL98" s="224">
        <f t="shared" si="4"/>
        <v>0</v>
      </c>
      <c r="AM98" s="224">
        <f t="shared" si="4"/>
        <v>0</v>
      </c>
      <c r="AN98" s="224">
        <f t="shared" si="4"/>
        <v>88339.234500000006</v>
      </c>
      <c r="AO98" s="224">
        <f t="shared" si="4"/>
        <v>0</v>
      </c>
    </row>
    <row r="99" spans="5:41" x14ac:dyDescent="0.25">
      <c r="E99" s="12"/>
      <c r="F99" t="s">
        <v>255</v>
      </c>
      <c r="G99" s="91" t="s">
        <v>107</v>
      </c>
      <c r="H99" s="231">
        <f t="shared" si="0"/>
        <v>47215992.586999997</v>
      </c>
      <c r="J99" s="231">
        <f t="shared" ref="J99:AO99" si="5" xml:space="preserve"> J26 * J59 * days_in_year / hundred</f>
        <v>0</v>
      </c>
      <c r="K99" s="231">
        <f t="shared" si="5"/>
        <v>0</v>
      </c>
      <c r="L99" s="231">
        <f t="shared" si="5"/>
        <v>0</v>
      </c>
      <c r="M99" s="231">
        <f t="shared" si="5"/>
        <v>0</v>
      </c>
      <c r="N99" s="231">
        <f t="shared" si="5"/>
        <v>0</v>
      </c>
      <c r="O99" s="231">
        <f t="shared" si="5"/>
        <v>0</v>
      </c>
      <c r="P99" s="231">
        <f t="shared" si="5"/>
        <v>0</v>
      </c>
      <c r="Q99" s="231">
        <f t="shared" si="5"/>
        <v>0</v>
      </c>
      <c r="R99" s="231">
        <f t="shared" si="5"/>
        <v>10215.912</v>
      </c>
      <c r="S99" s="231">
        <f t="shared" si="5"/>
        <v>2721692.7989999996</v>
      </c>
      <c r="T99" s="231">
        <f t="shared" si="5"/>
        <v>4507213.1579999998</v>
      </c>
      <c r="U99" s="231">
        <f t="shared" si="5"/>
        <v>2547056.5049999999</v>
      </c>
      <c r="V99" s="231">
        <f t="shared" si="5"/>
        <v>6531981.1619999995</v>
      </c>
      <c r="W99" s="231">
        <f t="shared" si="5"/>
        <v>158.26400000000001</v>
      </c>
      <c r="X99" s="231">
        <f t="shared" si="5"/>
        <v>9021.0480000000007</v>
      </c>
      <c r="Y99" s="231">
        <f t="shared" si="5"/>
        <v>60357.932999999997</v>
      </c>
      <c r="Z99" s="231">
        <f t="shared" si="5"/>
        <v>153140.20300000001</v>
      </c>
      <c r="AA99" s="231">
        <f t="shared" si="5"/>
        <v>1931612.1200000003</v>
      </c>
      <c r="AB99" s="231">
        <f t="shared" si="5"/>
        <v>167263.878</v>
      </c>
      <c r="AC99" s="231">
        <f t="shared" si="5"/>
        <v>1560831.7244999998</v>
      </c>
      <c r="AD99" s="231">
        <f t="shared" si="5"/>
        <v>6051352.5929999994</v>
      </c>
      <c r="AE99" s="231">
        <f t="shared" si="5"/>
        <v>5219609.2079999996</v>
      </c>
      <c r="AF99" s="231">
        <f t="shared" si="5"/>
        <v>15744486.079500001</v>
      </c>
      <c r="AG99" s="231">
        <f t="shared" si="5"/>
        <v>0</v>
      </c>
      <c r="AH99" s="231">
        <f t="shared" si="5"/>
        <v>0</v>
      </c>
      <c r="AI99" s="231">
        <f t="shared" si="5"/>
        <v>0</v>
      </c>
      <c r="AJ99" s="231">
        <f t="shared" si="5"/>
        <v>0</v>
      </c>
      <c r="AK99" s="231">
        <f t="shared" si="5"/>
        <v>0</v>
      </c>
      <c r="AL99" s="231">
        <f t="shared" si="5"/>
        <v>0</v>
      </c>
      <c r="AM99" s="231">
        <f t="shared" si="5"/>
        <v>0</v>
      </c>
      <c r="AN99" s="231">
        <f t="shared" si="5"/>
        <v>0</v>
      </c>
      <c r="AO99" s="231">
        <f t="shared" si="5"/>
        <v>0</v>
      </c>
    </row>
    <row r="100" spans="5:41" x14ac:dyDescent="0.25">
      <c r="E100" s="12"/>
      <c r="F100" t="s">
        <v>256</v>
      </c>
      <c r="G100" s="91" t="s">
        <v>107</v>
      </c>
      <c r="H100" s="231">
        <f t="shared" si="0"/>
        <v>750044.01149999979</v>
      </c>
      <c r="J100" s="231">
        <f t="shared" ref="J100:AO100" si="6" xml:space="preserve"> J27 * J60 * days_in_year / hundred</f>
        <v>0</v>
      </c>
      <c r="K100" s="231">
        <f t="shared" si="6"/>
        <v>0</v>
      </c>
      <c r="L100" s="231">
        <f t="shared" si="6"/>
        <v>0</v>
      </c>
      <c r="M100" s="231">
        <f t="shared" si="6"/>
        <v>0</v>
      </c>
      <c r="N100" s="231">
        <f t="shared" si="6"/>
        <v>0</v>
      </c>
      <c r="O100" s="231">
        <f t="shared" si="6"/>
        <v>0</v>
      </c>
      <c r="P100" s="231">
        <f t="shared" si="6"/>
        <v>0</v>
      </c>
      <c r="Q100" s="231">
        <f t="shared" si="6"/>
        <v>0</v>
      </c>
      <c r="R100" s="231">
        <f t="shared" si="6"/>
        <v>654.59099999999989</v>
      </c>
      <c r="S100" s="231">
        <f t="shared" si="6"/>
        <v>190782.10549999998</v>
      </c>
      <c r="T100" s="231">
        <f t="shared" si="6"/>
        <v>108630.935</v>
      </c>
      <c r="U100" s="231">
        <f t="shared" si="6"/>
        <v>20822.227999999999</v>
      </c>
      <c r="V100" s="231">
        <f t="shared" si="6"/>
        <v>24827.701499999999</v>
      </c>
      <c r="W100" s="231">
        <f t="shared" si="6"/>
        <v>112.785</v>
      </c>
      <c r="X100" s="231">
        <f t="shared" si="6"/>
        <v>6812.213999999999</v>
      </c>
      <c r="Y100" s="231">
        <f t="shared" si="6"/>
        <v>4263.2730000000001</v>
      </c>
      <c r="Z100" s="231">
        <f t="shared" si="6"/>
        <v>3248.2080000000001</v>
      </c>
      <c r="AA100" s="231">
        <f t="shared" si="6"/>
        <v>7195.6829999999991</v>
      </c>
      <c r="AB100" s="231">
        <f t="shared" si="6"/>
        <v>19959.659999999996</v>
      </c>
      <c r="AC100" s="231">
        <f t="shared" si="6"/>
        <v>156833.565</v>
      </c>
      <c r="AD100" s="231">
        <f t="shared" si="6"/>
        <v>55613.407500000001</v>
      </c>
      <c r="AE100" s="231">
        <f t="shared" si="6"/>
        <v>45284.82</v>
      </c>
      <c r="AF100" s="231">
        <f t="shared" si="6"/>
        <v>105002.83500000001</v>
      </c>
      <c r="AG100" s="231">
        <f t="shared" si="6"/>
        <v>0</v>
      </c>
      <c r="AH100" s="231">
        <f t="shared" si="6"/>
        <v>0</v>
      </c>
      <c r="AI100" s="231">
        <f t="shared" si="6"/>
        <v>0</v>
      </c>
      <c r="AJ100" s="231">
        <f t="shared" si="6"/>
        <v>0</v>
      </c>
      <c r="AK100" s="231">
        <f t="shared" si="6"/>
        <v>0</v>
      </c>
      <c r="AL100" s="231">
        <f t="shared" si="6"/>
        <v>0</v>
      </c>
      <c r="AM100" s="231">
        <f t="shared" si="6"/>
        <v>0</v>
      </c>
      <c r="AN100" s="231">
        <f t="shared" si="6"/>
        <v>0</v>
      </c>
      <c r="AO100" s="231">
        <f t="shared" si="6"/>
        <v>0</v>
      </c>
    </row>
    <row r="101" spans="5:41" x14ac:dyDescent="0.25">
      <c r="E101" s="12"/>
      <c r="F101" s="80" t="s">
        <v>257</v>
      </c>
      <c r="G101" s="108" t="s">
        <v>107</v>
      </c>
      <c r="H101" s="224">
        <f t="shared" si="0"/>
        <v>493921.85687999992</v>
      </c>
      <c r="I101" s="80"/>
      <c r="J101" s="224">
        <f t="shared" ref="J101:AO101" si="7">J28 * thousand * J61 / hundred</f>
        <v>0</v>
      </c>
      <c r="K101" s="224">
        <f t="shared" si="7"/>
        <v>0</v>
      </c>
      <c r="L101" s="224">
        <f t="shared" si="7"/>
        <v>0</v>
      </c>
      <c r="M101" s="224">
        <f t="shared" si="7"/>
        <v>0</v>
      </c>
      <c r="N101" s="224">
        <f t="shared" si="7"/>
        <v>0</v>
      </c>
      <c r="O101" s="224">
        <f t="shared" si="7"/>
        <v>0</v>
      </c>
      <c r="P101" s="224">
        <f t="shared" si="7"/>
        <v>0</v>
      </c>
      <c r="Q101" s="224">
        <f t="shared" si="7"/>
        <v>0</v>
      </c>
      <c r="R101" s="224">
        <f t="shared" si="7"/>
        <v>95.44195000000002</v>
      </c>
      <c r="S101" s="224">
        <f t="shared" si="7"/>
        <v>71738.140469999998</v>
      </c>
      <c r="T101" s="224">
        <f t="shared" si="7"/>
        <v>90113.568449999992</v>
      </c>
      <c r="U101" s="224">
        <f t="shared" si="7"/>
        <v>47974.753290000001</v>
      </c>
      <c r="V101" s="224">
        <f t="shared" si="7"/>
        <v>127466.69581999998</v>
      </c>
      <c r="W101" s="224">
        <f t="shared" si="7"/>
        <v>1.6859999999999999</v>
      </c>
      <c r="X101" s="224">
        <f t="shared" si="7"/>
        <v>376.74374999999998</v>
      </c>
      <c r="Y101" s="224">
        <f t="shared" si="7"/>
        <v>458.68424999999996</v>
      </c>
      <c r="Z101" s="224">
        <f t="shared" si="7"/>
        <v>1344.7019999999998</v>
      </c>
      <c r="AA101" s="224">
        <f t="shared" si="7"/>
        <v>12873.170249999999</v>
      </c>
      <c r="AB101" s="224">
        <f t="shared" si="7"/>
        <v>582.33696000000009</v>
      </c>
      <c r="AC101" s="224">
        <f t="shared" si="7"/>
        <v>11670.24048</v>
      </c>
      <c r="AD101" s="224">
        <f t="shared" si="7"/>
        <v>18613.01136</v>
      </c>
      <c r="AE101" s="224">
        <f t="shared" si="7"/>
        <v>16334.591999999999</v>
      </c>
      <c r="AF101" s="224">
        <f t="shared" si="7"/>
        <v>66966.985920000006</v>
      </c>
      <c r="AG101" s="224">
        <f t="shared" si="7"/>
        <v>0</v>
      </c>
      <c r="AH101" s="224">
        <f t="shared" si="7"/>
        <v>0</v>
      </c>
      <c r="AI101" s="224">
        <f t="shared" si="7"/>
        <v>0</v>
      </c>
      <c r="AJ101" s="224">
        <f t="shared" si="7"/>
        <v>7261.8147000000008</v>
      </c>
      <c r="AK101" s="224">
        <f t="shared" si="7"/>
        <v>0</v>
      </c>
      <c r="AL101" s="224">
        <f t="shared" si="7"/>
        <v>184.03514999999999</v>
      </c>
      <c r="AM101" s="224">
        <f t="shared" si="7"/>
        <v>0</v>
      </c>
      <c r="AN101" s="224">
        <f t="shared" si="7"/>
        <v>19865.254079999999</v>
      </c>
      <c r="AO101" s="224">
        <f t="shared" si="7"/>
        <v>0</v>
      </c>
    </row>
    <row r="102" spans="5:41" x14ac:dyDescent="0.25">
      <c r="E102" s="12"/>
      <c r="F102" s="66" t="s">
        <v>111</v>
      </c>
      <c r="G102" s="141" t="s">
        <v>107</v>
      </c>
      <c r="H102" s="227">
        <f>SUM(H95:H101)</f>
        <v>573953262.08753538</v>
      </c>
      <c r="I102" s="155"/>
      <c r="J102" s="227">
        <f t="shared" ref="J102:AO102" si="8">SUM(J95:J101)</f>
        <v>251880526.29875028</v>
      </c>
      <c r="K102" s="227">
        <f t="shared" si="8"/>
        <v>252542.72534267849</v>
      </c>
      <c r="L102" s="227">
        <f t="shared" si="8"/>
        <v>4176.224081105016</v>
      </c>
      <c r="M102" s="227">
        <f t="shared" si="8"/>
        <v>8063865.8930896092</v>
      </c>
      <c r="N102" s="227">
        <f t="shared" si="8"/>
        <v>13479068.454028413</v>
      </c>
      <c r="O102" s="227">
        <f t="shared" si="8"/>
        <v>16205215.45459928</v>
      </c>
      <c r="P102" s="227">
        <f t="shared" si="8"/>
        <v>48011460.990142033</v>
      </c>
      <c r="Q102" s="227">
        <f t="shared" si="8"/>
        <v>169321.72396384823</v>
      </c>
      <c r="R102" s="227">
        <f t="shared" si="8"/>
        <v>14181.864725498284</v>
      </c>
      <c r="S102" s="227">
        <f t="shared" si="8"/>
        <v>19833340.264230125</v>
      </c>
      <c r="T102" s="227">
        <f t="shared" si="8"/>
        <v>28669813.030989077</v>
      </c>
      <c r="U102" s="227">
        <f t="shared" si="8"/>
        <v>16158771.296281604</v>
      </c>
      <c r="V102" s="227">
        <f t="shared" si="8"/>
        <v>42026745.17298311</v>
      </c>
      <c r="W102" s="227">
        <f t="shared" si="8"/>
        <v>310.91044345110066</v>
      </c>
      <c r="X102" s="227">
        <f t="shared" si="8"/>
        <v>49904.381317015817</v>
      </c>
      <c r="Y102" s="227">
        <f t="shared" si="8"/>
        <v>208298.18252892178</v>
      </c>
      <c r="Z102" s="227">
        <f t="shared" si="8"/>
        <v>586970.24369940802</v>
      </c>
      <c r="AA102" s="227">
        <f t="shared" si="8"/>
        <v>6507336.4484012043</v>
      </c>
      <c r="AB102" s="227">
        <f t="shared" si="8"/>
        <v>261620.78871062869</v>
      </c>
      <c r="AC102" s="227">
        <f t="shared" si="8"/>
        <v>7037953.4757318543</v>
      </c>
      <c r="AD102" s="227">
        <f t="shared" si="8"/>
        <v>23974269.010892484</v>
      </c>
      <c r="AE102" s="227">
        <f t="shared" si="8"/>
        <v>21187483.919828035</v>
      </c>
      <c r="AF102" s="227">
        <f t="shared" si="8"/>
        <v>65825213.014077909</v>
      </c>
      <c r="AG102" s="227">
        <f t="shared" si="8"/>
        <v>9653103.2800067328</v>
      </c>
      <c r="AH102" s="227">
        <f t="shared" si="8"/>
        <v>-106151.41367895291</v>
      </c>
      <c r="AI102" s="227">
        <f t="shared" si="8"/>
        <v>-975.63568000000009</v>
      </c>
      <c r="AJ102" s="227">
        <f t="shared" si="8"/>
        <v>-576278.44961000001</v>
      </c>
      <c r="AK102" s="227">
        <f t="shared" si="8"/>
        <v>0</v>
      </c>
      <c r="AL102" s="227">
        <f t="shared" si="8"/>
        <v>-5403.6347100000003</v>
      </c>
      <c r="AM102" s="227">
        <f t="shared" si="8"/>
        <v>0</v>
      </c>
      <c r="AN102" s="227">
        <f t="shared" si="8"/>
        <v>-5419421.8276299983</v>
      </c>
      <c r="AO102" s="227">
        <f t="shared" si="8"/>
        <v>0</v>
      </c>
    </row>
    <row r="103" spans="5:41" x14ac:dyDescent="0.25">
      <c r="E103" s="12"/>
      <c r="G103" s="91"/>
      <c r="H103" s="21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Z103" s="211"/>
      <c r="AA103" s="211"/>
      <c r="AB103" s="211"/>
      <c r="AC103" s="211"/>
      <c r="AD103" s="211"/>
      <c r="AE103" s="211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1"/>
    </row>
    <row r="104" spans="5:41" x14ac:dyDescent="0.25">
      <c r="E104" s="52" t="s">
        <v>904</v>
      </c>
      <c r="G104" s="91"/>
      <c r="H104" s="240" t="s">
        <v>215</v>
      </c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Z104" s="211"/>
      <c r="AA104" s="211"/>
      <c r="AB104" s="211"/>
      <c r="AC104" s="211"/>
      <c r="AD104" s="211"/>
      <c r="AE104" s="211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1"/>
    </row>
    <row r="105" spans="5:41" x14ac:dyDescent="0.25">
      <c r="E105" s="12"/>
      <c r="F105" s="80" t="s">
        <v>134</v>
      </c>
      <c r="G105" s="108" t="s">
        <v>107</v>
      </c>
      <c r="H105" s="224">
        <f t="shared" ref="H105:H111" si="9">SUM(J105:AO105)</f>
        <v>1124980.5686314565</v>
      </c>
      <c r="I105" s="80"/>
      <c r="J105" s="224">
        <f t="shared" ref="J105:AO105" si="10">J33 * thousand * J64 / hundred</f>
        <v>989850.79987779888</v>
      </c>
      <c r="K105" s="224">
        <f t="shared" si="10"/>
        <v>86.732800000000012</v>
      </c>
      <c r="L105" s="224">
        <f t="shared" si="10"/>
        <v>0</v>
      </c>
      <c r="M105" s="224">
        <f t="shared" si="10"/>
        <v>10512.312121698073</v>
      </c>
      <c r="N105" s="224">
        <f t="shared" si="10"/>
        <v>13945.419566979032</v>
      </c>
      <c r="O105" s="224">
        <f t="shared" si="10"/>
        <v>9732.3815777428154</v>
      </c>
      <c r="P105" s="224">
        <f t="shared" si="10"/>
        <v>16312.704848677518</v>
      </c>
      <c r="Q105" s="224">
        <f t="shared" si="10"/>
        <v>0</v>
      </c>
      <c r="R105" s="224">
        <f t="shared" si="10"/>
        <v>0</v>
      </c>
      <c r="S105" s="224">
        <f t="shared" si="10"/>
        <v>8018.834403295742</v>
      </c>
      <c r="T105" s="224">
        <f t="shared" si="10"/>
        <v>19568.108651263967</v>
      </c>
      <c r="U105" s="224">
        <f t="shared" si="10"/>
        <v>36235.444320396127</v>
      </c>
      <c r="V105" s="224">
        <f t="shared" si="10"/>
        <v>26268.40988086343</v>
      </c>
      <c r="W105" s="224">
        <f t="shared" si="10"/>
        <v>0</v>
      </c>
      <c r="X105" s="224">
        <f t="shared" si="10"/>
        <v>0</v>
      </c>
      <c r="Y105" s="224">
        <f t="shared" si="10"/>
        <v>0</v>
      </c>
      <c r="Z105" s="224">
        <f t="shared" si="10"/>
        <v>0</v>
      </c>
      <c r="AA105" s="224">
        <f t="shared" si="10"/>
        <v>0</v>
      </c>
      <c r="AB105" s="224">
        <f t="shared" si="10"/>
        <v>0</v>
      </c>
      <c r="AC105" s="224">
        <f t="shared" si="10"/>
        <v>0</v>
      </c>
      <c r="AD105" s="224">
        <f t="shared" si="10"/>
        <v>0</v>
      </c>
      <c r="AE105" s="224">
        <f t="shared" si="10"/>
        <v>0</v>
      </c>
      <c r="AF105" s="224">
        <f t="shared" si="10"/>
        <v>0</v>
      </c>
      <c r="AG105" s="224">
        <f t="shared" si="10"/>
        <v>4122.5457027408866</v>
      </c>
      <c r="AH105" s="224">
        <f t="shared" si="10"/>
        <v>-9673.1251200000006</v>
      </c>
      <c r="AI105" s="224">
        <f t="shared" si="10"/>
        <v>0</v>
      </c>
      <c r="AJ105" s="224">
        <f t="shared" si="10"/>
        <v>0</v>
      </c>
      <c r="AK105" s="224">
        <f t="shared" si="10"/>
        <v>0</v>
      </c>
      <c r="AL105" s="224">
        <f t="shared" si="10"/>
        <v>0</v>
      </c>
      <c r="AM105" s="224">
        <f t="shared" si="10"/>
        <v>0</v>
      </c>
      <c r="AN105" s="224">
        <f t="shared" si="10"/>
        <v>0</v>
      </c>
      <c r="AO105" s="224">
        <f t="shared" si="10"/>
        <v>0</v>
      </c>
    </row>
    <row r="106" spans="5:41" x14ac:dyDescent="0.25">
      <c r="E106" s="12"/>
      <c r="F106" t="s">
        <v>135</v>
      </c>
      <c r="G106" s="91" t="s">
        <v>107</v>
      </c>
      <c r="H106" s="231">
        <f t="shared" si="9"/>
        <v>470396.37945308792</v>
      </c>
      <c r="J106" s="231">
        <f t="shared" ref="J106:AO106" si="11">J34 * thousand * J65 / hundred</f>
        <v>393552.87448833371</v>
      </c>
      <c r="K106" s="231">
        <f t="shared" si="11"/>
        <v>165.95686000000001</v>
      </c>
      <c r="L106" s="231">
        <f t="shared" si="11"/>
        <v>0</v>
      </c>
      <c r="M106" s="231">
        <f t="shared" si="11"/>
        <v>6253.343073310476</v>
      </c>
      <c r="N106" s="231">
        <f t="shared" si="11"/>
        <v>8295.5578034616283</v>
      </c>
      <c r="O106" s="231">
        <f t="shared" si="11"/>
        <v>5789.3943997699444</v>
      </c>
      <c r="P106" s="231">
        <f t="shared" si="11"/>
        <v>9703.7586680748282</v>
      </c>
      <c r="Q106" s="231">
        <f t="shared" si="11"/>
        <v>0</v>
      </c>
      <c r="R106" s="231">
        <f t="shared" si="11"/>
        <v>0</v>
      </c>
      <c r="S106" s="231">
        <f t="shared" si="11"/>
        <v>3921.9693812644068</v>
      </c>
      <c r="T106" s="231">
        <f t="shared" si="11"/>
        <v>9570.6581679713963</v>
      </c>
      <c r="U106" s="231">
        <f t="shared" si="11"/>
        <v>17722.563653727015</v>
      </c>
      <c r="V106" s="231">
        <f t="shared" si="11"/>
        <v>12847.739966410452</v>
      </c>
      <c r="W106" s="231">
        <f t="shared" si="11"/>
        <v>0</v>
      </c>
      <c r="X106" s="231">
        <f t="shared" si="11"/>
        <v>0</v>
      </c>
      <c r="Y106" s="231">
        <f t="shared" si="11"/>
        <v>0</v>
      </c>
      <c r="Z106" s="231">
        <f t="shared" si="11"/>
        <v>0</v>
      </c>
      <c r="AA106" s="231">
        <f t="shared" si="11"/>
        <v>0</v>
      </c>
      <c r="AB106" s="231">
        <f t="shared" si="11"/>
        <v>0</v>
      </c>
      <c r="AC106" s="231">
        <f t="shared" si="11"/>
        <v>0</v>
      </c>
      <c r="AD106" s="231">
        <f t="shared" si="11"/>
        <v>0</v>
      </c>
      <c r="AE106" s="231">
        <f t="shared" si="11"/>
        <v>0</v>
      </c>
      <c r="AF106" s="231">
        <f t="shared" si="11"/>
        <v>0</v>
      </c>
      <c r="AG106" s="231">
        <f t="shared" si="11"/>
        <v>7034.6429907640395</v>
      </c>
      <c r="AH106" s="231">
        <f t="shared" si="11"/>
        <v>-4462.0800000000008</v>
      </c>
      <c r="AI106" s="231">
        <f t="shared" si="11"/>
        <v>0</v>
      </c>
      <c r="AJ106" s="231">
        <f t="shared" si="11"/>
        <v>0</v>
      </c>
      <c r="AK106" s="231">
        <f t="shared" si="11"/>
        <v>0</v>
      </c>
      <c r="AL106" s="231">
        <f t="shared" si="11"/>
        <v>0</v>
      </c>
      <c r="AM106" s="231">
        <f t="shared" si="11"/>
        <v>0</v>
      </c>
      <c r="AN106" s="231">
        <f t="shared" si="11"/>
        <v>0</v>
      </c>
      <c r="AO106" s="231">
        <f t="shared" si="11"/>
        <v>0</v>
      </c>
    </row>
    <row r="107" spans="5:41" x14ac:dyDescent="0.25">
      <c r="E107" s="12"/>
      <c r="F107" t="s">
        <v>136</v>
      </c>
      <c r="G107" s="91" t="s">
        <v>107</v>
      </c>
      <c r="H107" s="231">
        <f t="shared" si="9"/>
        <v>13015.843916304066</v>
      </c>
      <c r="J107" s="231">
        <f t="shared" ref="J107:AO107" si="12">J35 * thousand * J66 / hundred</f>
        <v>6181.2930833280707</v>
      </c>
      <c r="K107" s="231">
        <f t="shared" si="12"/>
        <v>15.8858</v>
      </c>
      <c r="L107" s="231">
        <f t="shared" si="12"/>
        <v>0</v>
      </c>
      <c r="M107" s="231">
        <f t="shared" si="12"/>
        <v>83.417223510223195</v>
      </c>
      <c r="N107" s="231">
        <f t="shared" si="12"/>
        <v>110.65959300822414</v>
      </c>
      <c r="O107" s="231">
        <f t="shared" si="12"/>
        <v>77.228324269562478</v>
      </c>
      <c r="P107" s="231">
        <f t="shared" si="12"/>
        <v>129.44445814253734</v>
      </c>
      <c r="Q107" s="231">
        <f t="shared" si="12"/>
        <v>0</v>
      </c>
      <c r="R107" s="231">
        <f t="shared" si="12"/>
        <v>0</v>
      </c>
      <c r="S107" s="231">
        <f t="shared" si="12"/>
        <v>59.936016212129196</v>
      </c>
      <c r="T107" s="231">
        <f t="shared" si="12"/>
        <v>146.25996976328975</v>
      </c>
      <c r="U107" s="231">
        <f t="shared" si="12"/>
        <v>270.83838735319858</v>
      </c>
      <c r="V107" s="231">
        <f t="shared" si="12"/>
        <v>196.34073498751852</v>
      </c>
      <c r="W107" s="231">
        <f t="shared" si="12"/>
        <v>0</v>
      </c>
      <c r="X107" s="231">
        <f t="shared" si="12"/>
        <v>0</v>
      </c>
      <c r="Y107" s="231">
        <f t="shared" si="12"/>
        <v>0</v>
      </c>
      <c r="Z107" s="231">
        <f t="shared" si="12"/>
        <v>0</v>
      </c>
      <c r="AA107" s="231">
        <f t="shared" si="12"/>
        <v>0</v>
      </c>
      <c r="AB107" s="231">
        <f t="shared" si="12"/>
        <v>0</v>
      </c>
      <c r="AC107" s="231">
        <f t="shared" si="12"/>
        <v>0</v>
      </c>
      <c r="AD107" s="231">
        <f t="shared" si="12"/>
        <v>0</v>
      </c>
      <c r="AE107" s="231">
        <f t="shared" si="12"/>
        <v>0</v>
      </c>
      <c r="AF107" s="231">
        <f t="shared" si="12"/>
        <v>0</v>
      </c>
      <c r="AG107" s="231">
        <f t="shared" si="12"/>
        <v>5780.4452857293118</v>
      </c>
      <c r="AH107" s="231">
        <f t="shared" si="12"/>
        <v>-35.904959999999996</v>
      </c>
      <c r="AI107" s="231">
        <f t="shared" si="12"/>
        <v>0</v>
      </c>
      <c r="AJ107" s="231">
        <f t="shared" si="12"/>
        <v>0</v>
      </c>
      <c r="AK107" s="231">
        <f t="shared" si="12"/>
        <v>0</v>
      </c>
      <c r="AL107" s="231">
        <f t="shared" si="12"/>
        <v>0</v>
      </c>
      <c r="AM107" s="231">
        <f t="shared" si="12"/>
        <v>0</v>
      </c>
      <c r="AN107" s="231">
        <f t="shared" si="12"/>
        <v>0</v>
      </c>
      <c r="AO107" s="231">
        <f t="shared" si="12"/>
        <v>0</v>
      </c>
    </row>
    <row r="108" spans="5:41" x14ac:dyDescent="0.25">
      <c r="E108" s="12"/>
      <c r="F108" s="80" t="s">
        <v>254</v>
      </c>
      <c r="G108" s="108" t="s">
        <v>107</v>
      </c>
      <c r="H108" s="224">
        <f t="shared" si="9"/>
        <v>3662331.8502443018</v>
      </c>
      <c r="I108" s="80"/>
      <c r="J108" s="224">
        <f t="shared" ref="J108:AO108" si="13" xml:space="preserve"> J36 * J67 * days_in_year / hundred</f>
        <v>3073651.856744302</v>
      </c>
      <c r="K108" s="224">
        <f t="shared" si="13"/>
        <v>0</v>
      </c>
      <c r="L108" s="224">
        <f t="shared" si="13"/>
        <v>0</v>
      </c>
      <c r="M108" s="224">
        <f t="shared" si="13"/>
        <v>44244.679499999998</v>
      </c>
      <c r="N108" s="224">
        <f t="shared" si="13"/>
        <v>43219.613499999999</v>
      </c>
      <c r="O108" s="224">
        <f t="shared" si="13"/>
        <v>46030.879999999997</v>
      </c>
      <c r="P108" s="224">
        <f t="shared" si="13"/>
        <v>71197.885500000004</v>
      </c>
      <c r="Q108" s="224">
        <f t="shared" si="13"/>
        <v>0</v>
      </c>
      <c r="R108" s="224">
        <f t="shared" si="13"/>
        <v>0</v>
      </c>
      <c r="S108" s="224">
        <f t="shared" si="13"/>
        <v>46388.58</v>
      </c>
      <c r="T108" s="224">
        <f t="shared" si="13"/>
        <v>90532.190999999992</v>
      </c>
      <c r="U108" s="224">
        <f t="shared" si="13"/>
        <v>160340.85</v>
      </c>
      <c r="V108" s="224">
        <f t="shared" si="13"/>
        <v>86725.313999999998</v>
      </c>
      <c r="W108" s="224">
        <f t="shared" si="13"/>
        <v>0</v>
      </c>
      <c r="X108" s="224">
        <f t="shared" si="13"/>
        <v>0</v>
      </c>
      <c r="Y108" s="224">
        <f t="shared" si="13"/>
        <v>0</v>
      </c>
      <c r="Z108" s="224">
        <f t="shared" si="13"/>
        <v>0</v>
      </c>
      <c r="AA108" s="224">
        <f t="shared" si="13"/>
        <v>0</v>
      </c>
      <c r="AB108" s="224">
        <f t="shared" si="13"/>
        <v>0</v>
      </c>
      <c r="AC108" s="224">
        <f t="shared" si="13"/>
        <v>0</v>
      </c>
      <c r="AD108" s="224">
        <f t="shared" si="13"/>
        <v>0</v>
      </c>
      <c r="AE108" s="224">
        <f t="shared" si="13"/>
        <v>0</v>
      </c>
      <c r="AF108" s="224">
        <f t="shared" si="13"/>
        <v>0</v>
      </c>
      <c r="AG108" s="224">
        <f t="shared" si="13"/>
        <v>0</v>
      </c>
      <c r="AH108" s="224">
        <f t="shared" si="13"/>
        <v>0</v>
      </c>
      <c r="AI108" s="224">
        <f t="shared" si="13"/>
        <v>0</v>
      </c>
      <c r="AJ108" s="224">
        <f t="shared" si="13"/>
        <v>0</v>
      </c>
      <c r="AK108" s="224">
        <f t="shared" si="13"/>
        <v>0</v>
      </c>
      <c r="AL108" s="224">
        <f t="shared" si="13"/>
        <v>0</v>
      </c>
      <c r="AM108" s="224">
        <f t="shared" si="13"/>
        <v>0</v>
      </c>
      <c r="AN108" s="224">
        <f t="shared" si="13"/>
        <v>0</v>
      </c>
      <c r="AO108" s="224">
        <f t="shared" si="13"/>
        <v>0</v>
      </c>
    </row>
    <row r="109" spans="5:41" x14ac:dyDescent="0.25">
      <c r="E109" s="12"/>
      <c r="F109" t="s">
        <v>255</v>
      </c>
      <c r="G109" s="91" t="s">
        <v>107</v>
      </c>
      <c r="H109" s="231">
        <f t="shared" si="9"/>
        <v>106926.75</v>
      </c>
      <c r="J109" s="231">
        <f t="shared" ref="J109:AO109" si="14" xml:space="preserve"> J37 * J68 * days_in_year / hundred</f>
        <v>0</v>
      </c>
      <c r="K109" s="231">
        <f t="shared" si="14"/>
        <v>0</v>
      </c>
      <c r="L109" s="231">
        <f t="shared" si="14"/>
        <v>0</v>
      </c>
      <c r="M109" s="231">
        <f t="shared" si="14"/>
        <v>0</v>
      </c>
      <c r="N109" s="231">
        <f t="shared" si="14"/>
        <v>0</v>
      </c>
      <c r="O109" s="231">
        <f t="shared" si="14"/>
        <v>0</v>
      </c>
      <c r="P109" s="231">
        <f t="shared" si="14"/>
        <v>0</v>
      </c>
      <c r="Q109" s="231">
        <f t="shared" si="14"/>
        <v>0</v>
      </c>
      <c r="R109" s="231">
        <f t="shared" si="14"/>
        <v>0</v>
      </c>
      <c r="S109" s="231">
        <f t="shared" si="14"/>
        <v>9517.375</v>
      </c>
      <c r="T109" s="231">
        <f t="shared" si="14"/>
        <v>23224.95</v>
      </c>
      <c r="U109" s="231">
        <f t="shared" si="14"/>
        <v>43007.037499999999</v>
      </c>
      <c r="V109" s="231">
        <f t="shared" si="14"/>
        <v>31177.387500000001</v>
      </c>
      <c r="W109" s="231">
        <f t="shared" si="14"/>
        <v>0</v>
      </c>
      <c r="X109" s="231">
        <f t="shared" si="14"/>
        <v>0</v>
      </c>
      <c r="Y109" s="231">
        <f t="shared" si="14"/>
        <v>0</v>
      </c>
      <c r="Z109" s="231">
        <f t="shared" si="14"/>
        <v>0</v>
      </c>
      <c r="AA109" s="231">
        <f t="shared" si="14"/>
        <v>0</v>
      </c>
      <c r="AB109" s="231">
        <f t="shared" si="14"/>
        <v>0</v>
      </c>
      <c r="AC109" s="231">
        <f t="shared" si="14"/>
        <v>0</v>
      </c>
      <c r="AD109" s="231">
        <f t="shared" si="14"/>
        <v>0</v>
      </c>
      <c r="AE109" s="231">
        <f t="shared" si="14"/>
        <v>0</v>
      </c>
      <c r="AF109" s="231">
        <f t="shared" si="14"/>
        <v>0</v>
      </c>
      <c r="AG109" s="231">
        <f t="shared" si="14"/>
        <v>0</v>
      </c>
      <c r="AH109" s="231">
        <f t="shared" si="14"/>
        <v>0</v>
      </c>
      <c r="AI109" s="231">
        <f t="shared" si="14"/>
        <v>0</v>
      </c>
      <c r="AJ109" s="231">
        <f t="shared" si="14"/>
        <v>0</v>
      </c>
      <c r="AK109" s="231">
        <f t="shared" si="14"/>
        <v>0</v>
      </c>
      <c r="AL109" s="231">
        <f t="shared" si="14"/>
        <v>0</v>
      </c>
      <c r="AM109" s="231">
        <f t="shared" si="14"/>
        <v>0</v>
      </c>
      <c r="AN109" s="231">
        <f t="shared" si="14"/>
        <v>0</v>
      </c>
      <c r="AO109" s="231">
        <f t="shared" si="14"/>
        <v>0</v>
      </c>
    </row>
    <row r="110" spans="5:41" x14ac:dyDescent="0.25">
      <c r="E110" s="12"/>
      <c r="F110" t="s">
        <v>256</v>
      </c>
      <c r="G110" s="91" t="s">
        <v>107</v>
      </c>
      <c r="H110" s="231">
        <f t="shared" si="9"/>
        <v>509.90500000000003</v>
      </c>
      <c r="J110" s="231">
        <f t="shared" ref="J110:AO110" si="15" xml:space="preserve"> J38 * J69 * days_in_year / hundred</f>
        <v>0</v>
      </c>
      <c r="K110" s="231">
        <f t="shared" si="15"/>
        <v>0</v>
      </c>
      <c r="L110" s="231">
        <f t="shared" si="15"/>
        <v>0</v>
      </c>
      <c r="M110" s="231">
        <f t="shared" si="15"/>
        <v>0</v>
      </c>
      <c r="N110" s="231">
        <f t="shared" si="15"/>
        <v>0</v>
      </c>
      <c r="O110" s="231">
        <f t="shared" si="15"/>
        <v>0</v>
      </c>
      <c r="P110" s="231">
        <f t="shared" si="15"/>
        <v>0</v>
      </c>
      <c r="Q110" s="231">
        <f t="shared" si="15"/>
        <v>0</v>
      </c>
      <c r="R110" s="231">
        <f t="shared" si="15"/>
        <v>0</v>
      </c>
      <c r="S110" s="231">
        <f t="shared" si="15"/>
        <v>46.354999999999997</v>
      </c>
      <c r="T110" s="231">
        <f t="shared" si="15"/>
        <v>111.25200000000001</v>
      </c>
      <c r="U110" s="231">
        <f t="shared" si="15"/>
        <v>203.96200000000002</v>
      </c>
      <c r="V110" s="231">
        <f t="shared" si="15"/>
        <v>148.33600000000001</v>
      </c>
      <c r="W110" s="231">
        <f t="shared" si="15"/>
        <v>0</v>
      </c>
      <c r="X110" s="231">
        <f t="shared" si="15"/>
        <v>0</v>
      </c>
      <c r="Y110" s="231">
        <f t="shared" si="15"/>
        <v>0</v>
      </c>
      <c r="Z110" s="231">
        <f t="shared" si="15"/>
        <v>0</v>
      </c>
      <c r="AA110" s="231">
        <f t="shared" si="15"/>
        <v>0</v>
      </c>
      <c r="AB110" s="231">
        <f t="shared" si="15"/>
        <v>0</v>
      </c>
      <c r="AC110" s="231">
        <f t="shared" si="15"/>
        <v>0</v>
      </c>
      <c r="AD110" s="231">
        <f t="shared" si="15"/>
        <v>0</v>
      </c>
      <c r="AE110" s="231">
        <f t="shared" si="15"/>
        <v>0</v>
      </c>
      <c r="AF110" s="231">
        <f t="shared" si="15"/>
        <v>0</v>
      </c>
      <c r="AG110" s="231">
        <f t="shared" si="15"/>
        <v>0</v>
      </c>
      <c r="AH110" s="231">
        <f t="shared" si="15"/>
        <v>0</v>
      </c>
      <c r="AI110" s="231">
        <f t="shared" si="15"/>
        <v>0</v>
      </c>
      <c r="AJ110" s="231">
        <f t="shared" si="15"/>
        <v>0</v>
      </c>
      <c r="AK110" s="231">
        <f t="shared" si="15"/>
        <v>0</v>
      </c>
      <c r="AL110" s="231">
        <f t="shared" si="15"/>
        <v>0</v>
      </c>
      <c r="AM110" s="231">
        <f t="shared" si="15"/>
        <v>0</v>
      </c>
      <c r="AN110" s="231">
        <f t="shared" si="15"/>
        <v>0</v>
      </c>
      <c r="AO110" s="231">
        <f t="shared" si="15"/>
        <v>0</v>
      </c>
    </row>
    <row r="111" spans="5:41" x14ac:dyDescent="0.25">
      <c r="E111" s="12"/>
      <c r="F111" s="80" t="s">
        <v>257</v>
      </c>
      <c r="G111" s="108" t="s">
        <v>107</v>
      </c>
      <c r="H111" s="224">
        <f t="shared" si="9"/>
        <v>994.34982999999988</v>
      </c>
      <c r="I111" s="80"/>
      <c r="J111" s="224">
        <f t="shared" ref="J111:AO111" si="16">J39 * thousand * J70 / hundred</f>
        <v>0</v>
      </c>
      <c r="K111" s="224">
        <f t="shared" si="16"/>
        <v>0</v>
      </c>
      <c r="L111" s="224">
        <f t="shared" si="16"/>
        <v>0</v>
      </c>
      <c r="M111" s="224">
        <f t="shared" si="16"/>
        <v>0</v>
      </c>
      <c r="N111" s="224">
        <f t="shared" si="16"/>
        <v>0</v>
      </c>
      <c r="O111" s="224">
        <f t="shared" si="16"/>
        <v>0</v>
      </c>
      <c r="P111" s="224">
        <f t="shared" si="16"/>
        <v>0</v>
      </c>
      <c r="Q111" s="224">
        <f t="shared" si="16"/>
        <v>0</v>
      </c>
      <c r="R111" s="224">
        <f t="shared" si="16"/>
        <v>0</v>
      </c>
      <c r="S111" s="224">
        <f t="shared" si="16"/>
        <v>88.505159999999989</v>
      </c>
      <c r="T111" s="224">
        <f t="shared" si="16"/>
        <v>215.97718999999998</v>
      </c>
      <c r="U111" s="224">
        <f t="shared" si="16"/>
        <v>399.93752000000001</v>
      </c>
      <c r="V111" s="224">
        <f t="shared" si="16"/>
        <v>289.92995999999999</v>
      </c>
      <c r="W111" s="224">
        <f t="shared" si="16"/>
        <v>0</v>
      </c>
      <c r="X111" s="224">
        <f t="shared" si="16"/>
        <v>0</v>
      </c>
      <c r="Y111" s="224">
        <f t="shared" si="16"/>
        <v>0</v>
      </c>
      <c r="Z111" s="224">
        <f t="shared" si="16"/>
        <v>0</v>
      </c>
      <c r="AA111" s="224">
        <f t="shared" si="16"/>
        <v>0</v>
      </c>
      <c r="AB111" s="224">
        <f t="shared" si="16"/>
        <v>0</v>
      </c>
      <c r="AC111" s="224">
        <f t="shared" si="16"/>
        <v>0</v>
      </c>
      <c r="AD111" s="224">
        <f t="shared" si="16"/>
        <v>0</v>
      </c>
      <c r="AE111" s="224">
        <f t="shared" si="16"/>
        <v>0</v>
      </c>
      <c r="AF111" s="224">
        <f t="shared" si="16"/>
        <v>0</v>
      </c>
      <c r="AG111" s="224">
        <f t="shared" si="16"/>
        <v>0</v>
      </c>
      <c r="AH111" s="224">
        <f t="shared" si="16"/>
        <v>0</v>
      </c>
      <c r="AI111" s="224">
        <f t="shared" si="16"/>
        <v>0</v>
      </c>
      <c r="AJ111" s="224">
        <f t="shared" si="16"/>
        <v>0</v>
      </c>
      <c r="AK111" s="224">
        <f t="shared" si="16"/>
        <v>0</v>
      </c>
      <c r="AL111" s="224">
        <f t="shared" si="16"/>
        <v>0</v>
      </c>
      <c r="AM111" s="224">
        <f t="shared" si="16"/>
        <v>0</v>
      </c>
      <c r="AN111" s="224">
        <f t="shared" si="16"/>
        <v>0</v>
      </c>
      <c r="AO111" s="224">
        <f t="shared" si="16"/>
        <v>0</v>
      </c>
    </row>
    <row r="112" spans="5:41" x14ac:dyDescent="0.25">
      <c r="E112" s="12"/>
      <c r="F112" s="66" t="s">
        <v>111</v>
      </c>
      <c r="G112" s="141" t="s">
        <v>107</v>
      </c>
      <c r="H112" s="227">
        <f>SUM(H105:H111)</f>
        <v>5379155.6470751502</v>
      </c>
      <c r="I112" s="66"/>
      <c r="J112" s="227">
        <f t="shared" ref="J112:AO112" si="17">SUM(J105:J111)</f>
        <v>4463236.8241937626</v>
      </c>
      <c r="K112" s="227">
        <f t="shared" si="17"/>
        <v>268.57546000000002</v>
      </c>
      <c r="L112" s="227">
        <f t="shared" si="17"/>
        <v>0</v>
      </c>
      <c r="M112" s="227">
        <f t="shared" si="17"/>
        <v>61093.75191851877</v>
      </c>
      <c r="N112" s="227">
        <f t="shared" si="17"/>
        <v>65571.250463448887</v>
      </c>
      <c r="O112" s="227">
        <f t="shared" si="17"/>
        <v>61629.884301782324</v>
      </c>
      <c r="P112" s="227">
        <f t="shared" si="17"/>
        <v>97343.79347489489</v>
      </c>
      <c r="Q112" s="227">
        <f t="shared" si="17"/>
        <v>0</v>
      </c>
      <c r="R112" s="227">
        <f t="shared" si="17"/>
        <v>0</v>
      </c>
      <c r="S112" s="227">
        <f t="shared" si="17"/>
        <v>68041.554960772279</v>
      </c>
      <c r="T112" s="227">
        <f t="shared" si="17"/>
        <v>143369.39697899867</v>
      </c>
      <c r="U112" s="227">
        <f t="shared" si="17"/>
        <v>258180.63338147636</v>
      </c>
      <c r="V112" s="227">
        <f t="shared" si="17"/>
        <v>157653.45804226142</v>
      </c>
      <c r="W112" s="227">
        <f t="shared" si="17"/>
        <v>0</v>
      </c>
      <c r="X112" s="227">
        <f t="shared" si="17"/>
        <v>0</v>
      </c>
      <c r="Y112" s="227">
        <f t="shared" si="17"/>
        <v>0</v>
      </c>
      <c r="Z112" s="227">
        <f t="shared" si="17"/>
        <v>0</v>
      </c>
      <c r="AA112" s="227">
        <f t="shared" si="17"/>
        <v>0</v>
      </c>
      <c r="AB112" s="227">
        <f t="shared" si="17"/>
        <v>0</v>
      </c>
      <c r="AC112" s="227">
        <f t="shared" si="17"/>
        <v>0</v>
      </c>
      <c r="AD112" s="227">
        <f t="shared" si="17"/>
        <v>0</v>
      </c>
      <c r="AE112" s="227">
        <f t="shared" si="17"/>
        <v>0</v>
      </c>
      <c r="AF112" s="227">
        <f t="shared" si="17"/>
        <v>0</v>
      </c>
      <c r="AG112" s="227">
        <f t="shared" si="17"/>
        <v>16937.633979234237</v>
      </c>
      <c r="AH112" s="227">
        <f t="shared" si="17"/>
        <v>-14171.110080000002</v>
      </c>
      <c r="AI112" s="227">
        <f t="shared" si="17"/>
        <v>0</v>
      </c>
      <c r="AJ112" s="227">
        <f t="shared" si="17"/>
        <v>0</v>
      </c>
      <c r="AK112" s="227">
        <f t="shared" si="17"/>
        <v>0</v>
      </c>
      <c r="AL112" s="227">
        <f t="shared" si="17"/>
        <v>0</v>
      </c>
      <c r="AM112" s="227">
        <f t="shared" si="17"/>
        <v>0</v>
      </c>
      <c r="AN112" s="227">
        <f t="shared" si="17"/>
        <v>0</v>
      </c>
      <c r="AO112" s="227">
        <f t="shared" si="17"/>
        <v>0</v>
      </c>
    </row>
    <row r="113" spans="3:43" x14ac:dyDescent="0.25">
      <c r="E113" s="12"/>
      <c r="G113" s="91"/>
      <c r="H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  <c r="AA113" s="211"/>
      <c r="AB113" s="211"/>
      <c r="AC113" s="211"/>
      <c r="AD113" s="211"/>
      <c r="AE113" s="211"/>
      <c r="AF113" s="211"/>
      <c r="AG113" s="211"/>
      <c r="AH113" s="211"/>
      <c r="AI113" s="211"/>
      <c r="AJ113" s="211"/>
      <c r="AK113" s="211"/>
      <c r="AL113" s="211"/>
      <c r="AM113" s="211"/>
      <c r="AN113" s="211"/>
      <c r="AO113" s="211"/>
    </row>
    <row r="114" spans="3:43" x14ac:dyDescent="0.25">
      <c r="E114" s="52" t="s">
        <v>905</v>
      </c>
      <c r="G114" s="91"/>
      <c r="H114" s="240" t="s">
        <v>215</v>
      </c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Z114" s="211"/>
      <c r="AA114" s="211"/>
      <c r="AB114" s="211"/>
      <c r="AC114" s="211"/>
      <c r="AD114" s="211"/>
      <c r="AE114" s="211"/>
      <c r="AF114" s="211"/>
      <c r="AG114" s="211"/>
      <c r="AH114" s="211"/>
      <c r="AI114" s="211"/>
      <c r="AJ114" s="211"/>
      <c r="AK114" s="211"/>
      <c r="AL114" s="211"/>
      <c r="AM114" s="211"/>
      <c r="AN114" s="211"/>
      <c r="AO114" s="211"/>
    </row>
    <row r="115" spans="3:43" x14ac:dyDescent="0.25">
      <c r="C115" s="76"/>
      <c r="F115" s="80" t="s">
        <v>134</v>
      </c>
      <c r="G115" s="108" t="s">
        <v>107</v>
      </c>
      <c r="H115" s="224">
        <f t="shared" ref="H115:H121" si="18">SUM(J115:AO115)</f>
        <v>1783586.3782997211</v>
      </c>
      <c r="I115" s="80"/>
      <c r="J115" s="224">
        <f t="shared" ref="J115:AO115" si="19">J44 * thousand * J73 / hundred</f>
        <v>1064272.0871084549</v>
      </c>
      <c r="K115" s="224">
        <f t="shared" si="19"/>
        <v>0</v>
      </c>
      <c r="L115" s="224">
        <f t="shared" si="19"/>
        <v>0</v>
      </c>
      <c r="M115" s="224">
        <f t="shared" si="19"/>
        <v>8989.233620430221</v>
      </c>
      <c r="N115" s="224">
        <f t="shared" si="19"/>
        <v>14157.962538731044</v>
      </c>
      <c r="O115" s="224">
        <f t="shared" si="19"/>
        <v>22383.286090212921</v>
      </c>
      <c r="P115" s="224">
        <f t="shared" si="19"/>
        <v>47450.136788035597</v>
      </c>
      <c r="Q115" s="224">
        <f t="shared" si="19"/>
        <v>0</v>
      </c>
      <c r="R115" s="224">
        <f t="shared" si="19"/>
        <v>0</v>
      </c>
      <c r="S115" s="224">
        <f t="shared" si="19"/>
        <v>20797.599480195091</v>
      </c>
      <c r="T115" s="224">
        <f t="shared" si="19"/>
        <v>67889.905883838466</v>
      </c>
      <c r="U115" s="224">
        <f t="shared" si="19"/>
        <v>77672.325155470535</v>
      </c>
      <c r="V115" s="224">
        <f t="shared" si="19"/>
        <v>285132.57303482783</v>
      </c>
      <c r="W115" s="224">
        <f t="shared" si="19"/>
        <v>0</v>
      </c>
      <c r="X115" s="224">
        <f t="shared" si="19"/>
        <v>0</v>
      </c>
      <c r="Y115" s="224">
        <f t="shared" si="19"/>
        <v>1377.3954058234297</v>
      </c>
      <c r="Z115" s="224">
        <f t="shared" si="19"/>
        <v>947.74913244731385</v>
      </c>
      <c r="AA115" s="224">
        <f t="shared" si="19"/>
        <v>87378.257793275916</v>
      </c>
      <c r="AB115" s="224">
        <f t="shared" si="19"/>
        <v>0</v>
      </c>
      <c r="AC115" s="224">
        <f t="shared" si="19"/>
        <v>8914.061302108581</v>
      </c>
      <c r="AD115" s="224">
        <f t="shared" si="19"/>
        <v>12007.822278997888</v>
      </c>
      <c r="AE115" s="224">
        <f t="shared" si="19"/>
        <v>37047.137748464389</v>
      </c>
      <c r="AF115" s="224">
        <f t="shared" si="19"/>
        <v>61745.229580773979</v>
      </c>
      <c r="AG115" s="224">
        <f t="shared" si="19"/>
        <v>2448.5987176328504</v>
      </c>
      <c r="AH115" s="224">
        <f t="shared" si="19"/>
        <v>-36573.446400000008</v>
      </c>
      <c r="AI115" s="224">
        <f t="shared" si="19"/>
        <v>-451.53696000000002</v>
      </c>
      <c r="AJ115" s="224">
        <f t="shared" si="19"/>
        <v>0</v>
      </c>
      <c r="AK115" s="224">
        <f t="shared" si="19"/>
        <v>0</v>
      </c>
      <c r="AL115" s="224">
        <f t="shared" si="19"/>
        <v>0</v>
      </c>
      <c r="AM115" s="224">
        <f t="shared" si="19"/>
        <v>0</v>
      </c>
      <c r="AN115" s="224">
        <f t="shared" si="19"/>
        <v>0</v>
      </c>
      <c r="AO115" s="224">
        <f t="shared" si="19"/>
        <v>0</v>
      </c>
    </row>
    <row r="116" spans="3:43" x14ac:dyDescent="0.25">
      <c r="C116" s="76"/>
      <c r="F116" t="s">
        <v>135</v>
      </c>
      <c r="G116" s="91" t="s">
        <v>107</v>
      </c>
      <c r="H116" s="231">
        <f t="shared" si="18"/>
        <v>758707.3415837168</v>
      </c>
      <c r="J116" s="231">
        <f t="shared" ref="J116:AO116" si="20">J45 * thousand * J74 / hundred</f>
        <v>419004.35763797135</v>
      </c>
      <c r="K116" s="231">
        <f t="shared" si="20"/>
        <v>48.91875000000001</v>
      </c>
      <c r="L116" s="231">
        <f t="shared" si="20"/>
        <v>0</v>
      </c>
      <c r="M116" s="231">
        <f t="shared" si="20"/>
        <v>5355.1247187693734</v>
      </c>
      <c r="N116" s="231">
        <f t="shared" si="20"/>
        <v>8434.273527640371</v>
      </c>
      <c r="O116" s="231">
        <f t="shared" si="20"/>
        <v>13334.3167716281</v>
      </c>
      <c r="P116" s="231">
        <f t="shared" si="20"/>
        <v>28267.30410533442</v>
      </c>
      <c r="Q116" s="231">
        <f t="shared" si="20"/>
        <v>0</v>
      </c>
      <c r="R116" s="231">
        <f t="shared" si="20"/>
        <v>0</v>
      </c>
      <c r="S116" s="231">
        <f t="shared" si="20"/>
        <v>9979.0513217658136</v>
      </c>
      <c r="T116" s="231">
        <f t="shared" si="20"/>
        <v>32574.762086836752</v>
      </c>
      <c r="U116" s="231">
        <f t="shared" si="20"/>
        <v>37268.537637981841</v>
      </c>
      <c r="V116" s="231">
        <f t="shared" si="20"/>
        <v>136811.58647810426</v>
      </c>
      <c r="W116" s="231">
        <f t="shared" si="20"/>
        <v>0</v>
      </c>
      <c r="X116" s="231">
        <f t="shared" si="20"/>
        <v>0</v>
      </c>
      <c r="Y116" s="231">
        <f t="shared" si="20"/>
        <v>564.10952222937954</v>
      </c>
      <c r="Z116" s="231">
        <f t="shared" si="20"/>
        <v>388.14875382755474</v>
      </c>
      <c r="AA116" s="231">
        <f t="shared" si="20"/>
        <v>35785.589997327981</v>
      </c>
      <c r="AB116" s="231">
        <f t="shared" si="20"/>
        <v>0</v>
      </c>
      <c r="AC116" s="231">
        <f t="shared" si="20"/>
        <v>3126.2772946631194</v>
      </c>
      <c r="AD116" s="231">
        <f t="shared" si="20"/>
        <v>4211.2995274444856</v>
      </c>
      <c r="AE116" s="231">
        <f t="shared" si="20"/>
        <v>12992.913291709647</v>
      </c>
      <c r="AF116" s="231">
        <f t="shared" si="20"/>
        <v>21654.855486182743</v>
      </c>
      <c r="AG116" s="231">
        <f t="shared" si="20"/>
        <v>4441.5725742995164</v>
      </c>
      <c r="AH116" s="231">
        <f t="shared" si="20"/>
        <v>-15354.022500000003</v>
      </c>
      <c r="AI116" s="231">
        <f t="shared" si="20"/>
        <v>-181.6354</v>
      </c>
      <c r="AJ116" s="231">
        <f t="shared" si="20"/>
        <v>0</v>
      </c>
      <c r="AK116" s="231">
        <f t="shared" si="20"/>
        <v>0</v>
      </c>
      <c r="AL116" s="231">
        <f t="shared" si="20"/>
        <v>0</v>
      </c>
      <c r="AM116" s="231">
        <f t="shared" si="20"/>
        <v>0</v>
      </c>
      <c r="AN116" s="231">
        <f t="shared" si="20"/>
        <v>0</v>
      </c>
      <c r="AO116" s="231">
        <f t="shared" si="20"/>
        <v>0</v>
      </c>
    </row>
    <row r="117" spans="3:43" x14ac:dyDescent="0.25">
      <c r="C117" s="76"/>
      <c r="F117" t="s">
        <v>136</v>
      </c>
      <c r="G117" s="91" t="s">
        <v>107</v>
      </c>
      <c r="H117" s="231">
        <f t="shared" si="18"/>
        <v>15879.335506208834</v>
      </c>
      <c r="J117" s="231">
        <f t="shared" ref="J117:AO117" si="21">J46 * thousand * J75 / hundred</f>
        <v>7005.377867000052</v>
      </c>
      <c r="K117" s="231">
        <f t="shared" si="21"/>
        <v>17.548160000000003</v>
      </c>
      <c r="L117" s="231">
        <f t="shared" si="21"/>
        <v>0</v>
      </c>
      <c r="M117" s="231">
        <f t="shared" si="21"/>
        <v>73.928153287415086</v>
      </c>
      <c r="N117" s="231">
        <f t="shared" si="21"/>
        <v>116.43618010126829</v>
      </c>
      <c r="O117" s="231">
        <f t="shared" si="21"/>
        <v>184.08187783578046</v>
      </c>
      <c r="P117" s="231">
        <f t="shared" si="21"/>
        <v>390.23359878000628</v>
      </c>
      <c r="Q117" s="231">
        <f t="shared" si="21"/>
        <v>0</v>
      </c>
      <c r="R117" s="231">
        <f t="shared" si="21"/>
        <v>0</v>
      </c>
      <c r="S117" s="231">
        <f t="shared" si="21"/>
        <v>147.06248289435121</v>
      </c>
      <c r="T117" s="231">
        <f t="shared" si="21"/>
        <v>480.05819769000823</v>
      </c>
      <c r="U117" s="231">
        <f t="shared" si="21"/>
        <v>549.23093409979072</v>
      </c>
      <c r="V117" s="231">
        <f t="shared" si="21"/>
        <v>2016.2088506650762</v>
      </c>
      <c r="W117" s="231">
        <f t="shared" si="21"/>
        <v>0</v>
      </c>
      <c r="X117" s="231">
        <f t="shared" si="21"/>
        <v>0</v>
      </c>
      <c r="Y117" s="231">
        <f t="shared" si="21"/>
        <v>8.3548902633800477</v>
      </c>
      <c r="Z117" s="231">
        <f t="shared" si="21"/>
        <v>5.7487777041605828</v>
      </c>
      <c r="AA117" s="231">
        <f t="shared" si="21"/>
        <v>530.01175420047605</v>
      </c>
      <c r="AB117" s="231">
        <f t="shared" si="21"/>
        <v>0</v>
      </c>
      <c r="AC117" s="231">
        <f t="shared" si="21"/>
        <v>42.117026177990866</v>
      </c>
      <c r="AD117" s="231">
        <f t="shared" si="21"/>
        <v>56.734382693283358</v>
      </c>
      <c r="AE117" s="231">
        <f t="shared" si="21"/>
        <v>175.0397733974101</v>
      </c>
      <c r="AF117" s="231">
        <f t="shared" si="21"/>
        <v>291.73295566235015</v>
      </c>
      <c r="AG117" s="231">
        <f t="shared" si="21"/>
        <v>3909.7243137560381</v>
      </c>
      <c r="AH117" s="231">
        <f t="shared" si="21"/>
        <v>-118.85366999999997</v>
      </c>
      <c r="AI117" s="231">
        <f t="shared" si="21"/>
        <v>-1.4410000000000003</v>
      </c>
      <c r="AJ117" s="231">
        <f t="shared" si="21"/>
        <v>0</v>
      </c>
      <c r="AK117" s="231">
        <f t="shared" si="21"/>
        <v>0</v>
      </c>
      <c r="AL117" s="231">
        <f t="shared" si="21"/>
        <v>0</v>
      </c>
      <c r="AM117" s="231">
        <f t="shared" si="21"/>
        <v>0</v>
      </c>
      <c r="AN117" s="231">
        <f t="shared" si="21"/>
        <v>0</v>
      </c>
      <c r="AO117" s="231">
        <f t="shared" si="21"/>
        <v>0</v>
      </c>
    </row>
    <row r="118" spans="3:43" x14ac:dyDescent="0.25">
      <c r="C118" s="76"/>
      <c r="F118" s="80" t="s">
        <v>254</v>
      </c>
      <c r="G118" s="108" t="s">
        <v>107</v>
      </c>
      <c r="H118" s="224">
        <f t="shared" si="18"/>
        <v>7264103.7873006063</v>
      </c>
      <c r="I118" s="80"/>
      <c r="J118" s="224">
        <f t="shared" ref="J118:AO118" si="22" xml:space="preserve"> J47 * J76 * days_in_year / hundred</f>
        <v>3145841.8198006051</v>
      </c>
      <c r="K118" s="224">
        <f t="shared" si="22"/>
        <v>0</v>
      </c>
      <c r="L118" s="224">
        <f t="shared" si="22"/>
        <v>0</v>
      </c>
      <c r="M118" s="224">
        <f t="shared" si="22"/>
        <v>27124.682999999997</v>
      </c>
      <c r="N118" s="224">
        <f t="shared" si="22"/>
        <v>46512.241999999998</v>
      </c>
      <c r="O118" s="224">
        <f t="shared" si="22"/>
        <v>66774.925000000003</v>
      </c>
      <c r="P118" s="224">
        <f t="shared" si="22"/>
        <v>156113.712</v>
      </c>
      <c r="Q118" s="224">
        <f t="shared" si="22"/>
        <v>0</v>
      </c>
      <c r="R118" s="224">
        <f t="shared" si="22"/>
        <v>0</v>
      </c>
      <c r="S118" s="224">
        <f t="shared" si="22"/>
        <v>91123.67349999999</v>
      </c>
      <c r="T118" s="224">
        <f t="shared" si="22"/>
        <v>246792.55999999997</v>
      </c>
      <c r="U118" s="224">
        <f t="shared" si="22"/>
        <v>294839.7</v>
      </c>
      <c r="V118" s="224">
        <f t="shared" si="22"/>
        <v>969529.64400000009</v>
      </c>
      <c r="W118" s="224">
        <f t="shared" si="22"/>
        <v>0</v>
      </c>
      <c r="X118" s="224">
        <f t="shared" si="22"/>
        <v>0</v>
      </c>
      <c r="Y118" s="224">
        <f t="shared" si="22"/>
        <v>8807.1944999999996</v>
      </c>
      <c r="Z118" s="224">
        <f t="shared" si="22"/>
        <v>4935.7124999999996</v>
      </c>
      <c r="AA118" s="224">
        <f t="shared" si="22"/>
        <v>364546.23199999996</v>
      </c>
      <c r="AB118" s="224">
        <f t="shared" si="22"/>
        <v>0</v>
      </c>
      <c r="AC118" s="224">
        <f t="shared" si="22"/>
        <v>89258.705999999991</v>
      </c>
      <c r="AD118" s="224">
        <f t="shared" si="22"/>
        <v>176121.99000000005</v>
      </c>
      <c r="AE118" s="224">
        <f t="shared" si="22"/>
        <v>475755.89200000005</v>
      </c>
      <c r="AF118" s="224">
        <f t="shared" si="22"/>
        <v>1100025.101</v>
      </c>
      <c r="AG118" s="224">
        <f t="shared" si="22"/>
        <v>0</v>
      </c>
      <c r="AH118" s="224">
        <f t="shared" si="22"/>
        <v>0</v>
      </c>
      <c r="AI118" s="224">
        <f t="shared" si="22"/>
        <v>0</v>
      </c>
      <c r="AJ118" s="224">
        <f t="shared" si="22"/>
        <v>0</v>
      </c>
      <c r="AK118" s="224">
        <f t="shared" si="22"/>
        <v>0</v>
      </c>
      <c r="AL118" s="224">
        <f t="shared" si="22"/>
        <v>0</v>
      </c>
      <c r="AM118" s="224">
        <f t="shared" si="22"/>
        <v>0</v>
      </c>
      <c r="AN118" s="224">
        <f t="shared" si="22"/>
        <v>0</v>
      </c>
      <c r="AO118" s="224">
        <f t="shared" si="22"/>
        <v>0</v>
      </c>
    </row>
    <row r="119" spans="3:43" x14ac:dyDescent="0.25">
      <c r="C119" s="76"/>
      <c r="F119" t="s">
        <v>255</v>
      </c>
      <c r="G119" s="91" t="s">
        <v>107</v>
      </c>
      <c r="H119" s="231">
        <f t="shared" si="18"/>
        <v>1346172.122</v>
      </c>
      <c r="J119" s="231">
        <f t="shared" ref="J119:AO119" si="23" xml:space="preserve"> J48 * J77 * days_in_year / hundred</f>
        <v>0</v>
      </c>
      <c r="K119" s="231">
        <f t="shared" si="23"/>
        <v>0</v>
      </c>
      <c r="L119" s="231">
        <f t="shared" si="23"/>
        <v>0</v>
      </c>
      <c r="M119" s="231">
        <f t="shared" si="23"/>
        <v>0</v>
      </c>
      <c r="N119" s="231">
        <f t="shared" si="23"/>
        <v>0</v>
      </c>
      <c r="O119" s="231">
        <f t="shared" si="23"/>
        <v>0</v>
      </c>
      <c r="P119" s="231">
        <f t="shared" si="23"/>
        <v>0</v>
      </c>
      <c r="Q119" s="231">
        <f t="shared" si="23"/>
        <v>0</v>
      </c>
      <c r="R119" s="231">
        <f t="shared" si="23"/>
        <v>0</v>
      </c>
      <c r="S119" s="231">
        <f t="shared" si="23"/>
        <v>21000.639999999999</v>
      </c>
      <c r="T119" s="231">
        <f t="shared" si="23"/>
        <v>68552.693999999989</v>
      </c>
      <c r="U119" s="231">
        <f t="shared" si="23"/>
        <v>78430.615999999995</v>
      </c>
      <c r="V119" s="231">
        <f t="shared" si="23"/>
        <v>287916.23399999994</v>
      </c>
      <c r="W119" s="231">
        <f t="shared" si="23"/>
        <v>0</v>
      </c>
      <c r="X119" s="231">
        <f t="shared" si="23"/>
        <v>0</v>
      </c>
      <c r="Y119" s="231">
        <f t="shared" si="23"/>
        <v>4296.78</v>
      </c>
      <c r="Z119" s="231">
        <f t="shared" si="23"/>
        <v>2956.5</v>
      </c>
      <c r="AA119" s="231">
        <f t="shared" si="23"/>
        <v>272576.16000000003</v>
      </c>
      <c r="AB119" s="231">
        <f t="shared" si="23"/>
        <v>0</v>
      </c>
      <c r="AC119" s="231">
        <f t="shared" si="23"/>
        <v>45454.252999999997</v>
      </c>
      <c r="AD119" s="231">
        <f t="shared" si="23"/>
        <v>61229.845000000001</v>
      </c>
      <c r="AE119" s="231">
        <f t="shared" si="23"/>
        <v>188909.4</v>
      </c>
      <c r="AF119" s="231">
        <f t="shared" si="23"/>
        <v>314849</v>
      </c>
      <c r="AG119" s="231">
        <f t="shared" si="23"/>
        <v>0</v>
      </c>
      <c r="AH119" s="231">
        <f t="shared" si="23"/>
        <v>0</v>
      </c>
      <c r="AI119" s="231">
        <f t="shared" si="23"/>
        <v>0</v>
      </c>
      <c r="AJ119" s="231">
        <f t="shared" si="23"/>
        <v>0</v>
      </c>
      <c r="AK119" s="231">
        <f t="shared" si="23"/>
        <v>0</v>
      </c>
      <c r="AL119" s="231">
        <f t="shared" si="23"/>
        <v>0</v>
      </c>
      <c r="AM119" s="231">
        <f t="shared" si="23"/>
        <v>0</v>
      </c>
      <c r="AN119" s="231">
        <f t="shared" si="23"/>
        <v>0</v>
      </c>
      <c r="AO119" s="231">
        <f t="shared" si="23"/>
        <v>0</v>
      </c>
    </row>
    <row r="120" spans="3:43" x14ac:dyDescent="0.25">
      <c r="C120" s="76"/>
      <c r="F120" t="s">
        <v>256</v>
      </c>
      <c r="G120" s="91" t="s">
        <v>107</v>
      </c>
      <c r="H120" s="231">
        <f t="shared" si="18"/>
        <v>5056.8194999999996</v>
      </c>
      <c r="J120" s="231">
        <f t="shared" ref="J120:AO120" si="24" xml:space="preserve"> J49 * J78 * days_in_year / hundred</f>
        <v>0</v>
      </c>
      <c r="K120" s="231">
        <f t="shared" si="24"/>
        <v>0</v>
      </c>
      <c r="L120" s="231">
        <f t="shared" si="24"/>
        <v>0</v>
      </c>
      <c r="M120" s="231">
        <f t="shared" si="24"/>
        <v>0</v>
      </c>
      <c r="N120" s="231">
        <f t="shared" si="24"/>
        <v>0</v>
      </c>
      <c r="O120" s="231">
        <f t="shared" si="24"/>
        <v>0</v>
      </c>
      <c r="P120" s="231">
        <f t="shared" si="24"/>
        <v>0</v>
      </c>
      <c r="Q120" s="231">
        <f t="shared" si="24"/>
        <v>0</v>
      </c>
      <c r="R120" s="231">
        <f t="shared" si="24"/>
        <v>0</v>
      </c>
      <c r="S120" s="231">
        <f t="shared" si="24"/>
        <v>73.584000000000003</v>
      </c>
      <c r="T120" s="231">
        <f t="shared" si="24"/>
        <v>239.148</v>
      </c>
      <c r="U120" s="231">
        <f t="shared" si="24"/>
        <v>275.93999999999994</v>
      </c>
      <c r="V120" s="231">
        <f t="shared" si="24"/>
        <v>1011.78</v>
      </c>
      <c r="W120" s="231">
        <f t="shared" si="24"/>
        <v>0</v>
      </c>
      <c r="X120" s="231">
        <f t="shared" si="24"/>
        <v>0</v>
      </c>
      <c r="Y120" s="231">
        <f t="shared" si="24"/>
        <v>0</v>
      </c>
      <c r="Z120" s="231">
        <f t="shared" si="24"/>
        <v>0</v>
      </c>
      <c r="AA120" s="231">
        <f t="shared" si="24"/>
        <v>89.79</v>
      </c>
      <c r="AB120" s="231">
        <f t="shared" si="24"/>
        <v>0</v>
      </c>
      <c r="AC120" s="231">
        <f t="shared" si="24"/>
        <v>244.84200000000001</v>
      </c>
      <c r="AD120" s="231">
        <f t="shared" si="24"/>
        <v>346.85949999999997</v>
      </c>
      <c r="AE120" s="231">
        <f t="shared" si="24"/>
        <v>1040.5784999999998</v>
      </c>
      <c r="AF120" s="231">
        <f t="shared" si="24"/>
        <v>1734.2974999999999</v>
      </c>
      <c r="AG120" s="231">
        <f t="shared" si="24"/>
        <v>0</v>
      </c>
      <c r="AH120" s="231">
        <f t="shared" si="24"/>
        <v>0</v>
      </c>
      <c r="AI120" s="231">
        <f t="shared" si="24"/>
        <v>0</v>
      </c>
      <c r="AJ120" s="231">
        <f t="shared" si="24"/>
        <v>0</v>
      </c>
      <c r="AK120" s="231">
        <f t="shared" si="24"/>
        <v>0</v>
      </c>
      <c r="AL120" s="231">
        <f t="shared" si="24"/>
        <v>0</v>
      </c>
      <c r="AM120" s="231">
        <f t="shared" si="24"/>
        <v>0</v>
      </c>
      <c r="AN120" s="231">
        <f t="shared" si="24"/>
        <v>0</v>
      </c>
      <c r="AO120" s="231">
        <f t="shared" si="24"/>
        <v>0</v>
      </c>
    </row>
    <row r="121" spans="3:43" x14ac:dyDescent="0.25">
      <c r="C121" s="76"/>
      <c r="F121" s="80" t="s">
        <v>257</v>
      </c>
      <c r="G121" s="108" t="s">
        <v>107</v>
      </c>
      <c r="H121" s="224">
        <f t="shared" si="18"/>
        <v>5841.2519600000005</v>
      </c>
      <c r="I121" s="80"/>
      <c r="J121" s="224">
        <f t="shared" ref="J121:AO121" si="25">J50 * thousand * J79 / hundred</f>
        <v>0</v>
      </c>
      <c r="K121" s="224">
        <f t="shared" si="25"/>
        <v>0</v>
      </c>
      <c r="L121" s="224">
        <f t="shared" si="25"/>
        <v>0</v>
      </c>
      <c r="M121" s="224">
        <f t="shared" si="25"/>
        <v>0</v>
      </c>
      <c r="N121" s="224">
        <f t="shared" si="25"/>
        <v>0</v>
      </c>
      <c r="O121" s="224">
        <f t="shared" si="25"/>
        <v>0</v>
      </c>
      <c r="P121" s="224">
        <f t="shared" si="25"/>
        <v>0</v>
      </c>
      <c r="Q121" s="224">
        <f t="shared" si="25"/>
        <v>0</v>
      </c>
      <c r="R121" s="224">
        <f t="shared" si="25"/>
        <v>0</v>
      </c>
      <c r="S121" s="224">
        <f t="shared" si="25"/>
        <v>197.72610999999998</v>
      </c>
      <c r="T121" s="224">
        <f t="shared" si="25"/>
        <v>645.43993999999998</v>
      </c>
      <c r="U121" s="224">
        <f t="shared" si="25"/>
        <v>738.44281999999987</v>
      </c>
      <c r="V121" s="224">
        <f t="shared" si="25"/>
        <v>2710.79925</v>
      </c>
      <c r="W121" s="224">
        <f t="shared" si="25"/>
        <v>0</v>
      </c>
      <c r="X121" s="224">
        <f t="shared" si="25"/>
        <v>0</v>
      </c>
      <c r="Y121" s="224">
        <f t="shared" si="25"/>
        <v>13.461000000000002</v>
      </c>
      <c r="Z121" s="224">
        <f t="shared" si="25"/>
        <v>9.2620000000000005</v>
      </c>
      <c r="AA121" s="224">
        <f t="shared" si="25"/>
        <v>853.93100000000004</v>
      </c>
      <c r="AB121" s="224">
        <f t="shared" si="25"/>
        <v>0</v>
      </c>
      <c r="AC121" s="224">
        <f t="shared" si="25"/>
        <v>50.05187999999999</v>
      </c>
      <c r="AD121" s="224">
        <f t="shared" si="25"/>
        <v>67.42331999999999</v>
      </c>
      <c r="AE121" s="224">
        <f t="shared" si="25"/>
        <v>208.01807999999997</v>
      </c>
      <c r="AF121" s="224">
        <f t="shared" si="25"/>
        <v>346.69655999999998</v>
      </c>
      <c r="AG121" s="224">
        <f t="shared" si="25"/>
        <v>0</v>
      </c>
      <c r="AH121" s="224">
        <f t="shared" si="25"/>
        <v>0</v>
      </c>
      <c r="AI121" s="224">
        <f t="shared" si="25"/>
        <v>0</v>
      </c>
      <c r="AJ121" s="224">
        <f t="shared" si="25"/>
        <v>0</v>
      </c>
      <c r="AK121" s="224">
        <f t="shared" si="25"/>
        <v>0</v>
      </c>
      <c r="AL121" s="224">
        <f t="shared" si="25"/>
        <v>0</v>
      </c>
      <c r="AM121" s="224">
        <f t="shared" si="25"/>
        <v>0</v>
      </c>
      <c r="AN121" s="224">
        <f t="shared" si="25"/>
        <v>0</v>
      </c>
      <c r="AO121" s="224">
        <f t="shared" si="25"/>
        <v>0</v>
      </c>
    </row>
    <row r="122" spans="3:43" x14ac:dyDescent="0.25">
      <c r="C122" s="76"/>
      <c r="F122" s="66" t="s">
        <v>111</v>
      </c>
      <c r="G122" s="141" t="s">
        <v>107</v>
      </c>
      <c r="H122" s="227">
        <f>SUM(H115:H121)</f>
        <v>11179347.036150251</v>
      </c>
      <c r="I122" s="66"/>
      <c r="J122" s="227">
        <f t="shared" ref="J122:AO122" si="26">SUM(J115:J121)</f>
        <v>4636123.6424140316</v>
      </c>
      <c r="K122" s="227">
        <f t="shared" si="26"/>
        <v>66.466910000000013</v>
      </c>
      <c r="L122" s="227">
        <f t="shared" si="26"/>
        <v>0</v>
      </c>
      <c r="M122" s="227">
        <f t="shared" si="26"/>
        <v>41542.969492487005</v>
      </c>
      <c r="N122" s="227">
        <f t="shared" si="26"/>
        <v>69220.914246472676</v>
      </c>
      <c r="O122" s="227">
        <f t="shared" si="26"/>
        <v>102676.6097396768</v>
      </c>
      <c r="P122" s="227">
        <f t="shared" si="26"/>
        <v>232221.38649215002</v>
      </c>
      <c r="Q122" s="227">
        <f t="shared" si="26"/>
        <v>0</v>
      </c>
      <c r="R122" s="227">
        <f t="shared" si="26"/>
        <v>0</v>
      </c>
      <c r="S122" s="227">
        <f t="shared" si="26"/>
        <v>143319.33689485522</v>
      </c>
      <c r="T122" s="227">
        <f t="shared" si="26"/>
        <v>417174.56810836517</v>
      </c>
      <c r="U122" s="227">
        <f t="shared" si="26"/>
        <v>489774.79254755215</v>
      </c>
      <c r="V122" s="227">
        <f t="shared" si="26"/>
        <v>1685128.8256135972</v>
      </c>
      <c r="W122" s="227">
        <f t="shared" si="26"/>
        <v>0</v>
      </c>
      <c r="X122" s="227">
        <f t="shared" si="26"/>
        <v>0</v>
      </c>
      <c r="Y122" s="227">
        <f t="shared" si="26"/>
        <v>15067.295318316188</v>
      </c>
      <c r="Z122" s="227">
        <f t="shared" si="26"/>
        <v>9243.121163979029</v>
      </c>
      <c r="AA122" s="227">
        <f t="shared" si="26"/>
        <v>761759.97254480433</v>
      </c>
      <c r="AB122" s="227">
        <f t="shared" si="26"/>
        <v>0</v>
      </c>
      <c r="AC122" s="227">
        <f t="shared" si="26"/>
        <v>147090.30850294969</v>
      </c>
      <c r="AD122" s="227">
        <f t="shared" si="26"/>
        <v>254041.97400913571</v>
      </c>
      <c r="AE122" s="227">
        <f t="shared" si="26"/>
        <v>716128.97939357138</v>
      </c>
      <c r="AF122" s="227">
        <f t="shared" si="26"/>
        <v>1500646.9130826192</v>
      </c>
      <c r="AG122" s="227">
        <f t="shared" si="26"/>
        <v>10799.895605688405</v>
      </c>
      <c r="AH122" s="227">
        <f t="shared" si="26"/>
        <v>-52046.322570000004</v>
      </c>
      <c r="AI122" s="227">
        <f t="shared" si="26"/>
        <v>-634.61336000000006</v>
      </c>
      <c r="AJ122" s="227">
        <f t="shared" si="26"/>
        <v>0</v>
      </c>
      <c r="AK122" s="227">
        <f t="shared" si="26"/>
        <v>0</v>
      </c>
      <c r="AL122" s="227">
        <f t="shared" si="26"/>
        <v>0</v>
      </c>
      <c r="AM122" s="227">
        <f t="shared" si="26"/>
        <v>0</v>
      </c>
      <c r="AN122" s="227">
        <f t="shared" si="26"/>
        <v>0</v>
      </c>
      <c r="AO122" s="227">
        <f t="shared" si="26"/>
        <v>0</v>
      </c>
    </row>
    <row r="123" spans="3:43" x14ac:dyDescent="0.25">
      <c r="C123" s="76"/>
      <c r="D123" s="84"/>
      <c r="E123" s="84"/>
      <c r="G123" s="91"/>
      <c r="H123" s="21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V123" s="211"/>
      <c r="W123" s="211"/>
      <c r="X123" s="211"/>
      <c r="Y123" s="211"/>
      <c r="Z123" s="211"/>
      <c r="AA123" s="211"/>
      <c r="AB123" s="211"/>
      <c r="AC123" s="211"/>
      <c r="AD123" s="211"/>
      <c r="AE123" s="211"/>
      <c r="AF123" s="211"/>
      <c r="AG123" s="211"/>
      <c r="AH123" s="211"/>
      <c r="AI123" s="211"/>
      <c r="AJ123" s="211"/>
      <c r="AK123" s="211"/>
      <c r="AL123" s="211"/>
      <c r="AM123" s="211"/>
      <c r="AN123" s="211"/>
      <c r="AO123" s="211"/>
    </row>
    <row r="124" spans="3:43" x14ac:dyDescent="0.25">
      <c r="C124" s="5" t="str">
        <f ca="1">INDEX('Version control'!$H$36:$H$62,MATCH($A$1,'Version control'!$F$36:$F$62,0),1)&amp;"-E: Net revenue summary (for information only)"</f>
        <v>Section 521-E: Net revenue summary (for information only)</v>
      </c>
      <c r="D124" s="5"/>
      <c r="E124" s="5"/>
      <c r="F124" s="5"/>
      <c r="G124" s="5"/>
      <c r="H124" s="205"/>
      <c r="I124" s="5"/>
      <c r="J124" s="205"/>
      <c r="K124" s="205"/>
      <c r="L124" s="205"/>
      <c r="M124" s="205"/>
      <c r="N124" s="205"/>
      <c r="O124" s="205"/>
      <c r="P124" s="205"/>
      <c r="Q124" s="205"/>
      <c r="R124" s="205"/>
      <c r="S124" s="205"/>
      <c r="T124" s="205"/>
      <c r="U124" s="205"/>
      <c r="V124" s="205"/>
      <c r="W124" s="205"/>
      <c r="X124" s="205"/>
      <c r="Y124" s="205"/>
      <c r="Z124" s="205"/>
      <c r="AA124" s="205"/>
      <c r="AB124" s="205"/>
      <c r="AC124" s="205"/>
      <c r="AD124" s="205"/>
      <c r="AE124" s="205"/>
      <c r="AF124" s="205"/>
      <c r="AG124" s="205"/>
      <c r="AH124" s="205"/>
      <c r="AI124" s="205"/>
      <c r="AJ124" s="205"/>
      <c r="AK124" s="205"/>
      <c r="AL124" s="205"/>
      <c r="AM124" s="205"/>
      <c r="AN124" s="205"/>
      <c r="AO124" s="205"/>
      <c r="AP124" s="5"/>
      <c r="AQ124" s="5"/>
    </row>
    <row r="125" spans="3:43" x14ac:dyDescent="0.25">
      <c r="F125" s="19"/>
      <c r="G125" s="140"/>
      <c r="H125" s="232"/>
      <c r="I125" s="19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Z125" s="211"/>
      <c r="AA125" s="211"/>
      <c r="AB125" s="211"/>
      <c r="AC125" s="211"/>
      <c r="AD125" s="211"/>
      <c r="AE125" s="211"/>
      <c r="AF125" s="211"/>
      <c r="AG125" s="211"/>
      <c r="AH125" s="211"/>
      <c r="AI125" s="211"/>
      <c r="AJ125" s="211"/>
      <c r="AK125" s="211"/>
      <c r="AL125" s="211"/>
      <c r="AM125" s="211"/>
      <c r="AN125" s="211"/>
      <c r="AO125" s="211"/>
    </row>
    <row r="126" spans="3:43" x14ac:dyDescent="0.25">
      <c r="E126" t="s">
        <v>184</v>
      </c>
      <c r="G126" s="91" t="s">
        <v>107</v>
      </c>
      <c r="H126" s="372">
        <f>H83</f>
        <v>590490361.41500902</v>
      </c>
      <c r="J126" s="197"/>
      <c r="K126" s="197"/>
      <c r="L126" s="197"/>
      <c r="M126" s="197"/>
      <c r="N126" s="197"/>
      <c r="O126" s="197"/>
      <c r="P126" s="197"/>
      <c r="Q126" s="197"/>
      <c r="R126" s="197"/>
      <c r="S126" s="197"/>
      <c r="T126" s="197"/>
      <c r="U126" s="197"/>
      <c r="V126" s="197"/>
      <c r="W126" s="197"/>
      <c r="X126" s="197"/>
      <c r="Y126" s="197"/>
      <c r="Z126" s="197"/>
      <c r="AA126" s="197"/>
      <c r="AB126" s="197"/>
      <c r="AC126" s="197"/>
      <c r="AD126" s="197"/>
      <c r="AE126" s="197"/>
      <c r="AF126" s="197"/>
      <c r="AG126" s="197"/>
      <c r="AH126" s="197"/>
      <c r="AI126" s="197"/>
      <c r="AJ126" s="197"/>
      <c r="AK126" s="197"/>
      <c r="AL126" s="197"/>
      <c r="AM126" s="197"/>
      <c r="AN126" s="197"/>
      <c r="AO126" s="197"/>
    </row>
    <row r="127" spans="3:43" x14ac:dyDescent="0.25">
      <c r="G127" s="91"/>
      <c r="H127" s="372"/>
      <c r="J127" s="197"/>
      <c r="K127" s="197"/>
      <c r="L127" s="197"/>
      <c r="M127" s="197"/>
      <c r="N127" s="197"/>
      <c r="O127" s="197"/>
      <c r="P127" s="197"/>
      <c r="Q127" s="197"/>
      <c r="R127" s="197"/>
      <c r="S127" s="197"/>
      <c r="T127" s="197"/>
      <c r="U127" s="197"/>
      <c r="V127" s="197"/>
      <c r="W127" s="197"/>
      <c r="X127" s="197"/>
      <c r="Y127" s="197"/>
      <c r="Z127" s="197"/>
      <c r="AA127" s="197"/>
      <c r="AB127" s="197"/>
      <c r="AC127" s="197"/>
      <c r="AD127" s="197"/>
      <c r="AE127" s="197"/>
      <c r="AF127" s="197"/>
      <c r="AG127" s="197"/>
      <c r="AH127" s="197"/>
      <c r="AI127" s="197"/>
      <c r="AJ127" s="197"/>
      <c r="AK127" s="197"/>
      <c r="AL127" s="197"/>
      <c r="AM127" s="197"/>
      <c r="AN127" s="197"/>
      <c r="AO127" s="197"/>
    </row>
    <row r="128" spans="3:43" x14ac:dyDescent="0.25">
      <c r="E128" t="s">
        <v>609</v>
      </c>
      <c r="G128" s="91" t="s">
        <v>107</v>
      </c>
      <c r="H128" s="208">
        <f>H85</f>
        <v>241206195.71250156</v>
      </c>
      <c r="J128" s="197"/>
      <c r="K128" s="197"/>
      <c r="L128" s="197"/>
      <c r="M128" s="197"/>
      <c r="N128" s="197"/>
      <c r="O128" s="197"/>
      <c r="P128" s="197"/>
      <c r="Q128" s="197"/>
      <c r="R128" s="197"/>
      <c r="S128" s="197"/>
      <c r="T128" s="197"/>
      <c r="U128" s="197"/>
      <c r="V128" s="197"/>
      <c r="W128" s="197"/>
      <c r="X128" s="197"/>
      <c r="Y128" s="197"/>
      <c r="Z128" s="197"/>
      <c r="AA128" s="197"/>
      <c r="AB128" s="197"/>
      <c r="AC128" s="197"/>
      <c r="AD128" s="197"/>
      <c r="AE128" s="197"/>
      <c r="AF128" s="197"/>
      <c r="AG128" s="197"/>
      <c r="AH128" s="197"/>
      <c r="AI128" s="197"/>
      <c r="AJ128" s="197"/>
      <c r="AK128" s="197"/>
      <c r="AL128" s="197"/>
      <c r="AM128" s="197"/>
      <c r="AN128" s="197"/>
      <c r="AO128" s="197"/>
    </row>
    <row r="129" spans="2:43" x14ac:dyDescent="0.25">
      <c r="E129" t="s">
        <v>985</v>
      </c>
      <c r="G129" s="91" t="s">
        <v>107</v>
      </c>
      <c r="H129" s="208">
        <f>H86</f>
        <v>3640734.8109803977</v>
      </c>
      <c r="J129" s="197"/>
      <c r="K129" s="197"/>
      <c r="L129" s="197"/>
      <c r="M129" s="197"/>
      <c r="N129" s="197"/>
      <c r="O129" s="197"/>
      <c r="P129" s="197"/>
      <c r="Q129" s="197"/>
      <c r="R129" s="197"/>
      <c r="S129" s="197"/>
      <c r="T129" s="197"/>
      <c r="U129" s="197"/>
      <c r="V129" s="197"/>
      <c r="W129" s="197"/>
      <c r="X129" s="197"/>
      <c r="Y129" s="197"/>
      <c r="Z129" s="197"/>
      <c r="AA129" s="197"/>
      <c r="AB129" s="197"/>
      <c r="AC129" s="197"/>
      <c r="AD129" s="197"/>
      <c r="AE129" s="197"/>
      <c r="AF129" s="197"/>
      <c r="AG129" s="197"/>
      <c r="AH129" s="197"/>
      <c r="AI129" s="197"/>
      <c r="AJ129" s="197"/>
      <c r="AK129" s="197"/>
      <c r="AL129" s="197"/>
      <c r="AM129" s="197"/>
      <c r="AN129" s="197"/>
      <c r="AO129" s="197"/>
    </row>
    <row r="130" spans="2:43" x14ac:dyDescent="0.25">
      <c r="E130" t="s">
        <v>986</v>
      </c>
      <c r="G130" s="91" t="s">
        <v>107</v>
      </c>
      <c r="H130" s="208">
        <f>H87</f>
        <v>6080.3424178222458</v>
      </c>
      <c r="J130" s="197"/>
      <c r="K130" s="197"/>
      <c r="L130" s="197"/>
      <c r="M130" s="197"/>
      <c r="N130" s="197"/>
      <c r="O130" s="197"/>
      <c r="P130" s="197"/>
      <c r="Q130" s="197"/>
      <c r="R130" s="197"/>
      <c r="S130" s="197"/>
      <c r="T130" s="197"/>
      <c r="U130" s="197"/>
      <c r="V130" s="197"/>
      <c r="W130" s="197"/>
      <c r="X130" s="197"/>
      <c r="Y130" s="197"/>
      <c r="Z130" s="197"/>
      <c r="AA130" s="197"/>
      <c r="AB130" s="197"/>
      <c r="AC130" s="197"/>
      <c r="AD130" s="197"/>
      <c r="AE130" s="197"/>
      <c r="AF130" s="197"/>
      <c r="AG130" s="197"/>
      <c r="AH130" s="197"/>
      <c r="AI130" s="197"/>
      <c r="AJ130" s="197"/>
      <c r="AK130" s="197"/>
      <c r="AL130" s="197"/>
      <c r="AM130" s="197"/>
      <c r="AN130" s="197"/>
      <c r="AO130" s="197"/>
    </row>
    <row r="131" spans="2:43" x14ac:dyDescent="0.25">
      <c r="E131" t="s">
        <v>1218</v>
      </c>
      <c r="G131" s="91" t="s">
        <v>107</v>
      </c>
      <c r="H131" s="208">
        <f>H88</f>
        <v>345637350.54910934</v>
      </c>
      <c r="J131" s="197"/>
      <c r="K131" s="197"/>
      <c r="L131" s="197"/>
      <c r="M131" s="197"/>
      <c r="N131" s="197"/>
      <c r="O131" s="197"/>
      <c r="P131" s="197"/>
      <c r="Q131" s="197"/>
      <c r="R131" s="197"/>
      <c r="S131" s="197"/>
      <c r="T131" s="197"/>
      <c r="U131" s="197"/>
      <c r="V131" s="197"/>
      <c r="W131" s="197"/>
      <c r="X131" s="197"/>
      <c r="Y131" s="197"/>
      <c r="Z131" s="197"/>
      <c r="AA131" s="197"/>
      <c r="AB131" s="197"/>
      <c r="AC131" s="197"/>
      <c r="AD131" s="197"/>
      <c r="AE131" s="197"/>
      <c r="AF131" s="197"/>
      <c r="AG131" s="197"/>
      <c r="AH131" s="197"/>
      <c r="AI131" s="197"/>
      <c r="AJ131" s="197"/>
      <c r="AK131" s="197"/>
      <c r="AL131" s="197"/>
      <c r="AM131" s="197"/>
      <c r="AN131" s="197"/>
      <c r="AO131" s="197"/>
    </row>
    <row r="132" spans="2:43" x14ac:dyDescent="0.25">
      <c r="E132" s="17" t="s">
        <v>610</v>
      </c>
      <c r="F132" s="17"/>
      <c r="G132" s="109" t="s">
        <v>107</v>
      </c>
      <c r="H132" s="241">
        <f>SUM(H102,H112,H122) - SUM(H128:H129, H131)</f>
        <v>27483.698169469833</v>
      </c>
      <c r="J132" s="197"/>
      <c r="K132" s="197"/>
      <c r="L132" s="197"/>
      <c r="M132" s="197"/>
      <c r="N132" s="197"/>
      <c r="O132" s="197"/>
      <c r="P132" s="197"/>
      <c r="Q132" s="197"/>
      <c r="R132" s="197"/>
      <c r="S132" s="197"/>
      <c r="T132" s="197"/>
      <c r="U132" s="197"/>
      <c r="V132" s="197"/>
      <c r="W132" s="197"/>
      <c r="X132" s="197"/>
      <c r="Y132" s="197"/>
      <c r="Z132" s="197"/>
      <c r="AA132" s="197"/>
      <c r="AB132" s="197"/>
      <c r="AC132" s="197"/>
      <c r="AD132" s="197"/>
      <c r="AE132" s="197"/>
      <c r="AF132" s="197"/>
      <c r="AG132" s="197"/>
      <c r="AH132" s="197"/>
      <c r="AI132" s="197"/>
      <c r="AJ132" s="197"/>
      <c r="AK132" s="197"/>
      <c r="AL132" s="197"/>
      <c r="AM132" s="197"/>
      <c r="AN132" s="197"/>
      <c r="AO132" s="197"/>
    </row>
    <row r="133" spans="2:43" x14ac:dyDescent="0.25">
      <c r="E133" s="66" t="s">
        <v>612</v>
      </c>
      <c r="F133" s="66"/>
      <c r="G133" s="141" t="s">
        <v>107</v>
      </c>
      <c r="H133" s="241">
        <f>SUM(H128:H132)</f>
        <v>590517845.11317861</v>
      </c>
      <c r="J133" s="197"/>
      <c r="K133" s="197"/>
      <c r="L133" s="197"/>
      <c r="M133" s="197"/>
      <c r="N133" s="197"/>
      <c r="O133" s="197"/>
      <c r="P133" s="197"/>
      <c r="Q133" s="197"/>
      <c r="R133" s="197"/>
      <c r="S133" s="197"/>
      <c r="T133" s="197"/>
      <c r="U133" s="197"/>
      <c r="V133" s="197"/>
      <c r="W133" s="197"/>
      <c r="X133" s="197"/>
      <c r="Y133" s="197"/>
      <c r="Z133" s="197"/>
      <c r="AA133" s="197"/>
      <c r="AB133" s="197"/>
      <c r="AC133" s="197"/>
      <c r="AD133" s="197"/>
      <c r="AE133" s="197"/>
      <c r="AF133" s="197"/>
      <c r="AG133" s="197"/>
      <c r="AH133" s="197"/>
      <c r="AI133" s="197"/>
      <c r="AJ133" s="197"/>
      <c r="AK133" s="197"/>
      <c r="AL133" s="197"/>
      <c r="AM133" s="197"/>
      <c r="AN133" s="197"/>
      <c r="AO133" s="197"/>
    </row>
    <row r="134" spans="2:43" x14ac:dyDescent="0.25">
      <c r="G134" s="91"/>
      <c r="H134" s="197"/>
      <c r="J134" s="197"/>
      <c r="K134" s="197"/>
      <c r="L134" s="197"/>
      <c r="M134" s="197"/>
      <c r="N134" s="197"/>
      <c r="O134" s="197"/>
      <c r="P134" s="197"/>
      <c r="Q134" s="197"/>
      <c r="R134" s="197"/>
      <c r="S134" s="197"/>
      <c r="T134" s="197"/>
      <c r="U134" s="197"/>
      <c r="V134" s="197"/>
      <c r="W134" s="197"/>
      <c r="X134" s="197"/>
      <c r="Y134" s="197"/>
      <c r="Z134" s="197"/>
      <c r="AA134" s="197"/>
      <c r="AB134" s="197"/>
      <c r="AC134" s="197"/>
      <c r="AD134" s="197"/>
      <c r="AE134" s="197"/>
      <c r="AF134" s="197"/>
      <c r="AG134" s="197"/>
      <c r="AH134" s="197"/>
      <c r="AI134" s="197"/>
      <c r="AJ134" s="197"/>
      <c r="AK134" s="197"/>
      <c r="AL134" s="197"/>
      <c r="AM134" s="197"/>
      <c r="AN134" s="197"/>
      <c r="AO134" s="197"/>
    </row>
    <row r="135" spans="2:43" x14ac:dyDescent="0.25">
      <c r="E135" t="s">
        <v>611</v>
      </c>
      <c r="G135" s="91" t="s">
        <v>107</v>
      </c>
      <c r="H135" s="373">
        <f>H133 - H126</f>
        <v>27483.698169589043</v>
      </c>
      <c r="J135" s="197"/>
      <c r="K135" s="197"/>
      <c r="L135" s="197"/>
      <c r="M135" s="197"/>
      <c r="N135" s="197"/>
      <c r="O135" s="197"/>
      <c r="P135" s="197"/>
      <c r="Q135" s="197"/>
      <c r="R135" s="197"/>
      <c r="S135" s="197"/>
      <c r="T135" s="197"/>
      <c r="U135" s="197"/>
      <c r="V135" s="197"/>
      <c r="W135" s="197"/>
      <c r="X135" s="197"/>
      <c r="Y135" s="197"/>
      <c r="Z135" s="197"/>
      <c r="AA135" s="197"/>
      <c r="AB135" s="197"/>
      <c r="AC135" s="197"/>
      <c r="AD135" s="197"/>
      <c r="AE135" s="197"/>
      <c r="AF135" s="197"/>
      <c r="AG135" s="197"/>
      <c r="AH135" s="197"/>
      <c r="AI135" s="197"/>
      <c r="AJ135" s="197"/>
      <c r="AK135" s="197"/>
      <c r="AL135" s="197"/>
      <c r="AM135" s="197"/>
      <c r="AN135" s="197"/>
      <c r="AO135" s="197"/>
    </row>
    <row r="136" spans="2:43" x14ac:dyDescent="0.25">
      <c r="E136" t="s">
        <v>611</v>
      </c>
      <c r="G136" s="91" t="s">
        <v>94</v>
      </c>
      <c r="H136" s="374">
        <f>(H133 - H126) / H126</f>
        <v>4.6543855692629876E-5</v>
      </c>
      <c r="J136" s="197"/>
      <c r="K136" s="197"/>
      <c r="L136" s="197"/>
      <c r="M136" s="197"/>
      <c r="N136" s="197"/>
      <c r="O136" s="197"/>
      <c r="P136" s="197"/>
      <c r="Q136" s="197"/>
      <c r="R136" s="197"/>
      <c r="S136" s="197"/>
      <c r="T136" s="197"/>
      <c r="U136" s="197"/>
      <c r="V136" s="197"/>
      <c r="W136" s="197"/>
      <c r="X136" s="197"/>
      <c r="Y136" s="197"/>
      <c r="Z136" s="197"/>
      <c r="AA136" s="197"/>
      <c r="AB136" s="197"/>
      <c r="AC136" s="197"/>
      <c r="AD136" s="197"/>
      <c r="AE136" s="197"/>
      <c r="AF136" s="197"/>
      <c r="AG136" s="197"/>
      <c r="AH136" s="197"/>
      <c r="AI136" s="197"/>
      <c r="AJ136" s="197"/>
      <c r="AK136" s="197"/>
      <c r="AL136" s="197"/>
      <c r="AM136" s="197"/>
      <c r="AN136" s="197"/>
      <c r="AO136" s="197"/>
    </row>
    <row r="137" spans="2:43" x14ac:dyDescent="0.25">
      <c r="C137" s="76"/>
      <c r="D137" s="84"/>
      <c r="E137" s="84"/>
      <c r="G137" s="9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</row>
    <row r="138" spans="2:43" x14ac:dyDescent="0.25">
      <c r="C138" s="5" t="str">
        <f ca="1">INDEX('Version control'!$H$36:$H$62,MATCH($A$1,'Version control'!$F$36:$F$62,0),1)&amp;"-F: Typical bills"</f>
        <v>Section 521-F: Typical bills</v>
      </c>
      <c r="D138" s="5"/>
      <c r="E138" s="5"/>
      <c r="F138" s="5"/>
      <c r="G138" s="5"/>
      <c r="H138" s="5"/>
      <c r="I138" s="5"/>
      <c r="J138" s="205"/>
      <c r="K138" s="205"/>
      <c r="L138" s="205"/>
      <c r="M138" s="205"/>
      <c r="N138" s="205"/>
      <c r="O138" s="205"/>
      <c r="P138" s="205"/>
      <c r="Q138" s="205"/>
      <c r="R138" s="205"/>
      <c r="S138" s="205"/>
      <c r="T138" s="205"/>
      <c r="U138" s="205"/>
      <c r="V138" s="205"/>
      <c r="W138" s="205"/>
      <c r="X138" s="205"/>
      <c r="Y138" s="205"/>
      <c r="Z138" s="205"/>
      <c r="AA138" s="205"/>
      <c r="AB138" s="205"/>
      <c r="AC138" s="205"/>
      <c r="AD138" s="205"/>
      <c r="AE138" s="205"/>
      <c r="AF138" s="205"/>
      <c r="AG138" s="205"/>
      <c r="AH138" s="205"/>
      <c r="AI138" s="205"/>
      <c r="AJ138" s="205"/>
      <c r="AK138" s="205"/>
      <c r="AL138" s="205"/>
      <c r="AM138" s="205"/>
      <c r="AN138" s="205"/>
      <c r="AO138" s="205"/>
      <c r="AP138" s="5"/>
      <c r="AQ138" s="5"/>
    </row>
    <row r="139" spans="2:43" x14ac:dyDescent="0.25">
      <c r="F139" s="19"/>
      <c r="G139" s="140"/>
      <c r="H139" s="19"/>
      <c r="I139" s="19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  <c r="Z139" s="211"/>
      <c r="AA139" s="211"/>
      <c r="AB139" s="211"/>
      <c r="AC139" s="211"/>
      <c r="AD139" s="211"/>
      <c r="AE139" s="211"/>
      <c r="AF139" s="211"/>
      <c r="AG139" s="211"/>
      <c r="AH139" s="211"/>
      <c r="AI139" s="211"/>
      <c r="AJ139" s="211"/>
      <c r="AK139" s="211"/>
      <c r="AL139" s="211"/>
      <c r="AM139" s="211"/>
      <c r="AN139" s="211"/>
      <c r="AO139" s="211"/>
    </row>
    <row r="140" spans="2:43" x14ac:dyDescent="0.25">
      <c r="E140" t="s">
        <v>484</v>
      </c>
      <c r="G140" s="91" t="s">
        <v>680</v>
      </c>
      <c r="H140" t="s">
        <v>261</v>
      </c>
      <c r="J140" s="197">
        <f t="shared" ref="J140:AO140" si="27" xml:space="preserve"> IF( J25 &lt;&gt; 0, J102 / J25, 0)</f>
        <v>135.55606841872589</v>
      </c>
      <c r="K140" s="197">
        <f t="shared" si="27"/>
        <v>2.7160972826702352</v>
      </c>
      <c r="L140" s="197">
        <f t="shared" si="27"/>
        <v>69.603734685083595</v>
      </c>
      <c r="M140" s="197">
        <f t="shared" si="27"/>
        <v>173.03319299379029</v>
      </c>
      <c r="N140" s="197">
        <f t="shared" si="27"/>
        <v>367.66777922119996</v>
      </c>
      <c r="O140" s="197">
        <f t="shared" si="27"/>
        <v>767.76498102995595</v>
      </c>
      <c r="P140" s="197">
        <f t="shared" si="27"/>
        <v>2212.0000456181542</v>
      </c>
      <c r="Q140" s="197">
        <f t="shared" si="27"/>
        <v>30.937643698857705</v>
      </c>
      <c r="R140" s="197">
        <f t="shared" si="27"/>
        <v>675.32689169039452</v>
      </c>
      <c r="S140" s="197">
        <f t="shared" si="27"/>
        <v>4384.0274677785419</v>
      </c>
      <c r="T140" s="197">
        <f t="shared" si="27"/>
        <v>7700.728721726854</v>
      </c>
      <c r="U140" s="197">
        <f t="shared" si="27"/>
        <v>12814.251622745127</v>
      </c>
      <c r="V140" s="197">
        <f t="shared" si="27"/>
        <v>26992.129205512596</v>
      </c>
      <c r="W140" s="197">
        <f t="shared" si="27"/>
        <v>310.91044345110066</v>
      </c>
      <c r="X140" s="197">
        <f t="shared" si="27"/>
        <v>4990.4381317015814</v>
      </c>
      <c r="Y140" s="197">
        <f t="shared" si="27"/>
        <v>8679.0909387050742</v>
      </c>
      <c r="Z140" s="197">
        <f t="shared" si="27"/>
        <v>14316.347407302635</v>
      </c>
      <c r="AA140" s="197">
        <f t="shared" si="27"/>
        <v>32214.53687327329</v>
      </c>
      <c r="AB140" s="197">
        <f t="shared" si="27"/>
        <v>1967.0735993280352</v>
      </c>
      <c r="AC140" s="197">
        <f t="shared" si="27"/>
        <v>19769.532235201837</v>
      </c>
      <c r="AD140" s="197">
        <f t="shared" si="27"/>
        <v>59489.501267723288</v>
      </c>
      <c r="AE140" s="197">
        <f t="shared" si="27"/>
        <v>119703.29898207929</v>
      </c>
      <c r="AF140" s="197">
        <f t="shared" si="27"/>
        <v>313453.3953051329</v>
      </c>
      <c r="AG140" s="197">
        <f t="shared" si="27"/>
        <v>2009.3886927574381</v>
      </c>
      <c r="AH140" s="197">
        <f t="shared" si="27"/>
        <v>-92.065406486515968</v>
      </c>
      <c r="AI140" s="197">
        <f t="shared" si="27"/>
        <v>-243.90892000000002</v>
      </c>
      <c r="AJ140" s="197">
        <f t="shared" si="27"/>
        <v>-1161.8517129233871</v>
      </c>
      <c r="AK140" s="197">
        <f t="shared" si="27"/>
        <v>0</v>
      </c>
      <c r="AL140" s="197">
        <f t="shared" si="27"/>
        <v>-600.40385666666668</v>
      </c>
      <c r="AM140" s="197">
        <f t="shared" si="27"/>
        <v>0</v>
      </c>
      <c r="AN140" s="197">
        <f t="shared" si="27"/>
        <v>-20764.068305095778</v>
      </c>
      <c r="AO140" s="197">
        <f t="shared" si="27"/>
        <v>0</v>
      </c>
    </row>
    <row r="141" spans="2:43" x14ac:dyDescent="0.25">
      <c r="E141" t="s">
        <v>485</v>
      </c>
      <c r="G141" s="91" t="s">
        <v>680</v>
      </c>
      <c r="H141" t="s">
        <v>146</v>
      </c>
      <c r="J141" s="197">
        <f t="shared" ref="J141:AO141" si="28" xml:space="preserve"> IF( J36 &lt;&gt; 0, J112 / J36, 0)</f>
        <v>80.615274175134473</v>
      </c>
      <c r="K141" s="197">
        <f t="shared" si="28"/>
        <v>4.4028763934426234</v>
      </c>
      <c r="L141" s="197">
        <f t="shared" si="28"/>
        <v>0</v>
      </c>
      <c r="M141" s="197">
        <f t="shared" si="28"/>
        <v>95.608375459340792</v>
      </c>
      <c r="N141" s="197">
        <f t="shared" si="28"/>
        <v>213.58713506009408</v>
      </c>
      <c r="O141" s="197">
        <f t="shared" si="28"/>
        <v>385.18677688613951</v>
      </c>
      <c r="P141" s="197">
        <f t="shared" si="28"/>
        <v>1118.8941778723552</v>
      </c>
      <c r="Q141" s="197">
        <f t="shared" si="28"/>
        <v>0</v>
      </c>
      <c r="R141" s="197">
        <f t="shared" si="28"/>
        <v>0</v>
      </c>
      <c r="S141" s="197">
        <f t="shared" si="28"/>
        <v>2268.0518320257424</v>
      </c>
      <c r="T141" s="197">
        <f t="shared" si="28"/>
        <v>4216.7469699705489</v>
      </c>
      <c r="U141" s="197">
        <f t="shared" si="28"/>
        <v>7171.6842605965658</v>
      </c>
      <c r="V141" s="197">
        <f t="shared" si="28"/>
        <v>17517.050893584601</v>
      </c>
      <c r="W141" s="197">
        <f t="shared" si="28"/>
        <v>0</v>
      </c>
      <c r="X141" s="197">
        <f t="shared" si="28"/>
        <v>0</v>
      </c>
      <c r="Y141" s="197">
        <f t="shared" si="28"/>
        <v>0</v>
      </c>
      <c r="Z141" s="197">
        <f t="shared" si="28"/>
        <v>0</v>
      </c>
      <c r="AA141" s="197">
        <f t="shared" si="28"/>
        <v>0</v>
      </c>
      <c r="AB141" s="197">
        <f t="shared" si="28"/>
        <v>0</v>
      </c>
      <c r="AC141" s="197">
        <f t="shared" si="28"/>
        <v>0</v>
      </c>
      <c r="AD141" s="197">
        <f t="shared" si="28"/>
        <v>0</v>
      </c>
      <c r="AE141" s="197">
        <f t="shared" si="28"/>
        <v>0</v>
      </c>
      <c r="AF141" s="197">
        <f t="shared" si="28"/>
        <v>0</v>
      </c>
      <c r="AG141" s="197">
        <f t="shared" si="28"/>
        <v>238.55822505963715</v>
      </c>
      <c r="AH141" s="197">
        <f t="shared" si="28"/>
        <v>-228.56629161290326</v>
      </c>
      <c r="AI141" s="197">
        <f t="shared" si="28"/>
        <v>0</v>
      </c>
      <c r="AJ141" s="197">
        <f t="shared" si="28"/>
        <v>0</v>
      </c>
      <c r="AK141" s="197">
        <f t="shared" si="28"/>
        <v>0</v>
      </c>
      <c r="AL141" s="197">
        <f t="shared" si="28"/>
        <v>0</v>
      </c>
      <c r="AM141" s="197">
        <f t="shared" si="28"/>
        <v>0</v>
      </c>
      <c r="AN141" s="197">
        <f t="shared" si="28"/>
        <v>0</v>
      </c>
      <c r="AO141" s="197">
        <f t="shared" si="28"/>
        <v>0</v>
      </c>
    </row>
    <row r="142" spans="2:43" x14ac:dyDescent="0.25">
      <c r="E142" t="s">
        <v>486</v>
      </c>
      <c r="G142" s="91" t="s">
        <v>680</v>
      </c>
      <c r="H142" t="s">
        <v>147</v>
      </c>
      <c r="J142" s="197">
        <f t="shared" ref="J142:AO142" si="29" xml:space="preserve"> IF( J47 &lt;&gt; 0, J122 / J47, 0)</f>
        <v>55.02836717864318</v>
      </c>
      <c r="K142" s="197">
        <f t="shared" si="29"/>
        <v>0.94952728571428591</v>
      </c>
      <c r="L142" s="197">
        <f t="shared" si="29"/>
        <v>0</v>
      </c>
      <c r="M142" s="197">
        <f t="shared" si="29"/>
        <v>70.771668641374802</v>
      </c>
      <c r="N142" s="197">
        <f t="shared" si="29"/>
        <v>139.27749345366735</v>
      </c>
      <c r="O142" s="197">
        <f t="shared" si="29"/>
        <v>293.36174211336231</v>
      </c>
      <c r="P142" s="197">
        <f t="shared" si="29"/>
        <v>806.32425865329867</v>
      </c>
      <c r="Q142" s="197">
        <f t="shared" si="29"/>
        <v>0</v>
      </c>
      <c r="R142" s="197">
        <f t="shared" si="29"/>
        <v>0</v>
      </c>
      <c r="S142" s="197">
        <f t="shared" si="29"/>
        <v>1610.3296280320812</v>
      </c>
      <c r="T142" s="197">
        <f t="shared" si="29"/>
        <v>2979.8183436311797</v>
      </c>
      <c r="U142" s="197">
        <f t="shared" si="29"/>
        <v>4897.7479254755217</v>
      </c>
      <c r="V142" s="197">
        <f t="shared" si="29"/>
        <v>11086.373852721033</v>
      </c>
      <c r="W142" s="197">
        <f t="shared" si="29"/>
        <v>0</v>
      </c>
      <c r="X142" s="197">
        <f t="shared" si="29"/>
        <v>0</v>
      </c>
      <c r="Y142" s="197">
        <f t="shared" si="29"/>
        <v>5022.4317727720627</v>
      </c>
      <c r="Z142" s="197">
        <f t="shared" si="29"/>
        <v>9243.121163979029</v>
      </c>
      <c r="AA142" s="197">
        <f t="shared" si="29"/>
        <v>22404.705074847185</v>
      </c>
      <c r="AB142" s="197">
        <f t="shared" si="29"/>
        <v>0</v>
      </c>
      <c r="AC142" s="197">
        <f t="shared" si="29"/>
        <v>16343.367611438855</v>
      </c>
      <c r="AD142" s="197">
        <f t="shared" si="29"/>
        <v>42340.329001522616</v>
      </c>
      <c r="AE142" s="197">
        <f t="shared" si="29"/>
        <v>89516.122424196423</v>
      </c>
      <c r="AF142" s="197">
        <f t="shared" si="29"/>
        <v>214378.13044037417</v>
      </c>
      <c r="AG142" s="197">
        <f t="shared" si="29"/>
        <v>152.11120571392121</v>
      </c>
      <c r="AH142" s="197">
        <f t="shared" si="29"/>
        <v>-99.89697230326297</v>
      </c>
      <c r="AI142" s="197">
        <f t="shared" si="29"/>
        <v>-634.61336000000006</v>
      </c>
      <c r="AJ142" s="197">
        <f t="shared" si="29"/>
        <v>0</v>
      </c>
      <c r="AK142" s="197">
        <f t="shared" si="29"/>
        <v>0</v>
      </c>
      <c r="AL142" s="197">
        <f t="shared" si="29"/>
        <v>0</v>
      </c>
      <c r="AM142" s="197">
        <f t="shared" si="29"/>
        <v>0</v>
      </c>
      <c r="AN142" s="197">
        <f t="shared" si="29"/>
        <v>0</v>
      </c>
      <c r="AO142" s="197">
        <f t="shared" si="29"/>
        <v>0</v>
      </c>
    </row>
    <row r="143" spans="2:43" x14ac:dyDescent="0.25">
      <c r="D143" s="84"/>
      <c r="E143" s="84"/>
      <c r="G143" s="91"/>
      <c r="J143" s="211"/>
      <c r="K143" s="211"/>
      <c r="L143" s="211"/>
      <c r="M143" s="211"/>
      <c r="N143" s="211"/>
      <c r="O143" s="211"/>
      <c r="P143" s="211"/>
      <c r="Q143" s="211"/>
      <c r="R143" s="211"/>
      <c r="S143" s="211"/>
      <c r="T143" s="211"/>
      <c r="U143" s="211"/>
      <c r="V143" s="211"/>
      <c r="W143" s="211"/>
      <c r="X143" s="211"/>
      <c r="Y143" s="211"/>
      <c r="Z143" s="211"/>
      <c r="AA143" s="211"/>
      <c r="AB143" s="211"/>
      <c r="AC143" s="211"/>
      <c r="AD143" s="211"/>
      <c r="AE143" s="211"/>
      <c r="AF143" s="211"/>
      <c r="AG143" s="211"/>
      <c r="AH143" s="211"/>
      <c r="AI143" s="211"/>
      <c r="AJ143" s="211"/>
      <c r="AK143" s="211"/>
      <c r="AL143" s="211"/>
      <c r="AM143" s="211"/>
      <c r="AN143" s="211"/>
      <c r="AO143" s="211"/>
    </row>
    <row r="144" spans="2:43" x14ac:dyDescent="0.25">
      <c r="B144" s="82" t="s">
        <v>109</v>
      </c>
      <c r="C144" s="82"/>
      <c r="D144" s="82"/>
      <c r="E144" s="82"/>
      <c r="F144" s="82"/>
      <c r="G144" s="107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2"/>
      <c r="AM144" s="82"/>
      <c r="AN144" s="82"/>
      <c r="AO144" s="82"/>
      <c r="AP144" s="82"/>
      <c r="AQ144" s="82"/>
    </row>
    <row r="145" spans="2:43" x14ac:dyDescent="0.25">
      <c r="F145" s="19"/>
      <c r="G145" s="140"/>
      <c r="H145" s="19"/>
      <c r="I145" s="19"/>
    </row>
    <row r="146" spans="2:43" x14ac:dyDescent="0.25">
      <c r="D146" t="s">
        <v>415</v>
      </c>
      <c r="G146" s="46" t="s">
        <v>588</v>
      </c>
      <c r="H146" s="263">
        <f t="array" ref="H146">SUM(IF(ISERROR($H$13:$AP$143), 1))</f>
        <v>0</v>
      </c>
      <c r="I146" s="19"/>
    </row>
    <row r="147" spans="2:43" x14ac:dyDescent="0.25">
      <c r="F147" s="19"/>
      <c r="G147" s="19"/>
      <c r="H147" s="19"/>
      <c r="I147" s="19"/>
    </row>
    <row r="148" spans="2:43" x14ac:dyDescent="0.25">
      <c r="B148" s="82" t="s">
        <v>110</v>
      </c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82"/>
      <c r="AD148" s="82"/>
      <c r="AE148" s="82"/>
      <c r="AF148" s="82"/>
      <c r="AG148" s="82"/>
      <c r="AH148" s="82"/>
      <c r="AI148" s="82"/>
      <c r="AJ148" s="82"/>
      <c r="AK148" s="82"/>
      <c r="AL148" s="82"/>
      <c r="AM148" s="82"/>
      <c r="AN148" s="82"/>
      <c r="AO148" s="82"/>
      <c r="AP148" s="82"/>
      <c r="AQ148" s="82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180" activePane="bottomRight" state="frozen"/>
      <selection pane="topRight"/>
      <selection pane="bottomLeft"/>
      <selection pane="bottomRight" activeCell="J205" sqref="J205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2" width="24.5703125" hidden="1" customWidth="1"/>
    <col min="283" max="16384" width="8.5703125" hidden="1"/>
  </cols>
  <sheetData>
    <row r="1" spans="1:44" s="8" customFormat="1" x14ac:dyDescent="0.25">
      <c r="A1" s="8" t="str">
        <f ca="1">MID(CELL("filename",A1),FIND("]",CELL("filename",A1))+1,255)</f>
        <v>Tariff summary</v>
      </c>
    </row>
    <row r="2" spans="1:44" s="8" customFormat="1" x14ac:dyDescent="0.25">
      <c r="A2" s="8" t="str">
        <f>Cover!D21&amp;" - "&amp;Cover!D23</f>
        <v>SP Distribution - One</v>
      </c>
    </row>
    <row r="3" spans="1:44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4" x14ac:dyDescent="0.25">
      <c r="A4" s="194" t="str">
        <f>H641 &amp; IF(H641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44" ht="45" x14ac:dyDescent="0.25">
      <c r="B5" s="112" t="s">
        <v>451</v>
      </c>
      <c r="C5" s="7"/>
      <c r="D5" s="7"/>
      <c r="E5" s="7"/>
      <c r="F5" s="7"/>
      <c r="G5" s="1"/>
      <c r="H5" s="1" t="s">
        <v>534</v>
      </c>
      <c r="J5" s="2" t="s">
        <v>280</v>
      </c>
      <c r="K5" s="2" t="s">
        <v>279</v>
      </c>
      <c r="L5" s="2" t="s">
        <v>278</v>
      </c>
      <c r="M5" s="2" t="s">
        <v>277</v>
      </c>
      <c r="N5" s="2" t="s">
        <v>276</v>
      </c>
      <c r="O5" s="2" t="s">
        <v>275</v>
      </c>
      <c r="P5" s="2" t="s">
        <v>274</v>
      </c>
      <c r="R5" s="1" t="s">
        <v>93</v>
      </c>
    </row>
    <row r="7" spans="1:44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</row>
    <row r="9" spans="1:44" x14ac:dyDescent="0.25">
      <c r="C9" s="73" t="s">
        <v>778</v>
      </c>
    </row>
    <row r="10" spans="1:44" x14ac:dyDescent="0.25">
      <c r="C10" s="73" t="s">
        <v>779</v>
      </c>
    </row>
    <row r="11" spans="1:44" x14ac:dyDescent="0.25">
      <c r="C11" s="73" t="s">
        <v>508</v>
      </c>
    </row>
    <row r="13" spans="1:44" x14ac:dyDescent="0.25">
      <c r="B13" s="82" t="s">
        <v>436</v>
      </c>
      <c r="C13" s="82"/>
      <c r="D13" s="82"/>
      <c r="E13" s="82"/>
      <c r="F13" s="82"/>
      <c r="G13" s="82"/>
      <c r="H13" s="82"/>
      <c r="I13" s="82"/>
      <c r="J13" s="82"/>
      <c r="K13" s="82"/>
      <c r="L13" s="65"/>
      <c r="M13" s="65"/>
      <c r="N13" s="65"/>
      <c r="O13" s="65"/>
      <c r="P13" s="65"/>
      <c r="Q13" s="65"/>
      <c r="R13" s="65"/>
    </row>
    <row r="14" spans="1:44" x14ac:dyDescent="0.25">
      <c r="D14"/>
      <c r="E14"/>
    </row>
    <row r="15" spans="1:44" x14ac:dyDescent="0.25">
      <c r="C15" s="5" t="str">
        <f ca="1">INDEX('Version control'!$H$36:$H$62,MATCH($A$1,'Version control'!$F$36:$F$62,0),1)&amp;"-A: Live tariff results (" &amp; charging_year_selected &amp; ")"</f>
        <v>Output 501-A: Live tariff results (2024/25)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44" x14ac:dyDescent="0.25">
      <c r="D16"/>
      <c r="E16"/>
    </row>
    <row r="17" spans="4:16" x14ac:dyDescent="0.25">
      <c r="D17" s="52"/>
      <c r="E17" s="52" t="str">
        <f>"All the way tariff forecast (" &amp; charging_year_selected &amp; ")"</f>
        <v>All the way tariff forecast (2024/25)</v>
      </c>
    </row>
    <row r="18" spans="4:16" x14ac:dyDescent="0.25">
      <c r="F18" s="80" t="s">
        <v>1001</v>
      </c>
      <c r="G18" s="80"/>
      <c r="H18" s="80" t="s">
        <v>261</v>
      </c>
      <c r="I18" s="80"/>
      <c r="J18" s="382">
        <f t="array" ref="J18:P49">TRANSPOSE(Rounding!J150:AO156)</f>
        <v>8.3000000000000007</v>
      </c>
      <c r="K18" s="382">
        <v>0.95299999999999996</v>
      </c>
      <c r="L18" s="382">
        <v>1.7000000000000001E-2</v>
      </c>
      <c r="M18" s="291">
        <v>25.29</v>
      </c>
      <c r="N18" s="291">
        <v>0</v>
      </c>
      <c r="O18" s="291">
        <v>0</v>
      </c>
      <c r="P18" s="382">
        <v>0</v>
      </c>
    </row>
    <row r="19" spans="4:16" x14ac:dyDescent="0.25">
      <c r="F19" t="s">
        <v>926</v>
      </c>
      <c r="H19" t="s">
        <v>261</v>
      </c>
      <c r="J19" s="397">
        <v>8.3000000000000007</v>
      </c>
      <c r="K19" s="397">
        <v>0.95299999999999996</v>
      </c>
      <c r="L19" s="397">
        <v>1.7000000000000001E-2</v>
      </c>
      <c r="M19" s="398">
        <v>0</v>
      </c>
      <c r="N19" s="398">
        <v>0</v>
      </c>
      <c r="O19" s="398">
        <v>0</v>
      </c>
      <c r="P19" s="397">
        <v>0</v>
      </c>
    </row>
    <row r="20" spans="4:16" x14ac:dyDescent="0.25">
      <c r="F20" t="s">
        <v>1002</v>
      </c>
      <c r="H20" t="s">
        <v>261</v>
      </c>
      <c r="J20" s="397">
        <v>10.018000000000001</v>
      </c>
      <c r="K20" s="397">
        <v>1.1499999999999999</v>
      </c>
      <c r="L20" s="397">
        <v>2.1000000000000001E-2</v>
      </c>
      <c r="M20" s="398">
        <v>6.3</v>
      </c>
      <c r="N20" s="398">
        <v>0</v>
      </c>
      <c r="O20" s="398">
        <v>0</v>
      </c>
      <c r="P20" s="397">
        <v>0</v>
      </c>
    </row>
    <row r="21" spans="4:16" x14ac:dyDescent="0.25">
      <c r="F21" t="s">
        <v>1003</v>
      </c>
      <c r="H21" t="s">
        <v>261</v>
      </c>
      <c r="J21" s="397">
        <v>10.018000000000001</v>
      </c>
      <c r="K21" s="397">
        <v>1.1499999999999999</v>
      </c>
      <c r="L21" s="397">
        <v>2.1000000000000001E-2</v>
      </c>
      <c r="M21" s="398">
        <v>31.74</v>
      </c>
      <c r="N21" s="398">
        <v>0</v>
      </c>
      <c r="O21" s="398">
        <v>0</v>
      </c>
      <c r="P21" s="397">
        <v>0</v>
      </c>
    </row>
    <row r="22" spans="4:16" x14ac:dyDescent="0.25">
      <c r="F22" t="s">
        <v>1004</v>
      </c>
      <c r="H22" t="s">
        <v>261</v>
      </c>
      <c r="J22" s="397">
        <v>10.018000000000001</v>
      </c>
      <c r="K22" s="397">
        <v>1.1499999999999999</v>
      </c>
      <c r="L22" s="397">
        <v>2.1000000000000001E-2</v>
      </c>
      <c r="M22" s="398">
        <v>64.75</v>
      </c>
      <c r="N22" s="398">
        <v>0</v>
      </c>
      <c r="O22" s="398">
        <v>0</v>
      </c>
      <c r="P22" s="397">
        <v>0</v>
      </c>
    </row>
    <row r="23" spans="4:16" x14ac:dyDescent="0.25">
      <c r="F23" t="s">
        <v>1005</v>
      </c>
      <c r="H23" t="s">
        <v>261</v>
      </c>
      <c r="J23" s="397">
        <v>10.018000000000001</v>
      </c>
      <c r="K23" s="397">
        <v>1.1499999999999999</v>
      </c>
      <c r="L23" s="397">
        <v>2.1000000000000001E-2</v>
      </c>
      <c r="M23" s="398">
        <v>132.53</v>
      </c>
      <c r="N23" s="398">
        <v>0</v>
      </c>
      <c r="O23" s="398">
        <v>0</v>
      </c>
      <c r="P23" s="397">
        <v>0</v>
      </c>
    </row>
    <row r="24" spans="4:16" x14ac:dyDescent="0.25">
      <c r="F24" t="s">
        <v>1006</v>
      </c>
      <c r="H24" t="s">
        <v>261</v>
      </c>
      <c r="J24" s="397">
        <v>10.018000000000001</v>
      </c>
      <c r="K24" s="397">
        <v>1.1499999999999999</v>
      </c>
      <c r="L24" s="397">
        <v>2.1000000000000001E-2</v>
      </c>
      <c r="M24" s="398">
        <v>377.39</v>
      </c>
      <c r="N24" s="398">
        <v>0</v>
      </c>
      <c r="O24" s="398">
        <v>0</v>
      </c>
      <c r="P24" s="397">
        <v>0</v>
      </c>
    </row>
    <row r="25" spans="4:16" x14ac:dyDescent="0.25">
      <c r="F25" t="s">
        <v>928</v>
      </c>
      <c r="H25" t="s">
        <v>261</v>
      </c>
      <c r="J25" s="397">
        <v>10.018000000000001</v>
      </c>
      <c r="K25" s="397">
        <v>1.1499999999999999</v>
      </c>
      <c r="L25" s="397">
        <v>2.1000000000000001E-2</v>
      </c>
      <c r="M25" s="398">
        <v>0</v>
      </c>
      <c r="N25" s="398">
        <v>0</v>
      </c>
      <c r="O25" s="398">
        <v>0</v>
      </c>
      <c r="P25" s="397">
        <v>0</v>
      </c>
    </row>
    <row r="26" spans="4:16" x14ac:dyDescent="0.25">
      <c r="F26" t="s">
        <v>1007</v>
      </c>
      <c r="H26" t="s">
        <v>261</v>
      </c>
      <c r="J26" s="397">
        <v>7.2439999999999998</v>
      </c>
      <c r="K26" s="397">
        <v>0.78700000000000003</v>
      </c>
      <c r="L26" s="397">
        <v>1.4E-2</v>
      </c>
      <c r="M26" s="398">
        <v>24.08</v>
      </c>
      <c r="N26" s="398">
        <v>2.94</v>
      </c>
      <c r="O26" s="398">
        <v>4.2699999999999996</v>
      </c>
      <c r="P26" s="397">
        <v>0.14899999999999999</v>
      </c>
    </row>
    <row r="27" spans="4:16" x14ac:dyDescent="0.25">
      <c r="F27" t="s">
        <v>1008</v>
      </c>
      <c r="H27" t="s">
        <v>261</v>
      </c>
      <c r="J27" s="397">
        <v>7.2439999999999998</v>
      </c>
      <c r="K27" s="397">
        <v>0.78700000000000003</v>
      </c>
      <c r="L27" s="397">
        <v>1.4E-2</v>
      </c>
      <c r="M27" s="398">
        <v>713.27</v>
      </c>
      <c r="N27" s="398">
        <v>2.94</v>
      </c>
      <c r="O27" s="398">
        <v>4.2699999999999996</v>
      </c>
      <c r="P27" s="397">
        <v>0.14899999999999999</v>
      </c>
    </row>
    <row r="28" spans="4:16" x14ac:dyDescent="0.25">
      <c r="F28" t="s">
        <v>1009</v>
      </c>
      <c r="H28" t="s">
        <v>261</v>
      </c>
      <c r="J28" s="397">
        <v>7.2439999999999998</v>
      </c>
      <c r="K28" s="397">
        <v>0.78700000000000003</v>
      </c>
      <c r="L28" s="397">
        <v>1.4E-2</v>
      </c>
      <c r="M28" s="398">
        <v>1228.42</v>
      </c>
      <c r="N28" s="398">
        <v>2.94</v>
      </c>
      <c r="O28" s="398">
        <v>4.2699999999999996</v>
      </c>
      <c r="P28" s="397">
        <v>0.14899999999999999</v>
      </c>
    </row>
    <row r="29" spans="4:16" x14ac:dyDescent="0.25">
      <c r="F29" t="s">
        <v>1010</v>
      </c>
      <c r="H29" t="s">
        <v>261</v>
      </c>
      <c r="J29" s="397">
        <v>7.2439999999999998</v>
      </c>
      <c r="K29" s="397">
        <v>0.78700000000000003</v>
      </c>
      <c r="L29" s="397">
        <v>1.4E-2</v>
      </c>
      <c r="M29" s="398">
        <v>2054.9299999999998</v>
      </c>
      <c r="N29" s="398">
        <v>2.94</v>
      </c>
      <c r="O29" s="398">
        <v>4.2699999999999996</v>
      </c>
      <c r="P29" s="397">
        <v>0.14899999999999999</v>
      </c>
    </row>
    <row r="30" spans="4:16" x14ac:dyDescent="0.25">
      <c r="F30" t="s">
        <v>1011</v>
      </c>
      <c r="H30" t="s">
        <v>261</v>
      </c>
      <c r="J30" s="397">
        <v>7.2439999999999998</v>
      </c>
      <c r="K30" s="397">
        <v>0.78700000000000003</v>
      </c>
      <c r="L30" s="397">
        <v>1.4E-2</v>
      </c>
      <c r="M30" s="398">
        <v>4446.13</v>
      </c>
      <c r="N30" s="398">
        <v>2.94</v>
      </c>
      <c r="O30" s="398">
        <v>4.2699999999999996</v>
      </c>
      <c r="P30" s="397">
        <v>0.14899999999999999</v>
      </c>
    </row>
    <row r="31" spans="4:16" x14ac:dyDescent="0.25">
      <c r="F31" t="s">
        <v>1012</v>
      </c>
      <c r="H31" t="s">
        <v>261</v>
      </c>
      <c r="J31" s="397">
        <v>4.1680000000000001</v>
      </c>
      <c r="K31" s="397">
        <v>0.374</v>
      </c>
      <c r="L31" s="397">
        <v>6.0000000000000001E-3</v>
      </c>
      <c r="M31" s="398">
        <v>8.6999999999999993</v>
      </c>
      <c r="N31" s="398">
        <v>5.42</v>
      </c>
      <c r="O31" s="398">
        <v>6.18</v>
      </c>
      <c r="P31" s="397">
        <v>7.4999999999999997E-2</v>
      </c>
    </row>
    <row r="32" spans="4:16" x14ac:dyDescent="0.25">
      <c r="F32" t="s">
        <v>1013</v>
      </c>
      <c r="H32" t="s">
        <v>261</v>
      </c>
      <c r="J32" s="397">
        <v>4.1680000000000001</v>
      </c>
      <c r="K32" s="397">
        <v>0.374</v>
      </c>
      <c r="L32" s="397">
        <v>6.0000000000000001E-3</v>
      </c>
      <c r="M32" s="398">
        <v>697.9</v>
      </c>
      <c r="N32" s="398">
        <v>5.42</v>
      </c>
      <c r="O32" s="398">
        <v>6.18</v>
      </c>
      <c r="P32" s="397">
        <v>7.4999999999999997E-2</v>
      </c>
    </row>
    <row r="33" spans="6:16" x14ac:dyDescent="0.25">
      <c r="F33" t="s">
        <v>1014</v>
      </c>
      <c r="H33" t="s">
        <v>261</v>
      </c>
      <c r="J33" s="397">
        <v>4.1680000000000001</v>
      </c>
      <c r="K33" s="397">
        <v>0.374</v>
      </c>
      <c r="L33" s="397">
        <v>6.0000000000000001E-3</v>
      </c>
      <c r="M33" s="398">
        <v>1213.05</v>
      </c>
      <c r="N33" s="398">
        <v>5.42</v>
      </c>
      <c r="O33" s="398">
        <v>6.18</v>
      </c>
      <c r="P33" s="397">
        <v>7.4999999999999997E-2</v>
      </c>
    </row>
    <row r="34" spans="6:16" x14ac:dyDescent="0.25">
      <c r="F34" t="s">
        <v>1015</v>
      </c>
      <c r="H34" t="s">
        <v>261</v>
      </c>
      <c r="J34" s="397">
        <v>4.1680000000000001</v>
      </c>
      <c r="K34" s="397">
        <v>0.374</v>
      </c>
      <c r="L34" s="397">
        <v>6.0000000000000001E-3</v>
      </c>
      <c r="M34" s="398">
        <v>2039.55</v>
      </c>
      <c r="N34" s="398">
        <v>5.42</v>
      </c>
      <c r="O34" s="398">
        <v>6.18</v>
      </c>
      <c r="P34" s="397">
        <v>7.4999999999999997E-2</v>
      </c>
    </row>
    <row r="35" spans="6:16" x14ac:dyDescent="0.25">
      <c r="F35" t="s">
        <v>1016</v>
      </c>
      <c r="H35" t="s">
        <v>261</v>
      </c>
      <c r="J35" s="397">
        <v>4.1680000000000001</v>
      </c>
      <c r="K35" s="397">
        <v>0.374</v>
      </c>
      <c r="L35" s="397">
        <v>6.0000000000000001E-3</v>
      </c>
      <c r="M35" s="398">
        <v>4430.75</v>
      </c>
      <c r="N35" s="398">
        <v>5.42</v>
      </c>
      <c r="O35" s="398">
        <v>6.18</v>
      </c>
      <c r="P35" s="397">
        <v>7.4999999999999997E-2</v>
      </c>
    </row>
    <row r="36" spans="6:16" x14ac:dyDescent="0.25">
      <c r="F36" t="s">
        <v>1017</v>
      </c>
      <c r="H36" t="s">
        <v>261</v>
      </c>
      <c r="J36" s="397">
        <v>2.887</v>
      </c>
      <c r="K36" s="397">
        <v>0.22900000000000001</v>
      </c>
      <c r="L36" s="397">
        <v>3.0000000000000001E-3</v>
      </c>
      <c r="M36" s="398">
        <v>127.31</v>
      </c>
      <c r="N36" s="398">
        <v>5.97</v>
      </c>
      <c r="O36" s="398">
        <v>7.35</v>
      </c>
      <c r="P36" s="397">
        <v>4.8000000000000001E-2</v>
      </c>
    </row>
    <row r="37" spans="6:16" x14ac:dyDescent="0.25">
      <c r="F37" t="s">
        <v>1018</v>
      </c>
      <c r="H37" t="s">
        <v>261</v>
      </c>
      <c r="J37" s="397">
        <v>2.887</v>
      </c>
      <c r="K37" s="397">
        <v>0.22900000000000001</v>
      </c>
      <c r="L37" s="397">
        <v>3.0000000000000001E-3</v>
      </c>
      <c r="M37" s="398">
        <v>3572.11</v>
      </c>
      <c r="N37" s="398">
        <v>5.97</v>
      </c>
      <c r="O37" s="398">
        <v>7.35</v>
      </c>
      <c r="P37" s="397">
        <v>4.8000000000000001E-2</v>
      </c>
    </row>
    <row r="38" spans="6:16" x14ac:dyDescent="0.25">
      <c r="F38" t="s">
        <v>1019</v>
      </c>
      <c r="H38" t="s">
        <v>261</v>
      </c>
      <c r="J38" s="397">
        <v>2.887</v>
      </c>
      <c r="K38" s="397">
        <v>0.22900000000000001</v>
      </c>
      <c r="L38" s="397">
        <v>3.0000000000000001E-3</v>
      </c>
      <c r="M38" s="398">
        <v>10572.74</v>
      </c>
      <c r="N38" s="398">
        <v>5.97</v>
      </c>
      <c r="O38" s="398">
        <v>7.35</v>
      </c>
      <c r="P38" s="397">
        <v>4.8000000000000001E-2</v>
      </c>
    </row>
    <row r="39" spans="6:16" x14ac:dyDescent="0.25">
      <c r="F39" t="s">
        <v>1020</v>
      </c>
      <c r="H39" t="s">
        <v>261</v>
      </c>
      <c r="J39" s="397">
        <v>2.887</v>
      </c>
      <c r="K39" s="397">
        <v>0.22900000000000001</v>
      </c>
      <c r="L39" s="397">
        <v>3.0000000000000001E-3</v>
      </c>
      <c r="M39" s="398">
        <v>21420.09</v>
      </c>
      <c r="N39" s="398">
        <v>5.97</v>
      </c>
      <c r="O39" s="398">
        <v>7.35</v>
      </c>
      <c r="P39" s="397">
        <v>4.8000000000000001E-2</v>
      </c>
    </row>
    <row r="40" spans="6:16" x14ac:dyDescent="0.25">
      <c r="F40" t="s">
        <v>1021</v>
      </c>
      <c r="H40" t="s">
        <v>261</v>
      </c>
      <c r="J40" s="397">
        <v>2.887</v>
      </c>
      <c r="K40" s="397">
        <v>0.22900000000000001</v>
      </c>
      <c r="L40" s="397">
        <v>3.0000000000000001E-3</v>
      </c>
      <c r="M40" s="398">
        <v>56602.14</v>
      </c>
      <c r="N40" s="398">
        <v>5.97</v>
      </c>
      <c r="O40" s="398">
        <v>7.35</v>
      </c>
      <c r="P40" s="397">
        <v>4.8000000000000001E-2</v>
      </c>
    </row>
    <row r="41" spans="6:16" x14ac:dyDescent="0.25">
      <c r="F41" t="s">
        <v>932</v>
      </c>
      <c r="H41" t="s">
        <v>261</v>
      </c>
      <c r="J41" s="397">
        <v>25.23</v>
      </c>
      <c r="K41" s="397">
        <v>3.8370000000000002</v>
      </c>
      <c r="L41" s="397">
        <v>2.9350000000000001</v>
      </c>
      <c r="M41" s="398">
        <v>0</v>
      </c>
      <c r="N41" s="398">
        <v>0</v>
      </c>
      <c r="O41" s="398">
        <v>0</v>
      </c>
      <c r="P41" s="397">
        <v>0</v>
      </c>
    </row>
    <row r="42" spans="6:16" x14ac:dyDescent="0.25">
      <c r="F42" t="s">
        <v>933</v>
      </c>
      <c r="H42" t="s">
        <v>261</v>
      </c>
      <c r="J42" s="397">
        <v>-6.5279999999999996</v>
      </c>
      <c r="K42" s="397">
        <v>-0.75</v>
      </c>
      <c r="L42" s="397">
        <v>-1.2999999999999999E-2</v>
      </c>
      <c r="M42" s="398">
        <v>0</v>
      </c>
      <c r="N42" s="398">
        <v>0</v>
      </c>
      <c r="O42" s="398">
        <v>0</v>
      </c>
      <c r="P42" s="397">
        <v>0</v>
      </c>
    </row>
    <row r="43" spans="6:16" x14ac:dyDescent="0.25">
      <c r="F43" t="s">
        <v>934</v>
      </c>
      <c r="H43" t="s">
        <v>261</v>
      </c>
      <c r="J43" s="397">
        <v>-5.6840000000000002</v>
      </c>
      <c r="K43" s="397">
        <v>-0.63500000000000001</v>
      </c>
      <c r="L43" s="397">
        <v>-1.0999999999999999E-2</v>
      </c>
      <c r="M43" s="398">
        <v>0</v>
      </c>
      <c r="N43" s="398">
        <v>0</v>
      </c>
      <c r="O43" s="398">
        <v>0</v>
      </c>
      <c r="P43" s="397">
        <v>0</v>
      </c>
    </row>
    <row r="44" spans="6:16" x14ac:dyDescent="0.25">
      <c r="F44" t="s">
        <v>935</v>
      </c>
      <c r="H44" t="s">
        <v>261</v>
      </c>
      <c r="J44" s="397">
        <v>-6.5279999999999996</v>
      </c>
      <c r="K44" s="397">
        <v>-0.75</v>
      </c>
      <c r="L44" s="397">
        <v>-1.2999999999999999E-2</v>
      </c>
      <c r="M44" s="398">
        <v>0</v>
      </c>
      <c r="N44" s="398">
        <v>0</v>
      </c>
      <c r="O44" s="398">
        <v>0</v>
      </c>
      <c r="P44" s="397">
        <v>0.13500000000000001</v>
      </c>
    </row>
    <row r="45" spans="6:16" x14ac:dyDescent="0.25">
      <c r="F45" t="s">
        <v>936</v>
      </c>
      <c r="H45" t="s">
        <v>261</v>
      </c>
      <c r="J45" s="397">
        <v>-6.5279999999999996</v>
      </c>
      <c r="K45" s="397">
        <v>-0.75</v>
      </c>
      <c r="L45" s="397">
        <v>-1.2999999999999999E-2</v>
      </c>
      <c r="M45" s="398">
        <v>0</v>
      </c>
      <c r="N45" s="398">
        <v>0</v>
      </c>
      <c r="O45" s="398">
        <v>0</v>
      </c>
      <c r="P45" s="397">
        <v>0</v>
      </c>
    </row>
    <row r="46" spans="6:16" x14ac:dyDescent="0.25">
      <c r="F46" t="s">
        <v>937</v>
      </c>
      <c r="H46" t="s">
        <v>261</v>
      </c>
      <c r="J46" s="397">
        <v>-5.6840000000000002</v>
      </c>
      <c r="K46" s="397">
        <v>-0.63500000000000001</v>
      </c>
      <c r="L46" s="397">
        <v>-1.0999999999999999E-2</v>
      </c>
      <c r="M46" s="398">
        <v>0</v>
      </c>
      <c r="N46" s="398">
        <v>0</v>
      </c>
      <c r="O46" s="398">
        <v>0</v>
      </c>
      <c r="P46" s="397">
        <v>0.11700000000000001</v>
      </c>
    </row>
    <row r="47" spans="6:16" x14ac:dyDescent="0.25">
      <c r="F47" t="s">
        <v>938</v>
      </c>
      <c r="H47" t="s">
        <v>261</v>
      </c>
      <c r="J47" s="397">
        <v>-5.6840000000000002</v>
      </c>
      <c r="K47" s="397">
        <v>-0.63500000000000001</v>
      </c>
      <c r="L47" s="397">
        <v>-1.0999999999999999E-2</v>
      </c>
      <c r="M47" s="398">
        <v>0</v>
      </c>
      <c r="N47" s="398">
        <v>0</v>
      </c>
      <c r="O47" s="398">
        <v>0</v>
      </c>
      <c r="P47" s="397">
        <v>0</v>
      </c>
    </row>
    <row r="48" spans="6:16" x14ac:dyDescent="0.25">
      <c r="F48" t="s">
        <v>939</v>
      </c>
      <c r="H48" t="s">
        <v>261</v>
      </c>
      <c r="J48" s="397">
        <v>-3.512</v>
      </c>
      <c r="K48" s="397">
        <v>-0.313</v>
      </c>
      <c r="L48" s="397">
        <v>-5.0000000000000001E-3</v>
      </c>
      <c r="M48" s="398">
        <v>92.73</v>
      </c>
      <c r="N48" s="398">
        <v>0</v>
      </c>
      <c r="O48" s="398">
        <v>0</v>
      </c>
      <c r="P48" s="397">
        <v>9.6000000000000002E-2</v>
      </c>
    </row>
    <row r="49" spans="4:16" x14ac:dyDescent="0.25">
      <c r="F49" s="17" t="s">
        <v>940</v>
      </c>
      <c r="G49" s="17"/>
      <c r="H49" s="17" t="s">
        <v>261</v>
      </c>
      <c r="I49" s="17"/>
      <c r="J49" s="383">
        <v>-3.512</v>
      </c>
      <c r="K49" s="383">
        <v>-0.313</v>
      </c>
      <c r="L49" s="383">
        <v>-5.0000000000000001E-3</v>
      </c>
      <c r="M49" s="293">
        <v>92.73</v>
      </c>
      <c r="N49" s="293">
        <v>0</v>
      </c>
      <c r="O49" s="293">
        <v>0</v>
      </c>
      <c r="P49" s="383">
        <v>0</v>
      </c>
    </row>
    <row r="50" spans="4:16" x14ac:dyDescent="0.25">
      <c r="F50" s="84"/>
      <c r="J50" s="294"/>
      <c r="K50" s="294"/>
      <c r="L50" s="294"/>
      <c r="M50" s="294"/>
      <c r="N50" s="294"/>
      <c r="O50" s="294"/>
      <c r="P50" s="384"/>
    </row>
    <row r="51" spans="4:16" x14ac:dyDescent="0.25">
      <c r="D51" s="52"/>
      <c r="E51" s="52" t="str">
        <f>"LDNO LV tariff forecast (" &amp; charging_year_selected &amp; ")"</f>
        <v>LDNO LV tariff forecast (2024/25)</v>
      </c>
      <c r="F51" s="84"/>
      <c r="J51" s="294"/>
      <c r="K51" s="294"/>
      <c r="L51" s="294"/>
      <c r="M51" s="294"/>
      <c r="N51" s="294"/>
      <c r="O51" s="294"/>
      <c r="P51" s="384"/>
    </row>
    <row r="52" spans="4:16" x14ac:dyDescent="0.25">
      <c r="F52" s="80" t="s">
        <v>1001</v>
      </c>
      <c r="G52" s="80"/>
      <c r="H52" s="80" t="s">
        <v>146</v>
      </c>
      <c r="I52" s="80"/>
      <c r="J52" s="382">
        <f t="array" ref="J52:P83">TRANSPOSE(Rounding!J159:AO165)</f>
        <v>4.9279999999999999</v>
      </c>
      <c r="K52" s="382">
        <v>0.56599999999999995</v>
      </c>
      <c r="L52" s="382">
        <v>0.01</v>
      </c>
      <c r="M52" s="291">
        <v>15.21</v>
      </c>
      <c r="N52" s="291">
        <v>0</v>
      </c>
      <c r="O52" s="291">
        <v>0</v>
      </c>
      <c r="P52" s="382">
        <v>0</v>
      </c>
    </row>
    <row r="53" spans="4:16" x14ac:dyDescent="0.25">
      <c r="F53" t="s">
        <v>926</v>
      </c>
      <c r="H53" t="s">
        <v>146</v>
      </c>
      <c r="J53" s="397">
        <v>4.9279999999999999</v>
      </c>
      <c r="K53" s="397">
        <v>0.56599999999999995</v>
      </c>
      <c r="L53" s="397">
        <v>0.01</v>
      </c>
      <c r="M53" s="398">
        <v>0</v>
      </c>
      <c r="N53" s="398">
        <v>0</v>
      </c>
      <c r="O53" s="398">
        <v>0</v>
      </c>
      <c r="P53" s="397">
        <v>0</v>
      </c>
    </row>
    <row r="54" spans="4:16" x14ac:dyDescent="0.25">
      <c r="F54" t="s">
        <v>1002</v>
      </c>
      <c r="H54" t="s">
        <v>146</v>
      </c>
      <c r="J54" s="397">
        <v>5.9480000000000004</v>
      </c>
      <c r="K54" s="397">
        <v>0.68300000000000005</v>
      </c>
      <c r="L54" s="397">
        <v>1.2E-2</v>
      </c>
      <c r="M54" s="398">
        <v>3.87</v>
      </c>
      <c r="N54" s="398">
        <v>0</v>
      </c>
      <c r="O54" s="398">
        <v>0</v>
      </c>
      <c r="P54" s="397">
        <v>0</v>
      </c>
    </row>
    <row r="55" spans="4:16" x14ac:dyDescent="0.25">
      <c r="F55" t="s">
        <v>1003</v>
      </c>
      <c r="H55" t="s">
        <v>146</v>
      </c>
      <c r="J55" s="397">
        <v>5.9480000000000004</v>
      </c>
      <c r="K55" s="397">
        <v>0.68300000000000005</v>
      </c>
      <c r="L55" s="397">
        <v>1.2E-2</v>
      </c>
      <c r="M55" s="398">
        <v>18.97</v>
      </c>
      <c r="N55" s="398">
        <v>0</v>
      </c>
      <c r="O55" s="398">
        <v>0</v>
      </c>
      <c r="P55" s="397">
        <v>0</v>
      </c>
    </row>
    <row r="56" spans="4:16" x14ac:dyDescent="0.25">
      <c r="F56" t="s">
        <v>1004</v>
      </c>
      <c r="H56" t="s">
        <v>146</v>
      </c>
      <c r="J56" s="397">
        <v>5.9480000000000004</v>
      </c>
      <c r="K56" s="397">
        <v>0.68300000000000005</v>
      </c>
      <c r="L56" s="397">
        <v>1.2E-2</v>
      </c>
      <c r="M56" s="398">
        <v>38.57</v>
      </c>
      <c r="N56" s="398">
        <v>0</v>
      </c>
      <c r="O56" s="398">
        <v>0</v>
      </c>
      <c r="P56" s="397">
        <v>0</v>
      </c>
    </row>
    <row r="57" spans="4:16" x14ac:dyDescent="0.25">
      <c r="F57" t="s">
        <v>1005</v>
      </c>
      <c r="H57" t="s">
        <v>146</v>
      </c>
      <c r="J57" s="397">
        <v>5.9480000000000004</v>
      </c>
      <c r="K57" s="397">
        <v>0.68300000000000005</v>
      </c>
      <c r="L57" s="397">
        <v>1.2E-2</v>
      </c>
      <c r="M57" s="398">
        <v>78.819999999999993</v>
      </c>
      <c r="N57" s="398">
        <v>0</v>
      </c>
      <c r="O57" s="398">
        <v>0</v>
      </c>
      <c r="P57" s="397">
        <v>0</v>
      </c>
    </row>
    <row r="58" spans="4:16" x14ac:dyDescent="0.25">
      <c r="F58" t="s">
        <v>1006</v>
      </c>
      <c r="H58" t="s">
        <v>146</v>
      </c>
      <c r="J58" s="397">
        <v>5.9480000000000004</v>
      </c>
      <c r="K58" s="397">
        <v>0.68300000000000005</v>
      </c>
      <c r="L58" s="397">
        <v>1.2E-2</v>
      </c>
      <c r="M58" s="398">
        <v>224.21</v>
      </c>
      <c r="N58" s="398">
        <v>0</v>
      </c>
      <c r="O58" s="398">
        <v>0</v>
      </c>
      <c r="P58" s="397">
        <v>0</v>
      </c>
    </row>
    <row r="59" spans="4:16" x14ac:dyDescent="0.25">
      <c r="F59" t="s">
        <v>928</v>
      </c>
      <c r="H59" t="s">
        <v>146</v>
      </c>
      <c r="J59" s="397">
        <v>5.9480000000000004</v>
      </c>
      <c r="K59" s="397">
        <v>0.68300000000000005</v>
      </c>
      <c r="L59" s="397">
        <v>1.2E-2</v>
      </c>
      <c r="M59" s="398">
        <v>0</v>
      </c>
      <c r="N59" s="398">
        <v>0</v>
      </c>
      <c r="O59" s="398">
        <v>0</v>
      </c>
      <c r="P59" s="397">
        <v>0</v>
      </c>
    </row>
    <row r="60" spans="4:16" x14ac:dyDescent="0.25">
      <c r="F60" t="s">
        <v>1007</v>
      </c>
      <c r="H60" t="s">
        <v>146</v>
      </c>
      <c r="J60" s="397">
        <v>4.3010000000000002</v>
      </c>
      <c r="K60" s="397">
        <v>0.46700000000000003</v>
      </c>
      <c r="L60" s="397">
        <v>8.0000000000000002E-3</v>
      </c>
      <c r="M60" s="398">
        <v>14.42</v>
      </c>
      <c r="N60" s="398">
        <v>1.75</v>
      </c>
      <c r="O60" s="398">
        <v>2.54</v>
      </c>
      <c r="P60" s="397">
        <v>8.8999999999999996E-2</v>
      </c>
    </row>
    <row r="61" spans="4:16" x14ac:dyDescent="0.25">
      <c r="F61" t="s">
        <v>1008</v>
      </c>
      <c r="H61" t="s">
        <v>146</v>
      </c>
      <c r="J61" s="397">
        <v>4.3010000000000002</v>
      </c>
      <c r="K61" s="397">
        <v>0.46700000000000003</v>
      </c>
      <c r="L61" s="397">
        <v>8.0000000000000002E-3</v>
      </c>
      <c r="M61" s="398">
        <v>423.64</v>
      </c>
      <c r="N61" s="398">
        <v>1.75</v>
      </c>
      <c r="O61" s="398">
        <v>2.54</v>
      </c>
      <c r="P61" s="397">
        <v>8.8999999999999996E-2</v>
      </c>
    </row>
    <row r="62" spans="4:16" x14ac:dyDescent="0.25">
      <c r="F62" t="s">
        <v>1009</v>
      </c>
      <c r="H62" t="s">
        <v>146</v>
      </c>
      <c r="J62" s="397">
        <v>4.3010000000000002</v>
      </c>
      <c r="K62" s="397">
        <v>0.46700000000000003</v>
      </c>
      <c r="L62" s="397">
        <v>8.0000000000000002E-3</v>
      </c>
      <c r="M62" s="398">
        <v>729.51</v>
      </c>
      <c r="N62" s="398">
        <v>1.75</v>
      </c>
      <c r="O62" s="398">
        <v>2.54</v>
      </c>
      <c r="P62" s="397">
        <v>8.8999999999999996E-2</v>
      </c>
    </row>
    <row r="63" spans="4:16" x14ac:dyDescent="0.25">
      <c r="F63" t="s">
        <v>1010</v>
      </c>
      <c r="H63" t="s">
        <v>146</v>
      </c>
      <c r="J63" s="397">
        <v>4.3010000000000002</v>
      </c>
      <c r="K63" s="397">
        <v>0.46700000000000003</v>
      </c>
      <c r="L63" s="397">
        <v>8.0000000000000002E-3</v>
      </c>
      <c r="M63" s="398">
        <v>1220.25</v>
      </c>
      <c r="N63" s="398">
        <v>1.75</v>
      </c>
      <c r="O63" s="398">
        <v>2.54</v>
      </c>
      <c r="P63" s="397">
        <v>8.8999999999999996E-2</v>
      </c>
    </row>
    <row r="64" spans="4:16" x14ac:dyDescent="0.25">
      <c r="F64" t="s">
        <v>1011</v>
      </c>
      <c r="H64" t="s">
        <v>146</v>
      </c>
      <c r="J64" s="397">
        <v>4.3010000000000002</v>
      </c>
      <c r="K64" s="397">
        <v>0.46700000000000003</v>
      </c>
      <c r="L64" s="397">
        <v>8.0000000000000002E-3</v>
      </c>
      <c r="M64" s="398">
        <v>2640.04</v>
      </c>
      <c r="N64" s="398">
        <v>1.75</v>
      </c>
      <c r="O64" s="398">
        <v>2.54</v>
      </c>
      <c r="P64" s="397">
        <v>8.8999999999999996E-2</v>
      </c>
    </row>
    <row r="65" spans="6:16" x14ac:dyDescent="0.25">
      <c r="F65" t="s">
        <v>1012</v>
      </c>
      <c r="H65" t="s">
        <v>146</v>
      </c>
      <c r="J65" s="399">
        <v>0</v>
      </c>
      <c r="K65" s="399">
        <v>0</v>
      </c>
      <c r="L65" s="399">
        <v>0</v>
      </c>
      <c r="M65" s="400">
        <v>0</v>
      </c>
      <c r="N65" s="400">
        <v>0</v>
      </c>
      <c r="O65" s="400">
        <v>0</v>
      </c>
      <c r="P65" s="399">
        <v>0</v>
      </c>
    </row>
    <row r="66" spans="6:16" x14ac:dyDescent="0.25">
      <c r="F66" t="s">
        <v>1013</v>
      </c>
      <c r="H66" t="s">
        <v>146</v>
      </c>
      <c r="J66" s="399">
        <v>0</v>
      </c>
      <c r="K66" s="399">
        <v>0</v>
      </c>
      <c r="L66" s="399">
        <v>0</v>
      </c>
      <c r="M66" s="400">
        <v>0</v>
      </c>
      <c r="N66" s="400">
        <v>0</v>
      </c>
      <c r="O66" s="400">
        <v>0</v>
      </c>
      <c r="P66" s="399">
        <v>0</v>
      </c>
    </row>
    <row r="67" spans="6:16" x14ac:dyDescent="0.25">
      <c r="F67" t="s">
        <v>1014</v>
      </c>
      <c r="H67" t="s">
        <v>146</v>
      </c>
      <c r="J67" s="399">
        <v>0</v>
      </c>
      <c r="K67" s="399">
        <v>0</v>
      </c>
      <c r="L67" s="399">
        <v>0</v>
      </c>
      <c r="M67" s="400">
        <v>0</v>
      </c>
      <c r="N67" s="400">
        <v>0</v>
      </c>
      <c r="O67" s="400">
        <v>0</v>
      </c>
      <c r="P67" s="399">
        <v>0</v>
      </c>
    </row>
    <row r="68" spans="6:16" x14ac:dyDescent="0.25">
      <c r="F68" t="s">
        <v>1015</v>
      </c>
      <c r="H68" t="s">
        <v>146</v>
      </c>
      <c r="J68" s="399">
        <v>0</v>
      </c>
      <c r="K68" s="399">
        <v>0</v>
      </c>
      <c r="L68" s="399">
        <v>0</v>
      </c>
      <c r="M68" s="400">
        <v>0</v>
      </c>
      <c r="N68" s="400">
        <v>0</v>
      </c>
      <c r="O68" s="400">
        <v>0</v>
      </c>
      <c r="P68" s="399">
        <v>0</v>
      </c>
    </row>
    <row r="69" spans="6:16" x14ac:dyDescent="0.25">
      <c r="F69" t="s">
        <v>1016</v>
      </c>
      <c r="H69" t="s">
        <v>146</v>
      </c>
      <c r="J69" s="399">
        <v>0</v>
      </c>
      <c r="K69" s="399">
        <v>0</v>
      </c>
      <c r="L69" s="399">
        <v>0</v>
      </c>
      <c r="M69" s="400">
        <v>0</v>
      </c>
      <c r="N69" s="400">
        <v>0</v>
      </c>
      <c r="O69" s="400">
        <v>0</v>
      </c>
      <c r="P69" s="399">
        <v>0</v>
      </c>
    </row>
    <row r="70" spans="6:16" x14ac:dyDescent="0.25">
      <c r="F70" t="s">
        <v>1017</v>
      </c>
      <c r="H70" t="s">
        <v>146</v>
      </c>
      <c r="J70" s="399">
        <v>0</v>
      </c>
      <c r="K70" s="399">
        <v>0</v>
      </c>
      <c r="L70" s="399">
        <v>0</v>
      </c>
      <c r="M70" s="400">
        <v>0</v>
      </c>
      <c r="N70" s="400">
        <v>0</v>
      </c>
      <c r="O70" s="400">
        <v>0</v>
      </c>
      <c r="P70" s="399">
        <v>0</v>
      </c>
    </row>
    <row r="71" spans="6:16" x14ac:dyDescent="0.25">
      <c r="F71" t="s">
        <v>1018</v>
      </c>
      <c r="H71" t="s">
        <v>146</v>
      </c>
      <c r="J71" s="399">
        <v>0</v>
      </c>
      <c r="K71" s="399">
        <v>0</v>
      </c>
      <c r="L71" s="399">
        <v>0</v>
      </c>
      <c r="M71" s="400">
        <v>0</v>
      </c>
      <c r="N71" s="400">
        <v>0</v>
      </c>
      <c r="O71" s="400">
        <v>0</v>
      </c>
      <c r="P71" s="399">
        <v>0</v>
      </c>
    </row>
    <row r="72" spans="6:16" x14ac:dyDescent="0.25">
      <c r="F72" t="s">
        <v>1019</v>
      </c>
      <c r="H72" t="s">
        <v>146</v>
      </c>
      <c r="J72" s="399">
        <v>0</v>
      </c>
      <c r="K72" s="399">
        <v>0</v>
      </c>
      <c r="L72" s="399">
        <v>0</v>
      </c>
      <c r="M72" s="400">
        <v>0</v>
      </c>
      <c r="N72" s="400">
        <v>0</v>
      </c>
      <c r="O72" s="400">
        <v>0</v>
      </c>
      <c r="P72" s="399">
        <v>0</v>
      </c>
    </row>
    <row r="73" spans="6:16" x14ac:dyDescent="0.25">
      <c r="F73" t="s">
        <v>1020</v>
      </c>
      <c r="H73" t="s">
        <v>146</v>
      </c>
      <c r="J73" s="399">
        <v>0</v>
      </c>
      <c r="K73" s="399">
        <v>0</v>
      </c>
      <c r="L73" s="399">
        <v>0</v>
      </c>
      <c r="M73" s="400">
        <v>0</v>
      </c>
      <c r="N73" s="400">
        <v>0</v>
      </c>
      <c r="O73" s="400">
        <v>0</v>
      </c>
      <c r="P73" s="399">
        <v>0</v>
      </c>
    </row>
    <row r="74" spans="6:16" x14ac:dyDescent="0.25">
      <c r="F74" t="s">
        <v>1021</v>
      </c>
      <c r="H74" t="s">
        <v>146</v>
      </c>
      <c r="J74" s="399">
        <v>0</v>
      </c>
      <c r="K74" s="399">
        <v>0</v>
      </c>
      <c r="L74" s="399">
        <v>0</v>
      </c>
      <c r="M74" s="400">
        <v>0</v>
      </c>
      <c r="N74" s="400">
        <v>0</v>
      </c>
      <c r="O74" s="400">
        <v>0</v>
      </c>
      <c r="P74" s="399">
        <v>0</v>
      </c>
    </row>
    <row r="75" spans="6:16" x14ac:dyDescent="0.25">
      <c r="F75" t="s">
        <v>932</v>
      </c>
      <c r="H75" t="s">
        <v>146</v>
      </c>
      <c r="J75" s="397">
        <v>14.981</v>
      </c>
      <c r="K75" s="397">
        <v>2.278</v>
      </c>
      <c r="L75" s="397">
        <v>1.7430000000000001</v>
      </c>
      <c r="M75" s="398">
        <v>0</v>
      </c>
      <c r="N75" s="398">
        <v>0</v>
      </c>
      <c r="O75" s="398">
        <v>0</v>
      </c>
      <c r="P75" s="397">
        <v>0</v>
      </c>
    </row>
    <row r="76" spans="6:16" x14ac:dyDescent="0.25">
      <c r="F76" t="s">
        <v>933</v>
      </c>
      <c r="H76" t="s">
        <v>146</v>
      </c>
      <c r="J76" s="397">
        <v>-6.5279999999999996</v>
      </c>
      <c r="K76" s="397">
        <v>-0.75</v>
      </c>
      <c r="L76" s="397">
        <v>-1.2999999999999999E-2</v>
      </c>
      <c r="M76" s="398">
        <v>0</v>
      </c>
      <c r="N76" s="398">
        <v>0</v>
      </c>
      <c r="O76" s="398">
        <v>0</v>
      </c>
      <c r="P76" s="397">
        <v>0</v>
      </c>
    </row>
    <row r="77" spans="6:16" x14ac:dyDescent="0.25">
      <c r="F77" t="s">
        <v>934</v>
      </c>
      <c r="H77" t="s">
        <v>146</v>
      </c>
      <c r="J77" s="399">
        <v>0</v>
      </c>
      <c r="K77" s="399">
        <v>0</v>
      </c>
      <c r="L77" s="399">
        <v>0</v>
      </c>
      <c r="M77" s="400">
        <v>0</v>
      </c>
      <c r="N77" s="400">
        <v>0</v>
      </c>
      <c r="O77" s="400">
        <v>0</v>
      </c>
      <c r="P77" s="399">
        <v>0</v>
      </c>
    </row>
    <row r="78" spans="6:16" x14ac:dyDescent="0.25">
      <c r="F78" t="s">
        <v>935</v>
      </c>
      <c r="H78" t="s">
        <v>146</v>
      </c>
      <c r="J78" s="397">
        <v>-6.5279999999999996</v>
      </c>
      <c r="K78" s="397">
        <v>-0.75</v>
      </c>
      <c r="L78" s="397">
        <v>-1.2999999999999999E-2</v>
      </c>
      <c r="M78" s="398">
        <v>0</v>
      </c>
      <c r="N78" s="398">
        <v>0</v>
      </c>
      <c r="O78" s="398">
        <v>0</v>
      </c>
      <c r="P78" s="397">
        <v>0.13500000000000001</v>
      </c>
    </row>
    <row r="79" spans="6:16" x14ac:dyDescent="0.25">
      <c r="F79" t="s">
        <v>936</v>
      </c>
      <c r="H79" t="s">
        <v>146</v>
      </c>
      <c r="J79" s="399">
        <v>0</v>
      </c>
      <c r="K79" s="399">
        <v>0</v>
      </c>
      <c r="L79" s="399">
        <v>0</v>
      </c>
      <c r="M79" s="400">
        <v>0</v>
      </c>
      <c r="N79" s="400">
        <v>0</v>
      </c>
      <c r="O79" s="400">
        <v>0</v>
      </c>
      <c r="P79" s="399">
        <v>0</v>
      </c>
    </row>
    <row r="80" spans="6:16" x14ac:dyDescent="0.25">
      <c r="F80" t="s">
        <v>937</v>
      </c>
      <c r="H80" t="s">
        <v>146</v>
      </c>
      <c r="J80" s="399">
        <v>0</v>
      </c>
      <c r="K80" s="399">
        <v>0</v>
      </c>
      <c r="L80" s="399">
        <v>0</v>
      </c>
      <c r="M80" s="400">
        <v>0</v>
      </c>
      <c r="N80" s="400">
        <v>0</v>
      </c>
      <c r="O80" s="400">
        <v>0</v>
      </c>
      <c r="P80" s="399">
        <v>0</v>
      </c>
    </row>
    <row r="81" spans="4:16" x14ac:dyDescent="0.25">
      <c r="F81" t="s">
        <v>938</v>
      </c>
      <c r="H81" t="s">
        <v>146</v>
      </c>
      <c r="J81" s="399">
        <v>0</v>
      </c>
      <c r="K81" s="399">
        <v>0</v>
      </c>
      <c r="L81" s="399">
        <v>0</v>
      </c>
      <c r="M81" s="400">
        <v>0</v>
      </c>
      <c r="N81" s="400">
        <v>0</v>
      </c>
      <c r="O81" s="400">
        <v>0</v>
      </c>
      <c r="P81" s="399">
        <v>0</v>
      </c>
    </row>
    <row r="82" spans="4:16" x14ac:dyDescent="0.25">
      <c r="F82" t="s">
        <v>939</v>
      </c>
      <c r="H82" t="s">
        <v>146</v>
      </c>
      <c r="J82" s="399">
        <v>0</v>
      </c>
      <c r="K82" s="399">
        <v>0</v>
      </c>
      <c r="L82" s="399">
        <v>0</v>
      </c>
      <c r="M82" s="400">
        <v>0</v>
      </c>
      <c r="N82" s="400">
        <v>0</v>
      </c>
      <c r="O82" s="400">
        <v>0</v>
      </c>
      <c r="P82" s="399">
        <v>0</v>
      </c>
    </row>
    <row r="83" spans="4:16" x14ac:dyDescent="0.25">
      <c r="F83" s="17" t="s">
        <v>940</v>
      </c>
      <c r="G83" s="17"/>
      <c r="H83" s="17" t="s">
        <v>146</v>
      </c>
      <c r="I83" s="17"/>
      <c r="J83" s="385">
        <v>0</v>
      </c>
      <c r="K83" s="385">
        <v>0</v>
      </c>
      <c r="L83" s="385">
        <v>0</v>
      </c>
      <c r="M83" s="295">
        <v>0</v>
      </c>
      <c r="N83" s="295">
        <v>0</v>
      </c>
      <c r="O83" s="295">
        <v>0</v>
      </c>
      <c r="P83" s="385">
        <v>0</v>
      </c>
    </row>
    <row r="84" spans="4:16" x14ac:dyDescent="0.25">
      <c r="D84"/>
      <c r="E84"/>
      <c r="J84" s="384"/>
      <c r="K84" s="384"/>
      <c r="L84" s="384"/>
      <c r="M84" s="294"/>
      <c r="N84" s="294"/>
      <c r="O84" s="294"/>
      <c r="P84" s="384"/>
    </row>
    <row r="85" spans="4:16" x14ac:dyDescent="0.25">
      <c r="D85" s="52"/>
      <c r="E85" s="52" t="str">
        <f>"LDNO HV tariff forecast (" &amp; charging_year_selected &amp; ")"</f>
        <v>LDNO HV tariff forecast (2024/25)</v>
      </c>
      <c r="J85" s="384"/>
      <c r="K85" s="384"/>
      <c r="L85" s="384"/>
      <c r="M85" s="294"/>
      <c r="N85" s="294"/>
      <c r="O85" s="294"/>
      <c r="P85" s="384"/>
    </row>
    <row r="86" spans="4:16" x14ac:dyDescent="0.25">
      <c r="F86" s="80" t="s">
        <v>1001</v>
      </c>
      <c r="G86" s="80"/>
      <c r="H86" s="80" t="s">
        <v>147</v>
      </c>
      <c r="I86" s="80"/>
      <c r="J86" s="382">
        <f t="array" ref="J86:P117">TRANSPOSE(Rounding!J168:AO174)</f>
        <v>3.262</v>
      </c>
      <c r="K86" s="382">
        <v>0.375</v>
      </c>
      <c r="L86" s="382">
        <v>7.0000000000000001E-3</v>
      </c>
      <c r="M86" s="291">
        <v>10.23</v>
      </c>
      <c r="N86" s="291">
        <v>0</v>
      </c>
      <c r="O86" s="291">
        <v>0</v>
      </c>
      <c r="P86" s="382">
        <v>0</v>
      </c>
    </row>
    <row r="87" spans="4:16" x14ac:dyDescent="0.25">
      <c r="F87" t="s">
        <v>926</v>
      </c>
      <c r="H87" t="s">
        <v>147</v>
      </c>
      <c r="J87" s="397">
        <v>3.262</v>
      </c>
      <c r="K87" s="397">
        <v>0.375</v>
      </c>
      <c r="L87" s="397">
        <v>7.0000000000000001E-3</v>
      </c>
      <c r="M87" s="398">
        <v>0</v>
      </c>
      <c r="N87" s="398">
        <v>0</v>
      </c>
      <c r="O87" s="398">
        <v>0</v>
      </c>
      <c r="P87" s="397">
        <v>0</v>
      </c>
    </row>
    <row r="88" spans="4:16" x14ac:dyDescent="0.25">
      <c r="F88" t="s">
        <v>1002</v>
      </c>
      <c r="H88" t="s">
        <v>147</v>
      </c>
      <c r="J88" s="397">
        <v>3.9369999999999998</v>
      </c>
      <c r="K88" s="397">
        <v>0.45200000000000001</v>
      </c>
      <c r="L88" s="397">
        <v>8.0000000000000002E-3</v>
      </c>
      <c r="M88" s="398">
        <v>2.67</v>
      </c>
      <c r="N88" s="398">
        <v>0</v>
      </c>
      <c r="O88" s="398">
        <v>0</v>
      </c>
      <c r="P88" s="397">
        <v>0</v>
      </c>
    </row>
    <row r="89" spans="4:16" x14ac:dyDescent="0.25">
      <c r="F89" t="s">
        <v>1003</v>
      </c>
      <c r="H89" t="s">
        <v>147</v>
      </c>
      <c r="J89" s="397">
        <v>3.9369999999999998</v>
      </c>
      <c r="K89" s="397">
        <v>0.45200000000000001</v>
      </c>
      <c r="L89" s="397">
        <v>8.0000000000000002E-3</v>
      </c>
      <c r="M89" s="398">
        <v>12.66</v>
      </c>
      <c r="N89" s="398">
        <v>0</v>
      </c>
      <c r="O89" s="398">
        <v>0</v>
      </c>
      <c r="P89" s="397">
        <v>0</v>
      </c>
    </row>
    <row r="90" spans="4:16" x14ac:dyDescent="0.25">
      <c r="F90" t="s">
        <v>1004</v>
      </c>
      <c r="H90" t="s">
        <v>147</v>
      </c>
      <c r="J90" s="397">
        <v>3.9369999999999998</v>
      </c>
      <c r="K90" s="397">
        <v>0.45200000000000001</v>
      </c>
      <c r="L90" s="397">
        <v>8.0000000000000002E-3</v>
      </c>
      <c r="M90" s="398">
        <v>25.64</v>
      </c>
      <c r="N90" s="398">
        <v>0</v>
      </c>
      <c r="O90" s="398">
        <v>0</v>
      </c>
      <c r="P90" s="397">
        <v>0</v>
      </c>
    </row>
    <row r="91" spans="4:16" x14ac:dyDescent="0.25">
      <c r="F91" t="s">
        <v>1005</v>
      </c>
      <c r="H91" t="s">
        <v>147</v>
      </c>
      <c r="J91" s="397">
        <v>3.9369999999999998</v>
      </c>
      <c r="K91" s="397">
        <v>0.45200000000000001</v>
      </c>
      <c r="L91" s="397">
        <v>8.0000000000000002E-3</v>
      </c>
      <c r="M91" s="398">
        <v>52.27</v>
      </c>
      <c r="N91" s="398">
        <v>0</v>
      </c>
      <c r="O91" s="398">
        <v>0</v>
      </c>
      <c r="P91" s="397">
        <v>0</v>
      </c>
    </row>
    <row r="92" spans="4:16" x14ac:dyDescent="0.25">
      <c r="F92" t="s">
        <v>1006</v>
      </c>
      <c r="H92" t="s">
        <v>147</v>
      </c>
      <c r="J92" s="397">
        <v>3.9369999999999998</v>
      </c>
      <c r="K92" s="397">
        <v>0.45200000000000001</v>
      </c>
      <c r="L92" s="397">
        <v>8.0000000000000002E-3</v>
      </c>
      <c r="M92" s="398">
        <v>148.51</v>
      </c>
      <c r="N92" s="398">
        <v>0</v>
      </c>
      <c r="O92" s="398">
        <v>0</v>
      </c>
      <c r="P92" s="397">
        <v>0</v>
      </c>
    </row>
    <row r="93" spans="4:16" x14ac:dyDescent="0.25">
      <c r="F93" t="s">
        <v>928</v>
      </c>
      <c r="H93" t="s">
        <v>147</v>
      </c>
      <c r="J93" s="397">
        <v>3.9369999999999998</v>
      </c>
      <c r="K93" s="397">
        <v>0.45200000000000001</v>
      </c>
      <c r="L93" s="397">
        <v>8.0000000000000002E-3</v>
      </c>
      <c r="M93" s="398">
        <v>0</v>
      </c>
      <c r="N93" s="398">
        <v>0</v>
      </c>
      <c r="O93" s="398">
        <v>0</v>
      </c>
      <c r="P93" s="397">
        <v>0</v>
      </c>
    </row>
    <row r="94" spans="4:16" x14ac:dyDescent="0.25">
      <c r="F94" t="s">
        <v>1007</v>
      </c>
      <c r="H94" t="s">
        <v>147</v>
      </c>
      <c r="J94" s="397">
        <v>2.847</v>
      </c>
      <c r="K94" s="397">
        <v>0.309</v>
      </c>
      <c r="L94" s="397">
        <v>5.0000000000000001E-3</v>
      </c>
      <c r="M94" s="398">
        <v>9.65</v>
      </c>
      <c r="N94" s="398">
        <v>1.1599999999999999</v>
      </c>
      <c r="O94" s="398">
        <v>1.68</v>
      </c>
      <c r="P94" s="397">
        <v>5.8999999999999997E-2</v>
      </c>
    </row>
    <row r="95" spans="4:16" x14ac:dyDescent="0.25">
      <c r="F95" t="s">
        <v>1008</v>
      </c>
      <c r="H95" t="s">
        <v>147</v>
      </c>
      <c r="J95" s="397">
        <v>2.847</v>
      </c>
      <c r="K95" s="397">
        <v>0.309</v>
      </c>
      <c r="L95" s="397">
        <v>5.0000000000000001E-3</v>
      </c>
      <c r="M95" s="398">
        <v>280.51</v>
      </c>
      <c r="N95" s="398">
        <v>1.1599999999999999</v>
      </c>
      <c r="O95" s="398">
        <v>1.68</v>
      </c>
      <c r="P95" s="397">
        <v>5.8999999999999997E-2</v>
      </c>
    </row>
    <row r="96" spans="4:16" x14ac:dyDescent="0.25">
      <c r="F96" t="s">
        <v>1009</v>
      </c>
      <c r="H96" t="s">
        <v>147</v>
      </c>
      <c r="J96" s="397">
        <v>2.847</v>
      </c>
      <c r="K96" s="397">
        <v>0.309</v>
      </c>
      <c r="L96" s="397">
        <v>5.0000000000000001E-3</v>
      </c>
      <c r="M96" s="398">
        <v>482.96</v>
      </c>
      <c r="N96" s="398">
        <v>1.1599999999999999</v>
      </c>
      <c r="O96" s="398">
        <v>1.68</v>
      </c>
      <c r="P96" s="397">
        <v>5.8999999999999997E-2</v>
      </c>
    </row>
    <row r="97" spans="6:16" x14ac:dyDescent="0.25">
      <c r="F97" t="s">
        <v>1010</v>
      </c>
      <c r="H97" t="s">
        <v>147</v>
      </c>
      <c r="J97" s="397">
        <v>2.847</v>
      </c>
      <c r="K97" s="397">
        <v>0.309</v>
      </c>
      <c r="L97" s="397">
        <v>5.0000000000000001E-3</v>
      </c>
      <c r="M97" s="398">
        <v>807.78</v>
      </c>
      <c r="N97" s="398">
        <v>1.1599999999999999</v>
      </c>
      <c r="O97" s="398">
        <v>1.68</v>
      </c>
      <c r="P97" s="397">
        <v>5.8999999999999997E-2</v>
      </c>
    </row>
    <row r="98" spans="6:16" x14ac:dyDescent="0.25">
      <c r="F98" t="s">
        <v>1011</v>
      </c>
      <c r="H98" t="s">
        <v>147</v>
      </c>
      <c r="J98" s="397">
        <v>2.847</v>
      </c>
      <c r="K98" s="397">
        <v>0.309</v>
      </c>
      <c r="L98" s="397">
        <v>5.0000000000000001E-3</v>
      </c>
      <c r="M98" s="398">
        <v>1747.53</v>
      </c>
      <c r="N98" s="398">
        <v>1.1599999999999999</v>
      </c>
      <c r="O98" s="398">
        <v>1.68</v>
      </c>
      <c r="P98" s="397">
        <v>5.8999999999999997E-2</v>
      </c>
    </row>
    <row r="99" spans="6:16" x14ac:dyDescent="0.25">
      <c r="F99" t="s">
        <v>1012</v>
      </c>
      <c r="H99" t="s">
        <v>147</v>
      </c>
      <c r="J99" s="397">
        <v>2.7629999999999999</v>
      </c>
      <c r="K99" s="397">
        <v>0.248</v>
      </c>
      <c r="L99" s="397">
        <v>4.0000000000000001E-3</v>
      </c>
      <c r="M99" s="398">
        <v>5.87</v>
      </c>
      <c r="N99" s="398">
        <v>3.6</v>
      </c>
      <c r="O99" s="398">
        <v>4.0999999999999996</v>
      </c>
      <c r="P99" s="397">
        <v>0.05</v>
      </c>
    </row>
    <row r="100" spans="6:16" x14ac:dyDescent="0.25">
      <c r="F100" t="s">
        <v>1013</v>
      </c>
      <c r="H100" t="s">
        <v>147</v>
      </c>
      <c r="J100" s="397">
        <v>2.7629999999999999</v>
      </c>
      <c r="K100" s="397">
        <v>0.248</v>
      </c>
      <c r="L100" s="397">
        <v>4.0000000000000001E-3</v>
      </c>
      <c r="M100" s="398">
        <v>462.78</v>
      </c>
      <c r="N100" s="398">
        <v>3.6</v>
      </c>
      <c r="O100" s="398">
        <v>4.0999999999999996</v>
      </c>
      <c r="P100" s="397">
        <v>0.05</v>
      </c>
    </row>
    <row r="101" spans="6:16" x14ac:dyDescent="0.25">
      <c r="F101" t="s">
        <v>1014</v>
      </c>
      <c r="H101" t="s">
        <v>147</v>
      </c>
      <c r="J101" s="397">
        <v>2.7629999999999999</v>
      </c>
      <c r="K101" s="397">
        <v>0.248</v>
      </c>
      <c r="L101" s="397">
        <v>4.0000000000000001E-3</v>
      </c>
      <c r="M101" s="398">
        <v>804.31</v>
      </c>
      <c r="N101" s="398">
        <v>3.6</v>
      </c>
      <c r="O101" s="398">
        <v>4.0999999999999996</v>
      </c>
      <c r="P101" s="397">
        <v>0.05</v>
      </c>
    </row>
    <row r="102" spans="6:16" x14ac:dyDescent="0.25">
      <c r="F102" t="s">
        <v>1015</v>
      </c>
      <c r="H102" t="s">
        <v>147</v>
      </c>
      <c r="J102" s="397">
        <v>2.7629999999999999</v>
      </c>
      <c r="K102" s="397">
        <v>0.248</v>
      </c>
      <c r="L102" s="397">
        <v>4.0000000000000001E-3</v>
      </c>
      <c r="M102" s="398">
        <v>1352.25</v>
      </c>
      <c r="N102" s="398">
        <v>3.6</v>
      </c>
      <c r="O102" s="398">
        <v>4.0999999999999996</v>
      </c>
      <c r="P102" s="397">
        <v>0.05</v>
      </c>
    </row>
    <row r="103" spans="6:16" x14ac:dyDescent="0.25">
      <c r="F103" t="s">
        <v>1016</v>
      </c>
      <c r="H103" t="s">
        <v>147</v>
      </c>
      <c r="J103" s="397">
        <v>2.7629999999999999</v>
      </c>
      <c r="K103" s="397">
        <v>0.248</v>
      </c>
      <c r="L103" s="397">
        <v>4.0000000000000001E-3</v>
      </c>
      <c r="M103" s="398">
        <v>2937.52</v>
      </c>
      <c r="N103" s="398">
        <v>3.6</v>
      </c>
      <c r="O103" s="398">
        <v>4.0999999999999996</v>
      </c>
      <c r="P103" s="397">
        <v>0.05</v>
      </c>
    </row>
    <row r="104" spans="6:16" x14ac:dyDescent="0.25">
      <c r="F104" t="s">
        <v>1017</v>
      </c>
      <c r="H104" t="s">
        <v>147</v>
      </c>
      <c r="J104" s="397">
        <v>2.1960000000000002</v>
      </c>
      <c r="K104" s="397">
        <v>0.17399999999999999</v>
      </c>
      <c r="L104" s="397">
        <v>2E-3</v>
      </c>
      <c r="M104" s="398">
        <v>96.91</v>
      </c>
      <c r="N104" s="398">
        <v>4.54</v>
      </c>
      <c r="O104" s="398">
        <v>5.59</v>
      </c>
      <c r="P104" s="397">
        <v>3.5999999999999997E-2</v>
      </c>
    </row>
    <row r="105" spans="6:16" x14ac:dyDescent="0.25">
      <c r="F105" t="s">
        <v>1018</v>
      </c>
      <c r="H105" t="s">
        <v>147</v>
      </c>
      <c r="J105" s="397">
        <v>2.1960000000000002</v>
      </c>
      <c r="K105" s="397">
        <v>0.17399999999999999</v>
      </c>
      <c r="L105" s="397">
        <v>2E-3</v>
      </c>
      <c r="M105" s="398">
        <v>2717.16</v>
      </c>
      <c r="N105" s="398">
        <v>4.54</v>
      </c>
      <c r="O105" s="398">
        <v>5.59</v>
      </c>
      <c r="P105" s="397">
        <v>3.5999999999999997E-2</v>
      </c>
    </row>
    <row r="106" spans="6:16" x14ac:dyDescent="0.25">
      <c r="F106" t="s">
        <v>1019</v>
      </c>
      <c r="H106" t="s">
        <v>147</v>
      </c>
      <c r="J106" s="397">
        <v>2.1960000000000002</v>
      </c>
      <c r="K106" s="397">
        <v>0.17399999999999999</v>
      </c>
      <c r="L106" s="397">
        <v>2E-3</v>
      </c>
      <c r="M106" s="398">
        <v>8042.1</v>
      </c>
      <c r="N106" s="398">
        <v>4.54</v>
      </c>
      <c r="O106" s="398">
        <v>5.59</v>
      </c>
      <c r="P106" s="397">
        <v>3.5999999999999997E-2</v>
      </c>
    </row>
    <row r="107" spans="6:16" x14ac:dyDescent="0.25">
      <c r="F107" t="s">
        <v>1020</v>
      </c>
      <c r="H107" t="s">
        <v>147</v>
      </c>
      <c r="J107" s="397">
        <v>2.1960000000000002</v>
      </c>
      <c r="K107" s="397">
        <v>0.17399999999999999</v>
      </c>
      <c r="L107" s="397">
        <v>2E-3</v>
      </c>
      <c r="M107" s="398">
        <v>16293.01</v>
      </c>
      <c r="N107" s="398">
        <v>4.54</v>
      </c>
      <c r="O107" s="398">
        <v>5.59</v>
      </c>
      <c r="P107" s="397">
        <v>3.5999999999999997E-2</v>
      </c>
    </row>
    <row r="108" spans="6:16" x14ac:dyDescent="0.25">
      <c r="F108" t="s">
        <v>1021</v>
      </c>
      <c r="H108" t="s">
        <v>147</v>
      </c>
      <c r="J108" s="397">
        <v>2.1960000000000002</v>
      </c>
      <c r="K108" s="397">
        <v>0.17399999999999999</v>
      </c>
      <c r="L108" s="397">
        <v>2E-3</v>
      </c>
      <c r="M108" s="398">
        <v>43053.82</v>
      </c>
      <c r="N108" s="398">
        <v>4.54</v>
      </c>
      <c r="O108" s="398">
        <v>5.59</v>
      </c>
      <c r="P108" s="397">
        <v>3.5999999999999997E-2</v>
      </c>
    </row>
    <row r="109" spans="6:16" x14ac:dyDescent="0.25">
      <c r="F109" t="s">
        <v>932</v>
      </c>
      <c r="H109" t="s">
        <v>147</v>
      </c>
      <c r="J109" s="397">
        <v>9.9160000000000004</v>
      </c>
      <c r="K109" s="397">
        <v>1.508</v>
      </c>
      <c r="L109" s="397">
        <v>1.1539999999999999</v>
      </c>
      <c r="M109" s="398">
        <v>0</v>
      </c>
      <c r="N109" s="398">
        <v>0</v>
      </c>
      <c r="O109" s="398">
        <v>0</v>
      </c>
      <c r="P109" s="397">
        <v>0</v>
      </c>
    </row>
    <row r="110" spans="6:16" x14ac:dyDescent="0.25">
      <c r="F110" t="s">
        <v>933</v>
      </c>
      <c r="H110" t="s">
        <v>147</v>
      </c>
      <c r="J110" s="397">
        <v>-6.5279999999999996</v>
      </c>
      <c r="K110" s="397">
        <v>-0.75</v>
      </c>
      <c r="L110" s="397">
        <v>-1.2999999999999999E-2</v>
      </c>
      <c r="M110" s="398">
        <v>0</v>
      </c>
      <c r="N110" s="398">
        <v>0</v>
      </c>
      <c r="O110" s="398">
        <v>0</v>
      </c>
      <c r="P110" s="397">
        <v>0</v>
      </c>
    </row>
    <row r="111" spans="6:16" x14ac:dyDescent="0.25">
      <c r="F111" t="s">
        <v>934</v>
      </c>
      <c r="H111" t="s">
        <v>147</v>
      </c>
      <c r="J111" s="397">
        <v>-5.6840000000000002</v>
      </c>
      <c r="K111" s="397">
        <v>-0.63500000000000001</v>
      </c>
      <c r="L111" s="397">
        <v>-1.0999999999999999E-2</v>
      </c>
      <c r="M111" s="398">
        <v>0</v>
      </c>
      <c r="N111" s="398">
        <v>0</v>
      </c>
      <c r="O111" s="398">
        <v>0</v>
      </c>
      <c r="P111" s="397">
        <v>0</v>
      </c>
    </row>
    <row r="112" spans="6:16" x14ac:dyDescent="0.25">
      <c r="F112" t="s">
        <v>935</v>
      </c>
      <c r="H112" t="s">
        <v>147</v>
      </c>
      <c r="J112" s="397">
        <v>-6.5279999999999996</v>
      </c>
      <c r="K112" s="397">
        <v>-0.75</v>
      </c>
      <c r="L112" s="397">
        <v>-1.2999999999999999E-2</v>
      </c>
      <c r="M112" s="398">
        <v>0</v>
      </c>
      <c r="N112" s="398">
        <v>0</v>
      </c>
      <c r="O112" s="398">
        <v>0</v>
      </c>
      <c r="P112" s="397">
        <v>0.13500000000000001</v>
      </c>
    </row>
    <row r="113" spans="3:19" x14ac:dyDescent="0.25">
      <c r="F113" t="s">
        <v>936</v>
      </c>
      <c r="H113" t="s">
        <v>147</v>
      </c>
      <c r="J113" s="399">
        <v>0</v>
      </c>
      <c r="K113" s="399">
        <v>0</v>
      </c>
      <c r="L113" s="399">
        <v>0</v>
      </c>
      <c r="M113" s="400">
        <v>0</v>
      </c>
      <c r="N113" s="400">
        <v>0</v>
      </c>
      <c r="O113" s="400">
        <v>0</v>
      </c>
      <c r="P113" s="399">
        <v>0</v>
      </c>
    </row>
    <row r="114" spans="3:19" x14ac:dyDescent="0.25">
      <c r="F114" t="s">
        <v>937</v>
      </c>
      <c r="H114" t="s">
        <v>147</v>
      </c>
      <c r="J114" s="397">
        <v>-5.6840000000000002</v>
      </c>
      <c r="K114" s="397">
        <v>-0.63500000000000001</v>
      </c>
      <c r="L114" s="397">
        <v>-1.0999999999999999E-2</v>
      </c>
      <c r="M114" s="398">
        <v>0</v>
      </c>
      <c r="N114" s="398">
        <v>0</v>
      </c>
      <c r="O114" s="398">
        <v>0</v>
      </c>
      <c r="P114" s="397">
        <v>0.11700000000000001</v>
      </c>
    </row>
    <row r="115" spans="3:19" x14ac:dyDescent="0.25">
      <c r="F115" t="s">
        <v>938</v>
      </c>
      <c r="H115" t="s">
        <v>147</v>
      </c>
      <c r="J115" s="399">
        <v>0</v>
      </c>
      <c r="K115" s="399">
        <v>0</v>
      </c>
      <c r="L115" s="399">
        <v>0</v>
      </c>
      <c r="M115" s="400">
        <v>0</v>
      </c>
      <c r="N115" s="400">
        <v>0</v>
      </c>
      <c r="O115" s="400">
        <v>0</v>
      </c>
      <c r="P115" s="399">
        <v>0</v>
      </c>
    </row>
    <row r="116" spans="3:19" x14ac:dyDescent="0.25">
      <c r="F116" t="s">
        <v>939</v>
      </c>
      <c r="H116" t="s">
        <v>147</v>
      </c>
      <c r="J116" s="397">
        <v>-3.512</v>
      </c>
      <c r="K116" s="397">
        <v>-0.313</v>
      </c>
      <c r="L116" s="397">
        <v>-5.0000000000000001E-3</v>
      </c>
      <c r="M116" s="398">
        <v>0</v>
      </c>
      <c r="N116" s="398">
        <v>0</v>
      </c>
      <c r="O116" s="398">
        <v>0</v>
      </c>
      <c r="P116" s="397">
        <v>9.6000000000000002E-2</v>
      </c>
    </row>
    <row r="117" spans="3:19" x14ac:dyDescent="0.25">
      <c r="F117" s="17" t="s">
        <v>940</v>
      </c>
      <c r="G117" s="17"/>
      <c r="H117" s="17" t="s">
        <v>147</v>
      </c>
      <c r="I117" s="17"/>
      <c r="J117" s="385">
        <v>0</v>
      </c>
      <c r="K117" s="385">
        <v>0</v>
      </c>
      <c r="L117" s="385">
        <v>0</v>
      </c>
      <c r="M117" s="295">
        <v>0</v>
      </c>
      <c r="N117" s="295">
        <v>0</v>
      </c>
      <c r="O117" s="295">
        <v>0</v>
      </c>
      <c r="P117" s="385">
        <v>0</v>
      </c>
    </row>
    <row r="118" spans="3:19" x14ac:dyDescent="0.25">
      <c r="D118" s="52"/>
      <c r="E118" s="52"/>
      <c r="F118" s="52"/>
      <c r="G118" s="52"/>
      <c r="H118" s="52"/>
      <c r="I118" s="52"/>
      <c r="J118" s="386"/>
      <c r="K118" s="386"/>
      <c r="L118" s="386"/>
      <c r="M118" s="185"/>
      <c r="N118" s="185"/>
      <c r="O118" s="185"/>
      <c r="P118" s="386"/>
      <c r="Q118" s="52"/>
      <c r="R118" s="52"/>
      <c r="S118" s="52"/>
    </row>
    <row r="119" spans="3:19" x14ac:dyDescent="0.25">
      <c r="C119" s="5" t="str">
        <f ca="1">INDEX('Version control'!$H$36:$H$62,MATCH($A$1,'Version control'!$F$36:$F$62,0),1)&amp;"-B: tariff forecast results for charging year " &amp; charging_year</f>
        <v>Output 501-B: tariff forecast results for charging year 2024/25</v>
      </c>
      <c r="D119" s="5"/>
      <c r="E119" s="5"/>
      <c r="F119" s="5"/>
      <c r="G119" s="5"/>
      <c r="H119" s="5"/>
      <c r="I119" s="5"/>
      <c r="J119" s="387"/>
      <c r="K119" s="387"/>
      <c r="L119" s="387"/>
      <c r="M119" s="5"/>
      <c r="N119" s="5"/>
      <c r="O119" s="5"/>
      <c r="P119" s="387"/>
      <c r="Q119" s="5"/>
      <c r="R119" s="5"/>
    </row>
    <row r="120" spans="3:19" x14ac:dyDescent="0.25">
      <c r="D120"/>
      <c r="E120"/>
      <c r="J120" s="388"/>
      <c r="K120" s="388"/>
      <c r="L120" s="388"/>
      <c r="M120" s="183"/>
      <c r="N120" s="183"/>
      <c r="O120" s="183"/>
      <c r="P120" s="388"/>
    </row>
    <row r="121" spans="3:19" x14ac:dyDescent="0.25">
      <c r="D121" s="52"/>
      <c r="E121" s="52" t="str">
        <f>"All the way tariff forecast " &amp; charging_year</f>
        <v>All the way tariff forecast 2024/25</v>
      </c>
      <c r="J121" s="388"/>
      <c r="K121" s="388"/>
      <c r="L121" s="388"/>
      <c r="M121" s="183"/>
      <c r="N121" s="183"/>
      <c r="O121" s="183"/>
      <c r="P121" s="388"/>
    </row>
    <row r="122" spans="3:19" x14ac:dyDescent="0.25">
      <c r="F122" s="80" t="s">
        <v>1001</v>
      </c>
      <c r="G122" s="80"/>
      <c r="H122" s="80" t="s">
        <v>261</v>
      </c>
      <c r="I122" s="80"/>
      <c r="J122" s="382">
        <v>8.3000000000000007</v>
      </c>
      <c r="K122" s="382">
        <v>0.95299999999999996</v>
      </c>
      <c r="L122" s="382">
        <v>1.7000000000000001E-2</v>
      </c>
      <c r="M122" s="291">
        <v>25.29</v>
      </c>
      <c r="N122" s="291">
        <v>0</v>
      </c>
      <c r="O122" s="291">
        <v>0</v>
      </c>
      <c r="P122" s="382">
        <v>0</v>
      </c>
    </row>
    <row r="123" spans="3:19" x14ac:dyDescent="0.25">
      <c r="F123" t="s">
        <v>926</v>
      </c>
      <c r="H123" t="s">
        <v>261</v>
      </c>
      <c r="J123" s="397">
        <v>8.3000000000000007</v>
      </c>
      <c r="K123" s="397">
        <v>0.95299999999999996</v>
      </c>
      <c r="L123" s="397">
        <v>1.7000000000000001E-2</v>
      </c>
      <c r="M123" s="398">
        <v>0</v>
      </c>
      <c r="N123" s="398">
        <v>0</v>
      </c>
      <c r="O123" s="398">
        <v>0</v>
      </c>
      <c r="P123" s="397">
        <v>0</v>
      </c>
    </row>
    <row r="124" spans="3:19" x14ac:dyDescent="0.25">
      <c r="F124" t="s">
        <v>1002</v>
      </c>
      <c r="H124" t="s">
        <v>261</v>
      </c>
      <c r="J124" s="397">
        <v>10.018000000000001</v>
      </c>
      <c r="K124" s="397">
        <v>1.1499999999999999</v>
      </c>
      <c r="L124" s="397">
        <v>2.1000000000000001E-2</v>
      </c>
      <c r="M124" s="398">
        <v>6.3</v>
      </c>
      <c r="N124" s="398">
        <v>0</v>
      </c>
      <c r="O124" s="398">
        <v>0</v>
      </c>
      <c r="P124" s="397">
        <v>0</v>
      </c>
    </row>
    <row r="125" spans="3:19" x14ac:dyDescent="0.25">
      <c r="F125" t="s">
        <v>1003</v>
      </c>
      <c r="H125" t="s">
        <v>261</v>
      </c>
      <c r="J125" s="397">
        <v>10.018000000000001</v>
      </c>
      <c r="K125" s="397">
        <v>1.1499999999999999</v>
      </c>
      <c r="L125" s="397">
        <v>2.1000000000000001E-2</v>
      </c>
      <c r="M125" s="398">
        <v>31.74</v>
      </c>
      <c r="N125" s="398">
        <v>0</v>
      </c>
      <c r="O125" s="398">
        <v>0</v>
      </c>
      <c r="P125" s="397">
        <v>0</v>
      </c>
    </row>
    <row r="126" spans="3:19" x14ac:dyDescent="0.25">
      <c r="F126" t="s">
        <v>1004</v>
      </c>
      <c r="H126" t="s">
        <v>261</v>
      </c>
      <c r="J126" s="397">
        <v>10.018000000000001</v>
      </c>
      <c r="K126" s="397">
        <v>1.1499999999999999</v>
      </c>
      <c r="L126" s="397">
        <v>2.1000000000000001E-2</v>
      </c>
      <c r="M126" s="398">
        <v>64.75</v>
      </c>
      <c r="N126" s="398">
        <v>0</v>
      </c>
      <c r="O126" s="398">
        <v>0</v>
      </c>
      <c r="P126" s="397">
        <v>0</v>
      </c>
    </row>
    <row r="127" spans="3:19" x14ac:dyDescent="0.25">
      <c r="F127" t="s">
        <v>1005</v>
      </c>
      <c r="H127" t="s">
        <v>261</v>
      </c>
      <c r="J127" s="397">
        <v>10.018000000000001</v>
      </c>
      <c r="K127" s="397">
        <v>1.1499999999999999</v>
      </c>
      <c r="L127" s="397">
        <v>2.1000000000000001E-2</v>
      </c>
      <c r="M127" s="398">
        <v>132.53</v>
      </c>
      <c r="N127" s="398">
        <v>0</v>
      </c>
      <c r="O127" s="398">
        <v>0</v>
      </c>
      <c r="P127" s="397">
        <v>0</v>
      </c>
    </row>
    <row r="128" spans="3:19" x14ac:dyDescent="0.25">
      <c r="F128" t="s">
        <v>1006</v>
      </c>
      <c r="H128" t="s">
        <v>261</v>
      </c>
      <c r="J128" s="397">
        <v>10.018000000000001</v>
      </c>
      <c r="K128" s="397">
        <v>1.1499999999999999</v>
      </c>
      <c r="L128" s="397">
        <v>2.1000000000000001E-2</v>
      </c>
      <c r="M128" s="398">
        <v>377.39</v>
      </c>
      <c r="N128" s="398">
        <v>0</v>
      </c>
      <c r="O128" s="398">
        <v>0</v>
      </c>
      <c r="P128" s="397">
        <v>0</v>
      </c>
    </row>
    <row r="129" spans="6:16" x14ac:dyDescent="0.25">
      <c r="F129" t="s">
        <v>928</v>
      </c>
      <c r="H129" t="s">
        <v>261</v>
      </c>
      <c r="J129" s="397">
        <v>10.018000000000001</v>
      </c>
      <c r="K129" s="397">
        <v>1.1499999999999999</v>
      </c>
      <c r="L129" s="397">
        <v>2.1000000000000001E-2</v>
      </c>
      <c r="M129" s="398">
        <v>0</v>
      </c>
      <c r="N129" s="398">
        <v>0</v>
      </c>
      <c r="O129" s="398">
        <v>0</v>
      </c>
      <c r="P129" s="397">
        <v>0</v>
      </c>
    </row>
    <row r="130" spans="6:16" x14ac:dyDescent="0.25">
      <c r="F130" t="s">
        <v>1007</v>
      </c>
      <c r="H130" t="s">
        <v>261</v>
      </c>
      <c r="J130" s="397">
        <v>7.2439999999999998</v>
      </c>
      <c r="K130" s="397">
        <v>0.78700000000000003</v>
      </c>
      <c r="L130" s="397">
        <v>1.4E-2</v>
      </c>
      <c r="M130" s="398">
        <v>24.08</v>
      </c>
      <c r="N130" s="398">
        <v>2.94</v>
      </c>
      <c r="O130" s="398">
        <v>4.2699999999999996</v>
      </c>
      <c r="P130" s="397">
        <v>0.14899999999999999</v>
      </c>
    </row>
    <row r="131" spans="6:16" x14ac:dyDescent="0.25">
      <c r="F131" t="s">
        <v>1008</v>
      </c>
      <c r="H131" t="s">
        <v>261</v>
      </c>
      <c r="J131" s="397">
        <v>7.2439999999999998</v>
      </c>
      <c r="K131" s="397">
        <v>0.78700000000000003</v>
      </c>
      <c r="L131" s="397">
        <v>1.4E-2</v>
      </c>
      <c r="M131" s="398">
        <v>713.27</v>
      </c>
      <c r="N131" s="398">
        <v>2.94</v>
      </c>
      <c r="O131" s="398">
        <v>4.2699999999999996</v>
      </c>
      <c r="P131" s="397">
        <v>0.14899999999999999</v>
      </c>
    </row>
    <row r="132" spans="6:16" x14ac:dyDescent="0.25">
      <c r="F132" t="s">
        <v>1009</v>
      </c>
      <c r="H132" t="s">
        <v>261</v>
      </c>
      <c r="J132" s="397">
        <v>7.2439999999999998</v>
      </c>
      <c r="K132" s="397">
        <v>0.78700000000000003</v>
      </c>
      <c r="L132" s="397">
        <v>1.4E-2</v>
      </c>
      <c r="M132" s="398">
        <v>1228.42</v>
      </c>
      <c r="N132" s="398">
        <v>2.94</v>
      </c>
      <c r="O132" s="398">
        <v>4.2699999999999996</v>
      </c>
      <c r="P132" s="397">
        <v>0.14899999999999999</v>
      </c>
    </row>
    <row r="133" spans="6:16" x14ac:dyDescent="0.25">
      <c r="F133" t="s">
        <v>1010</v>
      </c>
      <c r="H133" t="s">
        <v>261</v>
      </c>
      <c r="J133" s="397">
        <v>7.2439999999999998</v>
      </c>
      <c r="K133" s="397">
        <v>0.78700000000000003</v>
      </c>
      <c r="L133" s="397">
        <v>1.4E-2</v>
      </c>
      <c r="M133" s="398">
        <v>2054.9299999999998</v>
      </c>
      <c r="N133" s="398">
        <v>2.94</v>
      </c>
      <c r="O133" s="398">
        <v>4.2699999999999996</v>
      </c>
      <c r="P133" s="397">
        <v>0.14899999999999999</v>
      </c>
    </row>
    <row r="134" spans="6:16" x14ac:dyDescent="0.25">
      <c r="F134" t="s">
        <v>1011</v>
      </c>
      <c r="H134" t="s">
        <v>261</v>
      </c>
      <c r="J134" s="397">
        <v>7.2439999999999998</v>
      </c>
      <c r="K134" s="397">
        <v>0.78700000000000003</v>
      </c>
      <c r="L134" s="397">
        <v>1.4E-2</v>
      </c>
      <c r="M134" s="398">
        <v>4446.13</v>
      </c>
      <c r="N134" s="398">
        <v>2.94</v>
      </c>
      <c r="O134" s="398">
        <v>4.2699999999999996</v>
      </c>
      <c r="P134" s="397">
        <v>0.14899999999999999</v>
      </c>
    </row>
    <row r="135" spans="6:16" x14ac:dyDescent="0.25">
      <c r="F135" t="s">
        <v>1012</v>
      </c>
      <c r="H135" t="s">
        <v>261</v>
      </c>
      <c r="J135" s="397">
        <v>4.1680000000000001</v>
      </c>
      <c r="K135" s="397">
        <v>0.374</v>
      </c>
      <c r="L135" s="397">
        <v>6.0000000000000001E-3</v>
      </c>
      <c r="M135" s="398">
        <v>8.6999999999999993</v>
      </c>
      <c r="N135" s="398">
        <v>5.42</v>
      </c>
      <c r="O135" s="398">
        <v>6.18</v>
      </c>
      <c r="P135" s="397">
        <v>7.4999999999999997E-2</v>
      </c>
    </row>
    <row r="136" spans="6:16" x14ac:dyDescent="0.25">
      <c r="F136" t="s">
        <v>1013</v>
      </c>
      <c r="H136" t="s">
        <v>261</v>
      </c>
      <c r="J136" s="397">
        <v>4.1680000000000001</v>
      </c>
      <c r="K136" s="397">
        <v>0.374</v>
      </c>
      <c r="L136" s="397">
        <v>6.0000000000000001E-3</v>
      </c>
      <c r="M136" s="398">
        <v>697.9</v>
      </c>
      <c r="N136" s="398">
        <v>5.42</v>
      </c>
      <c r="O136" s="398">
        <v>6.18</v>
      </c>
      <c r="P136" s="397">
        <v>7.4999999999999997E-2</v>
      </c>
    </row>
    <row r="137" spans="6:16" x14ac:dyDescent="0.25">
      <c r="F137" t="s">
        <v>1014</v>
      </c>
      <c r="H137" t="s">
        <v>261</v>
      </c>
      <c r="J137" s="397">
        <v>4.1680000000000001</v>
      </c>
      <c r="K137" s="397">
        <v>0.374</v>
      </c>
      <c r="L137" s="397">
        <v>6.0000000000000001E-3</v>
      </c>
      <c r="M137" s="398">
        <v>1213.05</v>
      </c>
      <c r="N137" s="398">
        <v>5.42</v>
      </c>
      <c r="O137" s="398">
        <v>6.18</v>
      </c>
      <c r="P137" s="397">
        <v>7.4999999999999997E-2</v>
      </c>
    </row>
    <row r="138" spans="6:16" x14ac:dyDescent="0.25">
      <c r="F138" t="s">
        <v>1015</v>
      </c>
      <c r="H138" t="s">
        <v>261</v>
      </c>
      <c r="J138" s="397">
        <v>4.1680000000000001</v>
      </c>
      <c r="K138" s="397">
        <v>0.374</v>
      </c>
      <c r="L138" s="397">
        <v>6.0000000000000001E-3</v>
      </c>
      <c r="M138" s="398">
        <v>2039.55</v>
      </c>
      <c r="N138" s="398">
        <v>5.42</v>
      </c>
      <c r="O138" s="398">
        <v>6.18</v>
      </c>
      <c r="P138" s="397">
        <v>7.4999999999999997E-2</v>
      </c>
    </row>
    <row r="139" spans="6:16" x14ac:dyDescent="0.25">
      <c r="F139" t="s">
        <v>1016</v>
      </c>
      <c r="H139" t="s">
        <v>261</v>
      </c>
      <c r="J139" s="397">
        <v>4.1680000000000001</v>
      </c>
      <c r="K139" s="397">
        <v>0.374</v>
      </c>
      <c r="L139" s="397">
        <v>6.0000000000000001E-3</v>
      </c>
      <c r="M139" s="398">
        <v>4430.75</v>
      </c>
      <c r="N139" s="398">
        <v>5.42</v>
      </c>
      <c r="O139" s="398">
        <v>6.18</v>
      </c>
      <c r="P139" s="397">
        <v>7.4999999999999997E-2</v>
      </c>
    </row>
    <row r="140" spans="6:16" x14ac:dyDescent="0.25">
      <c r="F140" t="s">
        <v>1017</v>
      </c>
      <c r="H140" t="s">
        <v>261</v>
      </c>
      <c r="J140" s="397">
        <v>2.887</v>
      </c>
      <c r="K140" s="397">
        <v>0.22900000000000001</v>
      </c>
      <c r="L140" s="397">
        <v>3.0000000000000001E-3</v>
      </c>
      <c r="M140" s="398">
        <v>127.31</v>
      </c>
      <c r="N140" s="398">
        <v>5.97</v>
      </c>
      <c r="O140" s="398">
        <v>7.35</v>
      </c>
      <c r="P140" s="397">
        <v>4.8000000000000001E-2</v>
      </c>
    </row>
    <row r="141" spans="6:16" x14ac:dyDescent="0.25">
      <c r="F141" t="s">
        <v>1018</v>
      </c>
      <c r="H141" t="s">
        <v>261</v>
      </c>
      <c r="J141" s="397">
        <v>2.887</v>
      </c>
      <c r="K141" s="397">
        <v>0.22900000000000001</v>
      </c>
      <c r="L141" s="397">
        <v>3.0000000000000001E-3</v>
      </c>
      <c r="M141" s="398">
        <v>3572.11</v>
      </c>
      <c r="N141" s="398">
        <v>5.97</v>
      </c>
      <c r="O141" s="398">
        <v>7.35</v>
      </c>
      <c r="P141" s="397">
        <v>4.8000000000000001E-2</v>
      </c>
    </row>
    <row r="142" spans="6:16" x14ac:dyDescent="0.25">
      <c r="F142" t="s">
        <v>1019</v>
      </c>
      <c r="H142" t="s">
        <v>261</v>
      </c>
      <c r="J142" s="397">
        <v>2.887</v>
      </c>
      <c r="K142" s="397">
        <v>0.22900000000000001</v>
      </c>
      <c r="L142" s="397">
        <v>3.0000000000000001E-3</v>
      </c>
      <c r="M142" s="398">
        <v>10572.74</v>
      </c>
      <c r="N142" s="398">
        <v>5.97</v>
      </c>
      <c r="O142" s="398">
        <v>7.35</v>
      </c>
      <c r="P142" s="397">
        <v>4.8000000000000001E-2</v>
      </c>
    </row>
    <row r="143" spans="6:16" x14ac:dyDescent="0.25">
      <c r="F143" t="s">
        <v>1020</v>
      </c>
      <c r="H143" t="s">
        <v>261</v>
      </c>
      <c r="J143" s="397">
        <v>2.887</v>
      </c>
      <c r="K143" s="397">
        <v>0.22900000000000001</v>
      </c>
      <c r="L143" s="397">
        <v>3.0000000000000001E-3</v>
      </c>
      <c r="M143" s="398">
        <v>21420.09</v>
      </c>
      <c r="N143" s="398">
        <v>5.97</v>
      </c>
      <c r="O143" s="398">
        <v>7.35</v>
      </c>
      <c r="P143" s="397">
        <v>4.8000000000000001E-2</v>
      </c>
    </row>
    <row r="144" spans="6:16" x14ac:dyDescent="0.25">
      <c r="F144" t="s">
        <v>1021</v>
      </c>
      <c r="H144" t="s">
        <v>261</v>
      </c>
      <c r="J144" s="397">
        <v>2.887</v>
      </c>
      <c r="K144" s="397">
        <v>0.22900000000000001</v>
      </c>
      <c r="L144" s="397">
        <v>3.0000000000000001E-3</v>
      </c>
      <c r="M144" s="398">
        <v>56602.14</v>
      </c>
      <c r="N144" s="398">
        <v>5.97</v>
      </c>
      <c r="O144" s="398">
        <v>7.35</v>
      </c>
      <c r="P144" s="397">
        <v>4.8000000000000001E-2</v>
      </c>
    </row>
    <row r="145" spans="4:16" x14ac:dyDescent="0.25">
      <c r="F145" t="s">
        <v>932</v>
      </c>
      <c r="H145" t="s">
        <v>261</v>
      </c>
      <c r="J145" s="397">
        <v>25.23</v>
      </c>
      <c r="K145" s="397">
        <v>3.8370000000000002</v>
      </c>
      <c r="L145" s="397">
        <v>2.9350000000000001</v>
      </c>
      <c r="M145" s="398">
        <v>0</v>
      </c>
      <c r="N145" s="398">
        <v>0</v>
      </c>
      <c r="O145" s="398">
        <v>0</v>
      </c>
      <c r="P145" s="397">
        <v>0</v>
      </c>
    </row>
    <row r="146" spans="4:16" x14ac:dyDescent="0.25">
      <c r="F146" t="s">
        <v>933</v>
      </c>
      <c r="H146" t="s">
        <v>261</v>
      </c>
      <c r="J146" s="397">
        <v>-6.5279999999999996</v>
      </c>
      <c r="K146" s="397">
        <v>-0.75</v>
      </c>
      <c r="L146" s="397">
        <v>-1.2999999999999999E-2</v>
      </c>
      <c r="M146" s="398">
        <v>0</v>
      </c>
      <c r="N146" s="398">
        <v>0</v>
      </c>
      <c r="O146" s="398">
        <v>0</v>
      </c>
      <c r="P146" s="397">
        <v>0</v>
      </c>
    </row>
    <row r="147" spans="4:16" x14ac:dyDescent="0.25">
      <c r="F147" t="s">
        <v>934</v>
      </c>
      <c r="H147" t="s">
        <v>261</v>
      </c>
      <c r="J147" s="397">
        <v>-5.6840000000000002</v>
      </c>
      <c r="K147" s="397">
        <v>-0.63500000000000001</v>
      </c>
      <c r="L147" s="397">
        <v>-1.0999999999999999E-2</v>
      </c>
      <c r="M147" s="398">
        <v>0</v>
      </c>
      <c r="N147" s="398">
        <v>0</v>
      </c>
      <c r="O147" s="398">
        <v>0</v>
      </c>
      <c r="P147" s="397">
        <v>0</v>
      </c>
    </row>
    <row r="148" spans="4:16" x14ac:dyDescent="0.25">
      <c r="F148" t="s">
        <v>935</v>
      </c>
      <c r="H148" t="s">
        <v>261</v>
      </c>
      <c r="J148" s="397">
        <v>-6.5279999999999996</v>
      </c>
      <c r="K148" s="397">
        <v>-0.75</v>
      </c>
      <c r="L148" s="397">
        <v>-1.2999999999999999E-2</v>
      </c>
      <c r="M148" s="398">
        <v>0</v>
      </c>
      <c r="N148" s="398">
        <v>0</v>
      </c>
      <c r="O148" s="398">
        <v>0</v>
      </c>
      <c r="P148" s="397">
        <v>0.13500000000000001</v>
      </c>
    </row>
    <row r="149" spans="4:16" x14ac:dyDescent="0.25">
      <c r="F149" t="s">
        <v>936</v>
      </c>
      <c r="H149" t="s">
        <v>261</v>
      </c>
      <c r="J149" s="397">
        <v>-6.5279999999999996</v>
      </c>
      <c r="K149" s="397">
        <v>-0.75</v>
      </c>
      <c r="L149" s="397">
        <v>-1.2999999999999999E-2</v>
      </c>
      <c r="M149" s="398">
        <v>0</v>
      </c>
      <c r="N149" s="398">
        <v>0</v>
      </c>
      <c r="O149" s="398">
        <v>0</v>
      </c>
      <c r="P149" s="397">
        <v>0</v>
      </c>
    </row>
    <row r="150" spans="4:16" x14ac:dyDescent="0.25">
      <c r="F150" t="s">
        <v>937</v>
      </c>
      <c r="H150" t="s">
        <v>261</v>
      </c>
      <c r="J150" s="397">
        <v>-5.6840000000000002</v>
      </c>
      <c r="K150" s="397">
        <v>-0.63500000000000001</v>
      </c>
      <c r="L150" s="397">
        <v>-1.0999999999999999E-2</v>
      </c>
      <c r="M150" s="398">
        <v>0</v>
      </c>
      <c r="N150" s="398">
        <v>0</v>
      </c>
      <c r="O150" s="398">
        <v>0</v>
      </c>
      <c r="P150" s="397">
        <v>0.11700000000000001</v>
      </c>
    </row>
    <row r="151" spans="4:16" x14ac:dyDescent="0.25">
      <c r="F151" t="s">
        <v>938</v>
      </c>
      <c r="H151" t="s">
        <v>261</v>
      </c>
      <c r="J151" s="397">
        <v>-5.6840000000000002</v>
      </c>
      <c r="K151" s="397">
        <v>-0.63500000000000001</v>
      </c>
      <c r="L151" s="397">
        <v>-1.0999999999999999E-2</v>
      </c>
      <c r="M151" s="398">
        <v>0</v>
      </c>
      <c r="N151" s="398">
        <v>0</v>
      </c>
      <c r="O151" s="398">
        <v>0</v>
      </c>
      <c r="P151" s="397">
        <v>0</v>
      </c>
    </row>
    <row r="152" spans="4:16" x14ac:dyDescent="0.25">
      <c r="F152" t="s">
        <v>939</v>
      </c>
      <c r="H152" t="s">
        <v>261</v>
      </c>
      <c r="J152" s="397">
        <v>-3.512</v>
      </c>
      <c r="K152" s="397">
        <v>-0.313</v>
      </c>
      <c r="L152" s="397">
        <v>-5.0000000000000001E-3</v>
      </c>
      <c r="M152" s="398">
        <v>92.73</v>
      </c>
      <c r="N152" s="398">
        <v>0</v>
      </c>
      <c r="O152" s="398">
        <v>0</v>
      </c>
      <c r="P152" s="397">
        <v>9.6000000000000002E-2</v>
      </c>
    </row>
    <row r="153" spans="4:16" x14ac:dyDescent="0.25">
      <c r="F153" s="17" t="s">
        <v>940</v>
      </c>
      <c r="G153" s="17"/>
      <c r="H153" s="17" t="s">
        <v>261</v>
      </c>
      <c r="I153" s="17"/>
      <c r="J153" s="383">
        <v>-3.512</v>
      </c>
      <c r="K153" s="383">
        <v>-0.313</v>
      </c>
      <c r="L153" s="383">
        <v>-5.0000000000000001E-3</v>
      </c>
      <c r="M153" s="293">
        <v>92.73</v>
      </c>
      <c r="N153" s="293">
        <v>0</v>
      </c>
      <c r="O153" s="293">
        <v>0</v>
      </c>
      <c r="P153" s="383">
        <v>0</v>
      </c>
    </row>
    <row r="154" spans="4:16" x14ac:dyDescent="0.25">
      <c r="F154" s="84"/>
      <c r="J154" s="294"/>
      <c r="K154" s="294"/>
      <c r="L154" s="294"/>
      <c r="M154" s="294"/>
      <c r="N154" s="294"/>
      <c r="O154" s="294"/>
      <c r="P154" s="384"/>
    </row>
    <row r="155" spans="4:16" x14ac:dyDescent="0.25">
      <c r="D155" s="52"/>
      <c r="E155" s="52" t="str">
        <f>"LDNO LV tariff forecast " &amp; charging_year</f>
        <v>LDNO LV tariff forecast 2024/25</v>
      </c>
      <c r="F155" s="84"/>
      <c r="J155" s="294"/>
      <c r="K155" s="294"/>
      <c r="L155" s="294"/>
      <c r="M155" s="294"/>
      <c r="N155" s="294"/>
      <c r="O155" s="294"/>
      <c r="P155" s="384"/>
    </row>
    <row r="156" spans="4:16" x14ac:dyDescent="0.25">
      <c r="F156" s="80" t="s">
        <v>1001</v>
      </c>
      <c r="G156" s="80"/>
      <c r="H156" s="80" t="s">
        <v>146</v>
      </c>
      <c r="I156" s="80"/>
      <c r="J156" s="382">
        <v>4.9279999999999999</v>
      </c>
      <c r="K156" s="382">
        <v>0.56599999999999995</v>
      </c>
      <c r="L156" s="382">
        <v>0.01</v>
      </c>
      <c r="M156" s="291">
        <v>15.21</v>
      </c>
      <c r="N156" s="291">
        <v>0</v>
      </c>
      <c r="O156" s="291">
        <v>0</v>
      </c>
      <c r="P156" s="382">
        <v>0</v>
      </c>
    </row>
    <row r="157" spans="4:16" x14ac:dyDescent="0.25">
      <c r="F157" t="s">
        <v>926</v>
      </c>
      <c r="H157" t="s">
        <v>146</v>
      </c>
      <c r="J157" s="397">
        <v>4.9279999999999999</v>
      </c>
      <c r="K157" s="397">
        <v>0.56599999999999995</v>
      </c>
      <c r="L157" s="397">
        <v>0.01</v>
      </c>
      <c r="M157" s="398">
        <v>0</v>
      </c>
      <c r="N157" s="398">
        <v>0</v>
      </c>
      <c r="O157" s="398">
        <v>0</v>
      </c>
      <c r="P157" s="397">
        <v>0</v>
      </c>
    </row>
    <row r="158" spans="4:16" x14ac:dyDescent="0.25">
      <c r="F158" t="s">
        <v>1002</v>
      </c>
      <c r="H158" t="s">
        <v>146</v>
      </c>
      <c r="J158" s="397">
        <v>5.9480000000000004</v>
      </c>
      <c r="K158" s="397">
        <v>0.68300000000000005</v>
      </c>
      <c r="L158" s="397">
        <v>1.2E-2</v>
      </c>
      <c r="M158" s="398">
        <v>3.87</v>
      </c>
      <c r="N158" s="398">
        <v>0</v>
      </c>
      <c r="O158" s="398">
        <v>0</v>
      </c>
      <c r="P158" s="397">
        <v>0</v>
      </c>
    </row>
    <row r="159" spans="4:16" x14ac:dyDescent="0.25">
      <c r="F159" t="s">
        <v>1003</v>
      </c>
      <c r="H159" t="s">
        <v>146</v>
      </c>
      <c r="J159" s="397">
        <v>5.9480000000000004</v>
      </c>
      <c r="K159" s="397">
        <v>0.68300000000000005</v>
      </c>
      <c r="L159" s="397">
        <v>1.2E-2</v>
      </c>
      <c r="M159" s="398">
        <v>18.97</v>
      </c>
      <c r="N159" s="398">
        <v>0</v>
      </c>
      <c r="O159" s="398">
        <v>0</v>
      </c>
      <c r="P159" s="397">
        <v>0</v>
      </c>
    </row>
    <row r="160" spans="4:16" x14ac:dyDescent="0.25">
      <c r="F160" t="s">
        <v>1004</v>
      </c>
      <c r="H160" t="s">
        <v>146</v>
      </c>
      <c r="J160" s="397">
        <v>5.9480000000000004</v>
      </c>
      <c r="K160" s="397">
        <v>0.68300000000000005</v>
      </c>
      <c r="L160" s="397">
        <v>1.2E-2</v>
      </c>
      <c r="M160" s="398">
        <v>38.57</v>
      </c>
      <c r="N160" s="398">
        <v>0</v>
      </c>
      <c r="O160" s="398">
        <v>0</v>
      </c>
      <c r="P160" s="397">
        <v>0</v>
      </c>
    </row>
    <row r="161" spans="6:16" x14ac:dyDescent="0.25">
      <c r="F161" t="s">
        <v>1005</v>
      </c>
      <c r="H161" t="s">
        <v>146</v>
      </c>
      <c r="J161" s="397">
        <v>5.9480000000000004</v>
      </c>
      <c r="K161" s="397">
        <v>0.68300000000000005</v>
      </c>
      <c r="L161" s="397">
        <v>1.2E-2</v>
      </c>
      <c r="M161" s="398">
        <v>78.819999999999993</v>
      </c>
      <c r="N161" s="398">
        <v>0</v>
      </c>
      <c r="O161" s="398">
        <v>0</v>
      </c>
      <c r="P161" s="397">
        <v>0</v>
      </c>
    </row>
    <row r="162" spans="6:16" x14ac:dyDescent="0.25">
      <c r="F162" t="s">
        <v>1006</v>
      </c>
      <c r="H162" t="s">
        <v>146</v>
      </c>
      <c r="J162" s="397">
        <v>5.9480000000000004</v>
      </c>
      <c r="K162" s="397">
        <v>0.68300000000000005</v>
      </c>
      <c r="L162" s="397">
        <v>1.2E-2</v>
      </c>
      <c r="M162" s="398">
        <v>224.21</v>
      </c>
      <c r="N162" s="398">
        <v>0</v>
      </c>
      <c r="O162" s="398">
        <v>0</v>
      </c>
      <c r="P162" s="397">
        <v>0</v>
      </c>
    </row>
    <row r="163" spans="6:16" x14ac:dyDescent="0.25">
      <c r="F163" t="s">
        <v>928</v>
      </c>
      <c r="H163" t="s">
        <v>146</v>
      </c>
      <c r="J163" s="397">
        <v>5.9480000000000004</v>
      </c>
      <c r="K163" s="397">
        <v>0.68300000000000005</v>
      </c>
      <c r="L163" s="397">
        <v>1.2E-2</v>
      </c>
      <c r="M163" s="398">
        <v>0</v>
      </c>
      <c r="N163" s="398">
        <v>0</v>
      </c>
      <c r="O163" s="398">
        <v>0</v>
      </c>
      <c r="P163" s="397">
        <v>0</v>
      </c>
    </row>
    <row r="164" spans="6:16" x14ac:dyDescent="0.25">
      <c r="F164" t="s">
        <v>1007</v>
      </c>
      <c r="H164" t="s">
        <v>146</v>
      </c>
      <c r="J164" s="397">
        <v>4.3010000000000002</v>
      </c>
      <c r="K164" s="397">
        <v>0.46700000000000003</v>
      </c>
      <c r="L164" s="397">
        <v>8.0000000000000002E-3</v>
      </c>
      <c r="M164" s="398">
        <v>14.42</v>
      </c>
      <c r="N164" s="398">
        <v>1.75</v>
      </c>
      <c r="O164" s="398">
        <v>2.54</v>
      </c>
      <c r="P164" s="397">
        <v>8.8999999999999996E-2</v>
      </c>
    </row>
    <row r="165" spans="6:16" x14ac:dyDescent="0.25">
      <c r="F165" t="s">
        <v>1008</v>
      </c>
      <c r="H165" t="s">
        <v>146</v>
      </c>
      <c r="J165" s="397">
        <v>4.3010000000000002</v>
      </c>
      <c r="K165" s="397">
        <v>0.46700000000000003</v>
      </c>
      <c r="L165" s="397">
        <v>8.0000000000000002E-3</v>
      </c>
      <c r="M165" s="398">
        <v>423.64</v>
      </c>
      <c r="N165" s="398">
        <v>1.75</v>
      </c>
      <c r="O165" s="398">
        <v>2.54</v>
      </c>
      <c r="P165" s="397">
        <v>8.8999999999999996E-2</v>
      </c>
    </row>
    <row r="166" spans="6:16" x14ac:dyDescent="0.25">
      <c r="F166" t="s">
        <v>1009</v>
      </c>
      <c r="H166" t="s">
        <v>146</v>
      </c>
      <c r="J166" s="397">
        <v>4.3010000000000002</v>
      </c>
      <c r="K166" s="397">
        <v>0.46700000000000003</v>
      </c>
      <c r="L166" s="397">
        <v>8.0000000000000002E-3</v>
      </c>
      <c r="M166" s="398">
        <v>729.51</v>
      </c>
      <c r="N166" s="398">
        <v>1.75</v>
      </c>
      <c r="O166" s="398">
        <v>2.54</v>
      </c>
      <c r="P166" s="397">
        <v>8.8999999999999996E-2</v>
      </c>
    </row>
    <row r="167" spans="6:16" x14ac:dyDescent="0.25">
      <c r="F167" t="s">
        <v>1010</v>
      </c>
      <c r="H167" t="s">
        <v>146</v>
      </c>
      <c r="J167" s="397">
        <v>4.3010000000000002</v>
      </c>
      <c r="K167" s="397">
        <v>0.46700000000000003</v>
      </c>
      <c r="L167" s="397">
        <v>8.0000000000000002E-3</v>
      </c>
      <c r="M167" s="398">
        <v>1220.25</v>
      </c>
      <c r="N167" s="398">
        <v>1.75</v>
      </c>
      <c r="O167" s="398">
        <v>2.54</v>
      </c>
      <c r="P167" s="397">
        <v>8.8999999999999996E-2</v>
      </c>
    </row>
    <row r="168" spans="6:16" x14ac:dyDescent="0.25">
      <c r="F168" t="s">
        <v>1011</v>
      </c>
      <c r="H168" t="s">
        <v>146</v>
      </c>
      <c r="J168" s="397">
        <v>4.3010000000000002</v>
      </c>
      <c r="K168" s="397">
        <v>0.46700000000000003</v>
      </c>
      <c r="L168" s="397">
        <v>8.0000000000000002E-3</v>
      </c>
      <c r="M168" s="398">
        <v>2640.04</v>
      </c>
      <c r="N168" s="398">
        <v>1.75</v>
      </c>
      <c r="O168" s="398">
        <v>2.54</v>
      </c>
      <c r="P168" s="397">
        <v>8.8999999999999996E-2</v>
      </c>
    </row>
    <row r="169" spans="6:16" x14ac:dyDescent="0.25">
      <c r="F169" t="s">
        <v>1012</v>
      </c>
      <c r="H169" t="s">
        <v>146</v>
      </c>
      <c r="J169" s="399">
        <v>0</v>
      </c>
      <c r="K169" s="399">
        <v>0</v>
      </c>
      <c r="L169" s="399">
        <v>0</v>
      </c>
      <c r="M169" s="400">
        <v>0</v>
      </c>
      <c r="N169" s="400">
        <v>0</v>
      </c>
      <c r="O169" s="400">
        <v>0</v>
      </c>
      <c r="P169" s="399">
        <v>0</v>
      </c>
    </row>
    <row r="170" spans="6:16" x14ac:dyDescent="0.25">
      <c r="F170" t="s">
        <v>1013</v>
      </c>
      <c r="H170" t="s">
        <v>146</v>
      </c>
      <c r="J170" s="399">
        <v>0</v>
      </c>
      <c r="K170" s="399">
        <v>0</v>
      </c>
      <c r="L170" s="399">
        <v>0</v>
      </c>
      <c r="M170" s="400">
        <v>0</v>
      </c>
      <c r="N170" s="400">
        <v>0</v>
      </c>
      <c r="O170" s="400">
        <v>0</v>
      </c>
      <c r="P170" s="399">
        <v>0</v>
      </c>
    </row>
    <row r="171" spans="6:16" x14ac:dyDescent="0.25">
      <c r="F171" t="s">
        <v>1014</v>
      </c>
      <c r="H171" t="s">
        <v>146</v>
      </c>
      <c r="J171" s="399">
        <v>0</v>
      </c>
      <c r="K171" s="399">
        <v>0</v>
      </c>
      <c r="L171" s="399">
        <v>0</v>
      </c>
      <c r="M171" s="400">
        <v>0</v>
      </c>
      <c r="N171" s="400">
        <v>0</v>
      </c>
      <c r="O171" s="400">
        <v>0</v>
      </c>
      <c r="P171" s="399">
        <v>0</v>
      </c>
    </row>
    <row r="172" spans="6:16" x14ac:dyDescent="0.25">
      <c r="F172" t="s">
        <v>1015</v>
      </c>
      <c r="H172" t="s">
        <v>146</v>
      </c>
      <c r="J172" s="399">
        <v>0</v>
      </c>
      <c r="K172" s="399">
        <v>0</v>
      </c>
      <c r="L172" s="399">
        <v>0</v>
      </c>
      <c r="M172" s="400">
        <v>0</v>
      </c>
      <c r="N172" s="400">
        <v>0</v>
      </c>
      <c r="O172" s="400">
        <v>0</v>
      </c>
      <c r="P172" s="399">
        <v>0</v>
      </c>
    </row>
    <row r="173" spans="6:16" x14ac:dyDescent="0.25">
      <c r="F173" t="s">
        <v>1016</v>
      </c>
      <c r="H173" t="s">
        <v>146</v>
      </c>
      <c r="J173" s="399">
        <v>0</v>
      </c>
      <c r="K173" s="399">
        <v>0</v>
      </c>
      <c r="L173" s="399">
        <v>0</v>
      </c>
      <c r="M173" s="400">
        <v>0</v>
      </c>
      <c r="N173" s="400">
        <v>0</v>
      </c>
      <c r="O173" s="400">
        <v>0</v>
      </c>
      <c r="P173" s="399">
        <v>0</v>
      </c>
    </row>
    <row r="174" spans="6:16" x14ac:dyDescent="0.25">
      <c r="F174" t="s">
        <v>1017</v>
      </c>
      <c r="H174" t="s">
        <v>146</v>
      </c>
      <c r="J174" s="399">
        <v>0</v>
      </c>
      <c r="K174" s="399">
        <v>0</v>
      </c>
      <c r="L174" s="399">
        <v>0</v>
      </c>
      <c r="M174" s="400">
        <v>0</v>
      </c>
      <c r="N174" s="400">
        <v>0</v>
      </c>
      <c r="O174" s="400">
        <v>0</v>
      </c>
      <c r="P174" s="399">
        <v>0</v>
      </c>
    </row>
    <row r="175" spans="6:16" x14ac:dyDescent="0.25">
      <c r="F175" t="s">
        <v>1018</v>
      </c>
      <c r="H175" t="s">
        <v>146</v>
      </c>
      <c r="J175" s="399">
        <v>0</v>
      </c>
      <c r="K175" s="399">
        <v>0</v>
      </c>
      <c r="L175" s="399">
        <v>0</v>
      </c>
      <c r="M175" s="400">
        <v>0</v>
      </c>
      <c r="N175" s="400">
        <v>0</v>
      </c>
      <c r="O175" s="400">
        <v>0</v>
      </c>
      <c r="P175" s="399">
        <v>0</v>
      </c>
    </row>
    <row r="176" spans="6:16" x14ac:dyDescent="0.25">
      <c r="F176" t="s">
        <v>1019</v>
      </c>
      <c r="H176" t="s">
        <v>146</v>
      </c>
      <c r="J176" s="399">
        <v>0</v>
      </c>
      <c r="K176" s="399">
        <v>0</v>
      </c>
      <c r="L176" s="399">
        <v>0</v>
      </c>
      <c r="M176" s="400">
        <v>0</v>
      </c>
      <c r="N176" s="400">
        <v>0</v>
      </c>
      <c r="O176" s="400">
        <v>0</v>
      </c>
      <c r="P176" s="399">
        <v>0</v>
      </c>
    </row>
    <row r="177" spans="4:16" x14ac:dyDescent="0.25">
      <c r="F177" t="s">
        <v>1020</v>
      </c>
      <c r="H177" t="s">
        <v>146</v>
      </c>
      <c r="J177" s="399">
        <v>0</v>
      </c>
      <c r="K177" s="399">
        <v>0</v>
      </c>
      <c r="L177" s="399">
        <v>0</v>
      </c>
      <c r="M177" s="400">
        <v>0</v>
      </c>
      <c r="N177" s="400">
        <v>0</v>
      </c>
      <c r="O177" s="400">
        <v>0</v>
      </c>
      <c r="P177" s="399">
        <v>0</v>
      </c>
    </row>
    <row r="178" spans="4:16" x14ac:dyDescent="0.25">
      <c r="F178" t="s">
        <v>1021</v>
      </c>
      <c r="H178" t="s">
        <v>146</v>
      </c>
      <c r="J178" s="399">
        <v>0</v>
      </c>
      <c r="K178" s="399">
        <v>0</v>
      </c>
      <c r="L178" s="399">
        <v>0</v>
      </c>
      <c r="M178" s="400">
        <v>0</v>
      </c>
      <c r="N178" s="400">
        <v>0</v>
      </c>
      <c r="O178" s="400">
        <v>0</v>
      </c>
      <c r="P178" s="399">
        <v>0</v>
      </c>
    </row>
    <row r="179" spans="4:16" x14ac:dyDescent="0.25">
      <c r="F179" t="s">
        <v>932</v>
      </c>
      <c r="H179" t="s">
        <v>146</v>
      </c>
      <c r="J179" s="397">
        <v>14.981</v>
      </c>
      <c r="K179" s="397">
        <v>2.278</v>
      </c>
      <c r="L179" s="397">
        <v>1.7430000000000001</v>
      </c>
      <c r="M179" s="398">
        <v>0</v>
      </c>
      <c r="N179" s="398">
        <v>0</v>
      </c>
      <c r="O179" s="398">
        <v>0</v>
      </c>
      <c r="P179" s="397">
        <v>0</v>
      </c>
    </row>
    <row r="180" spans="4:16" x14ac:dyDescent="0.25">
      <c r="F180" t="s">
        <v>933</v>
      </c>
      <c r="H180" t="s">
        <v>146</v>
      </c>
      <c r="J180" s="397">
        <v>-6.5279999999999996</v>
      </c>
      <c r="K180" s="397">
        <v>-0.75</v>
      </c>
      <c r="L180" s="397">
        <v>-1.2999999999999999E-2</v>
      </c>
      <c r="M180" s="398">
        <v>0</v>
      </c>
      <c r="N180" s="398">
        <v>0</v>
      </c>
      <c r="O180" s="398">
        <v>0</v>
      </c>
      <c r="P180" s="397">
        <v>0</v>
      </c>
    </row>
    <row r="181" spans="4:16" x14ac:dyDescent="0.25">
      <c r="F181" t="s">
        <v>934</v>
      </c>
      <c r="H181" t="s">
        <v>146</v>
      </c>
      <c r="J181" s="399">
        <v>0</v>
      </c>
      <c r="K181" s="399">
        <v>0</v>
      </c>
      <c r="L181" s="399">
        <v>0</v>
      </c>
      <c r="M181" s="400">
        <v>0</v>
      </c>
      <c r="N181" s="400">
        <v>0</v>
      </c>
      <c r="O181" s="400">
        <v>0</v>
      </c>
      <c r="P181" s="399">
        <v>0</v>
      </c>
    </row>
    <row r="182" spans="4:16" x14ac:dyDescent="0.25">
      <c r="F182" t="s">
        <v>935</v>
      </c>
      <c r="H182" t="s">
        <v>146</v>
      </c>
      <c r="J182" s="397">
        <v>-6.5279999999999996</v>
      </c>
      <c r="K182" s="397">
        <v>-0.75</v>
      </c>
      <c r="L182" s="397">
        <v>-1.2999999999999999E-2</v>
      </c>
      <c r="M182" s="398">
        <v>0</v>
      </c>
      <c r="N182" s="398">
        <v>0</v>
      </c>
      <c r="O182" s="398">
        <v>0</v>
      </c>
      <c r="P182" s="397">
        <v>0.13500000000000001</v>
      </c>
    </row>
    <row r="183" spans="4:16" x14ac:dyDescent="0.25">
      <c r="F183" t="s">
        <v>936</v>
      </c>
      <c r="H183" t="s">
        <v>146</v>
      </c>
      <c r="J183" s="399">
        <v>0</v>
      </c>
      <c r="K183" s="399">
        <v>0</v>
      </c>
      <c r="L183" s="399">
        <v>0</v>
      </c>
      <c r="M183" s="400">
        <v>0</v>
      </c>
      <c r="N183" s="400">
        <v>0</v>
      </c>
      <c r="O183" s="400">
        <v>0</v>
      </c>
      <c r="P183" s="399">
        <v>0</v>
      </c>
    </row>
    <row r="184" spans="4:16" x14ac:dyDescent="0.25">
      <c r="F184" t="s">
        <v>937</v>
      </c>
      <c r="H184" t="s">
        <v>146</v>
      </c>
      <c r="J184" s="399">
        <v>0</v>
      </c>
      <c r="K184" s="399">
        <v>0</v>
      </c>
      <c r="L184" s="399">
        <v>0</v>
      </c>
      <c r="M184" s="400">
        <v>0</v>
      </c>
      <c r="N184" s="400">
        <v>0</v>
      </c>
      <c r="O184" s="400">
        <v>0</v>
      </c>
      <c r="P184" s="399">
        <v>0</v>
      </c>
    </row>
    <row r="185" spans="4:16" x14ac:dyDescent="0.25">
      <c r="F185" t="s">
        <v>938</v>
      </c>
      <c r="H185" t="s">
        <v>146</v>
      </c>
      <c r="J185" s="399">
        <v>0</v>
      </c>
      <c r="K185" s="399">
        <v>0</v>
      </c>
      <c r="L185" s="399">
        <v>0</v>
      </c>
      <c r="M185" s="400">
        <v>0</v>
      </c>
      <c r="N185" s="400">
        <v>0</v>
      </c>
      <c r="O185" s="400">
        <v>0</v>
      </c>
      <c r="P185" s="399">
        <v>0</v>
      </c>
    </row>
    <row r="186" spans="4:16" x14ac:dyDescent="0.25">
      <c r="F186" t="s">
        <v>939</v>
      </c>
      <c r="H186" t="s">
        <v>146</v>
      </c>
      <c r="J186" s="399">
        <v>0</v>
      </c>
      <c r="K186" s="399">
        <v>0</v>
      </c>
      <c r="L186" s="399">
        <v>0</v>
      </c>
      <c r="M186" s="400">
        <v>0</v>
      </c>
      <c r="N186" s="400">
        <v>0</v>
      </c>
      <c r="O186" s="400">
        <v>0</v>
      </c>
      <c r="P186" s="399">
        <v>0</v>
      </c>
    </row>
    <row r="187" spans="4:16" x14ac:dyDescent="0.25">
      <c r="F187" s="17" t="s">
        <v>940</v>
      </c>
      <c r="G187" s="17"/>
      <c r="H187" s="17" t="s">
        <v>146</v>
      </c>
      <c r="I187" s="17"/>
      <c r="J187" s="385">
        <v>0</v>
      </c>
      <c r="K187" s="385">
        <v>0</v>
      </c>
      <c r="L187" s="385">
        <v>0</v>
      </c>
      <c r="M187" s="295">
        <v>0</v>
      </c>
      <c r="N187" s="295">
        <v>0</v>
      </c>
      <c r="O187" s="295">
        <v>0</v>
      </c>
      <c r="P187" s="385">
        <v>0</v>
      </c>
    </row>
    <row r="188" spans="4:16" x14ac:dyDescent="0.25">
      <c r="D188"/>
      <c r="E188"/>
      <c r="J188" s="384"/>
      <c r="K188" s="384"/>
      <c r="L188" s="384"/>
      <c r="M188" s="294"/>
      <c r="N188" s="294"/>
      <c r="O188" s="294"/>
      <c r="P188" s="384"/>
    </row>
    <row r="189" spans="4:16" x14ac:dyDescent="0.25">
      <c r="D189" s="52"/>
      <c r="E189" s="52" t="str">
        <f>"LDNO HV tariff forecast " &amp; charging_year</f>
        <v>LDNO HV tariff forecast 2024/25</v>
      </c>
      <c r="J189" s="384"/>
      <c r="K189" s="384"/>
      <c r="L189" s="384"/>
      <c r="M189" s="294"/>
      <c r="N189" s="294"/>
      <c r="O189" s="294"/>
      <c r="P189" s="384"/>
    </row>
    <row r="190" spans="4:16" x14ac:dyDescent="0.25">
      <c r="F190" s="80" t="s">
        <v>1001</v>
      </c>
      <c r="G190" s="80"/>
      <c r="H190" s="80" t="s">
        <v>147</v>
      </c>
      <c r="I190" s="80"/>
      <c r="J190" s="382">
        <v>3.262</v>
      </c>
      <c r="K190" s="382">
        <v>0.375</v>
      </c>
      <c r="L190" s="382">
        <v>7.0000000000000001E-3</v>
      </c>
      <c r="M190" s="291">
        <v>10.23</v>
      </c>
      <c r="N190" s="291">
        <v>0</v>
      </c>
      <c r="O190" s="291">
        <v>0</v>
      </c>
      <c r="P190" s="382">
        <v>0</v>
      </c>
    </row>
    <row r="191" spans="4:16" x14ac:dyDescent="0.25">
      <c r="F191" t="s">
        <v>926</v>
      </c>
      <c r="H191" t="s">
        <v>147</v>
      </c>
      <c r="J191" s="397">
        <v>3.262</v>
      </c>
      <c r="K191" s="397">
        <v>0.375</v>
      </c>
      <c r="L191" s="397">
        <v>7.0000000000000001E-3</v>
      </c>
      <c r="M191" s="398">
        <v>0</v>
      </c>
      <c r="N191" s="398">
        <v>0</v>
      </c>
      <c r="O191" s="398">
        <v>0</v>
      </c>
      <c r="P191" s="397">
        <v>0</v>
      </c>
    </row>
    <row r="192" spans="4:16" x14ac:dyDescent="0.25">
      <c r="F192" t="s">
        <v>1002</v>
      </c>
      <c r="H192" t="s">
        <v>147</v>
      </c>
      <c r="J192" s="397">
        <v>3.9369999999999998</v>
      </c>
      <c r="K192" s="397">
        <v>0.45200000000000001</v>
      </c>
      <c r="L192" s="397">
        <v>8.0000000000000002E-3</v>
      </c>
      <c r="M192" s="398">
        <v>2.67</v>
      </c>
      <c r="N192" s="398">
        <v>0</v>
      </c>
      <c r="O192" s="398">
        <v>0</v>
      </c>
      <c r="P192" s="397">
        <v>0</v>
      </c>
    </row>
    <row r="193" spans="6:16" x14ac:dyDescent="0.25">
      <c r="F193" t="s">
        <v>1003</v>
      </c>
      <c r="H193" t="s">
        <v>147</v>
      </c>
      <c r="J193" s="397">
        <v>3.9369999999999998</v>
      </c>
      <c r="K193" s="397">
        <v>0.45200000000000001</v>
      </c>
      <c r="L193" s="397">
        <v>8.0000000000000002E-3</v>
      </c>
      <c r="M193" s="398">
        <v>12.66</v>
      </c>
      <c r="N193" s="398">
        <v>0</v>
      </c>
      <c r="O193" s="398">
        <v>0</v>
      </c>
      <c r="P193" s="397">
        <v>0</v>
      </c>
    </row>
    <row r="194" spans="6:16" x14ac:dyDescent="0.25">
      <c r="F194" t="s">
        <v>1004</v>
      </c>
      <c r="H194" t="s">
        <v>147</v>
      </c>
      <c r="J194" s="397">
        <v>3.9369999999999998</v>
      </c>
      <c r="K194" s="397">
        <v>0.45200000000000001</v>
      </c>
      <c r="L194" s="397">
        <v>8.0000000000000002E-3</v>
      </c>
      <c r="M194" s="398">
        <v>25.64</v>
      </c>
      <c r="N194" s="398">
        <v>0</v>
      </c>
      <c r="O194" s="398">
        <v>0</v>
      </c>
      <c r="P194" s="397">
        <v>0</v>
      </c>
    </row>
    <row r="195" spans="6:16" x14ac:dyDescent="0.25">
      <c r="F195" t="s">
        <v>1005</v>
      </c>
      <c r="H195" t="s">
        <v>147</v>
      </c>
      <c r="J195" s="397">
        <v>3.9369999999999998</v>
      </c>
      <c r="K195" s="397">
        <v>0.45200000000000001</v>
      </c>
      <c r="L195" s="397">
        <v>8.0000000000000002E-3</v>
      </c>
      <c r="M195" s="398">
        <v>52.27</v>
      </c>
      <c r="N195" s="398">
        <v>0</v>
      </c>
      <c r="O195" s="398">
        <v>0</v>
      </c>
      <c r="P195" s="397">
        <v>0</v>
      </c>
    </row>
    <row r="196" spans="6:16" x14ac:dyDescent="0.25">
      <c r="F196" t="s">
        <v>1006</v>
      </c>
      <c r="H196" t="s">
        <v>147</v>
      </c>
      <c r="J196" s="397">
        <v>3.9369999999999998</v>
      </c>
      <c r="K196" s="397">
        <v>0.45200000000000001</v>
      </c>
      <c r="L196" s="397">
        <v>8.0000000000000002E-3</v>
      </c>
      <c r="M196" s="398">
        <v>148.51</v>
      </c>
      <c r="N196" s="398">
        <v>0</v>
      </c>
      <c r="O196" s="398">
        <v>0</v>
      </c>
      <c r="P196" s="397">
        <v>0</v>
      </c>
    </row>
    <row r="197" spans="6:16" x14ac:dyDescent="0.25">
      <c r="F197" t="s">
        <v>928</v>
      </c>
      <c r="H197" t="s">
        <v>147</v>
      </c>
      <c r="J197" s="397">
        <v>3.9369999999999998</v>
      </c>
      <c r="K197" s="397">
        <v>0.45200000000000001</v>
      </c>
      <c r="L197" s="397">
        <v>8.0000000000000002E-3</v>
      </c>
      <c r="M197" s="398">
        <v>0</v>
      </c>
      <c r="N197" s="398">
        <v>0</v>
      </c>
      <c r="O197" s="398">
        <v>0</v>
      </c>
      <c r="P197" s="397">
        <v>0</v>
      </c>
    </row>
    <row r="198" spans="6:16" x14ac:dyDescent="0.25">
      <c r="F198" t="s">
        <v>1007</v>
      </c>
      <c r="H198" t="s">
        <v>147</v>
      </c>
      <c r="J198" s="397">
        <v>2.847</v>
      </c>
      <c r="K198" s="397">
        <v>0.309</v>
      </c>
      <c r="L198" s="397">
        <v>5.0000000000000001E-3</v>
      </c>
      <c r="M198" s="398">
        <v>9.65</v>
      </c>
      <c r="N198" s="398">
        <v>1.1599999999999999</v>
      </c>
      <c r="O198" s="398">
        <v>1.68</v>
      </c>
      <c r="P198" s="397">
        <v>5.8999999999999997E-2</v>
      </c>
    </row>
    <row r="199" spans="6:16" x14ac:dyDescent="0.25">
      <c r="F199" t="s">
        <v>1008</v>
      </c>
      <c r="H199" t="s">
        <v>147</v>
      </c>
      <c r="J199" s="397">
        <v>2.847</v>
      </c>
      <c r="K199" s="397">
        <v>0.309</v>
      </c>
      <c r="L199" s="397">
        <v>5.0000000000000001E-3</v>
      </c>
      <c r="M199" s="398">
        <v>280.51</v>
      </c>
      <c r="N199" s="398">
        <v>1.1599999999999999</v>
      </c>
      <c r="O199" s="398">
        <v>1.68</v>
      </c>
      <c r="P199" s="397">
        <v>5.8999999999999997E-2</v>
      </c>
    </row>
    <row r="200" spans="6:16" x14ac:dyDescent="0.25">
      <c r="F200" t="s">
        <v>1009</v>
      </c>
      <c r="H200" t="s">
        <v>147</v>
      </c>
      <c r="J200" s="397">
        <v>2.847</v>
      </c>
      <c r="K200" s="397">
        <v>0.309</v>
      </c>
      <c r="L200" s="397">
        <v>5.0000000000000001E-3</v>
      </c>
      <c r="M200" s="398">
        <v>482.96</v>
      </c>
      <c r="N200" s="398">
        <v>1.1599999999999999</v>
      </c>
      <c r="O200" s="398">
        <v>1.68</v>
      </c>
      <c r="P200" s="397">
        <v>5.8999999999999997E-2</v>
      </c>
    </row>
    <row r="201" spans="6:16" x14ac:dyDescent="0.25">
      <c r="F201" t="s">
        <v>1010</v>
      </c>
      <c r="H201" t="s">
        <v>147</v>
      </c>
      <c r="J201" s="397">
        <v>2.847</v>
      </c>
      <c r="K201" s="397">
        <v>0.309</v>
      </c>
      <c r="L201" s="397">
        <v>5.0000000000000001E-3</v>
      </c>
      <c r="M201" s="398">
        <v>807.78</v>
      </c>
      <c r="N201" s="398">
        <v>1.1599999999999999</v>
      </c>
      <c r="O201" s="398">
        <v>1.68</v>
      </c>
      <c r="P201" s="397">
        <v>5.8999999999999997E-2</v>
      </c>
    </row>
    <row r="202" spans="6:16" x14ac:dyDescent="0.25">
      <c r="F202" t="s">
        <v>1011</v>
      </c>
      <c r="H202" t="s">
        <v>147</v>
      </c>
      <c r="J202" s="397">
        <v>2.847</v>
      </c>
      <c r="K202" s="397">
        <v>0.309</v>
      </c>
      <c r="L202" s="397">
        <v>5.0000000000000001E-3</v>
      </c>
      <c r="M202" s="398">
        <v>1747.53</v>
      </c>
      <c r="N202" s="398">
        <v>1.1599999999999999</v>
      </c>
      <c r="O202" s="398">
        <v>1.68</v>
      </c>
      <c r="P202" s="397">
        <v>5.8999999999999997E-2</v>
      </c>
    </row>
    <row r="203" spans="6:16" x14ac:dyDescent="0.25">
      <c r="F203" t="s">
        <v>1012</v>
      </c>
      <c r="H203" t="s">
        <v>147</v>
      </c>
      <c r="J203" s="397">
        <v>2.7629999999999999</v>
      </c>
      <c r="K203" s="397">
        <v>0.248</v>
      </c>
      <c r="L203" s="397">
        <v>4.0000000000000001E-3</v>
      </c>
      <c r="M203" s="398">
        <v>5.87</v>
      </c>
      <c r="N203" s="398">
        <v>3.6</v>
      </c>
      <c r="O203" s="398">
        <v>4.0999999999999996</v>
      </c>
      <c r="P203" s="397">
        <v>0.05</v>
      </c>
    </row>
    <row r="204" spans="6:16" x14ac:dyDescent="0.25">
      <c r="F204" t="s">
        <v>1013</v>
      </c>
      <c r="H204" t="s">
        <v>147</v>
      </c>
      <c r="J204" s="397">
        <v>2.7629999999999999</v>
      </c>
      <c r="K204" s="397">
        <v>0.248</v>
      </c>
      <c r="L204" s="397">
        <v>4.0000000000000001E-3</v>
      </c>
      <c r="M204" s="398">
        <v>462.78</v>
      </c>
      <c r="N204" s="398">
        <v>3.6</v>
      </c>
      <c r="O204" s="398">
        <v>4.0999999999999996</v>
      </c>
      <c r="P204" s="397">
        <v>0.05</v>
      </c>
    </row>
    <row r="205" spans="6:16" x14ac:dyDescent="0.25">
      <c r="F205" t="s">
        <v>1014</v>
      </c>
      <c r="H205" t="s">
        <v>147</v>
      </c>
      <c r="J205" s="397">
        <v>2.7629999999999999</v>
      </c>
      <c r="K205" s="397">
        <v>0.248</v>
      </c>
      <c r="L205" s="397">
        <v>4.0000000000000001E-3</v>
      </c>
      <c r="M205" s="398">
        <v>804.31</v>
      </c>
      <c r="N205" s="398">
        <v>3.6</v>
      </c>
      <c r="O205" s="398">
        <v>4.0999999999999996</v>
      </c>
      <c r="P205" s="397">
        <v>0.05</v>
      </c>
    </row>
    <row r="206" spans="6:16" x14ac:dyDescent="0.25">
      <c r="F206" t="s">
        <v>1015</v>
      </c>
      <c r="H206" t="s">
        <v>147</v>
      </c>
      <c r="J206" s="397">
        <v>2.7629999999999999</v>
      </c>
      <c r="K206" s="397">
        <v>0.248</v>
      </c>
      <c r="L206" s="397">
        <v>4.0000000000000001E-3</v>
      </c>
      <c r="M206" s="398">
        <v>1352.25</v>
      </c>
      <c r="N206" s="398">
        <v>3.6</v>
      </c>
      <c r="O206" s="398">
        <v>4.0999999999999996</v>
      </c>
      <c r="P206" s="397">
        <v>0.05</v>
      </c>
    </row>
    <row r="207" spans="6:16" x14ac:dyDescent="0.25">
      <c r="F207" t="s">
        <v>1016</v>
      </c>
      <c r="H207" t="s">
        <v>147</v>
      </c>
      <c r="J207" s="397">
        <v>2.7629999999999999</v>
      </c>
      <c r="K207" s="397">
        <v>0.248</v>
      </c>
      <c r="L207" s="397">
        <v>4.0000000000000001E-3</v>
      </c>
      <c r="M207" s="398">
        <v>2937.52</v>
      </c>
      <c r="N207" s="398">
        <v>3.6</v>
      </c>
      <c r="O207" s="398">
        <v>4.0999999999999996</v>
      </c>
      <c r="P207" s="397">
        <v>0.05</v>
      </c>
    </row>
    <row r="208" spans="6:16" x14ac:dyDescent="0.25">
      <c r="F208" t="s">
        <v>1017</v>
      </c>
      <c r="H208" t="s">
        <v>147</v>
      </c>
      <c r="J208" s="397">
        <v>2.1960000000000002</v>
      </c>
      <c r="K208" s="397">
        <v>0.17399999999999999</v>
      </c>
      <c r="L208" s="397">
        <v>2E-3</v>
      </c>
      <c r="M208" s="398">
        <v>96.91</v>
      </c>
      <c r="N208" s="398">
        <v>4.54</v>
      </c>
      <c r="O208" s="398">
        <v>5.59</v>
      </c>
      <c r="P208" s="397">
        <v>3.5999999999999997E-2</v>
      </c>
    </row>
    <row r="209" spans="3:18" x14ac:dyDescent="0.25">
      <c r="F209" t="s">
        <v>1018</v>
      </c>
      <c r="H209" t="s">
        <v>147</v>
      </c>
      <c r="J209" s="397">
        <v>2.1960000000000002</v>
      </c>
      <c r="K209" s="397">
        <v>0.17399999999999999</v>
      </c>
      <c r="L209" s="397">
        <v>2E-3</v>
      </c>
      <c r="M209" s="398">
        <v>2717.16</v>
      </c>
      <c r="N209" s="398">
        <v>4.54</v>
      </c>
      <c r="O209" s="398">
        <v>5.59</v>
      </c>
      <c r="P209" s="397">
        <v>3.5999999999999997E-2</v>
      </c>
    </row>
    <row r="210" spans="3:18" x14ac:dyDescent="0.25">
      <c r="F210" t="s">
        <v>1019</v>
      </c>
      <c r="H210" t="s">
        <v>147</v>
      </c>
      <c r="J210" s="397">
        <v>2.1960000000000002</v>
      </c>
      <c r="K210" s="397">
        <v>0.17399999999999999</v>
      </c>
      <c r="L210" s="397">
        <v>2E-3</v>
      </c>
      <c r="M210" s="398">
        <v>8042.1</v>
      </c>
      <c r="N210" s="398">
        <v>4.54</v>
      </c>
      <c r="O210" s="398">
        <v>5.59</v>
      </c>
      <c r="P210" s="397">
        <v>3.5999999999999997E-2</v>
      </c>
    </row>
    <row r="211" spans="3:18" x14ac:dyDescent="0.25">
      <c r="F211" t="s">
        <v>1020</v>
      </c>
      <c r="H211" t="s">
        <v>147</v>
      </c>
      <c r="J211" s="397">
        <v>2.1960000000000002</v>
      </c>
      <c r="K211" s="397">
        <v>0.17399999999999999</v>
      </c>
      <c r="L211" s="397">
        <v>2E-3</v>
      </c>
      <c r="M211" s="398">
        <v>16293.01</v>
      </c>
      <c r="N211" s="398">
        <v>4.54</v>
      </c>
      <c r="O211" s="398">
        <v>5.59</v>
      </c>
      <c r="P211" s="397">
        <v>3.5999999999999997E-2</v>
      </c>
    </row>
    <row r="212" spans="3:18" x14ac:dyDescent="0.25">
      <c r="F212" t="s">
        <v>1021</v>
      </c>
      <c r="H212" t="s">
        <v>147</v>
      </c>
      <c r="J212" s="397">
        <v>2.1960000000000002</v>
      </c>
      <c r="K212" s="397">
        <v>0.17399999999999999</v>
      </c>
      <c r="L212" s="397">
        <v>2E-3</v>
      </c>
      <c r="M212" s="398">
        <v>43053.82</v>
      </c>
      <c r="N212" s="398">
        <v>4.54</v>
      </c>
      <c r="O212" s="398">
        <v>5.59</v>
      </c>
      <c r="P212" s="397">
        <v>3.5999999999999997E-2</v>
      </c>
    </row>
    <row r="213" spans="3:18" x14ac:dyDescent="0.25">
      <c r="F213" t="s">
        <v>932</v>
      </c>
      <c r="H213" t="s">
        <v>147</v>
      </c>
      <c r="J213" s="397">
        <v>9.9160000000000004</v>
      </c>
      <c r="K213" s="397">
        <v>1.508</v>
      </c>
      <c r="L213" s="397">
        <v>1.1539999999999999</v>
      </c>
      <c r="M213" s="398">
        <v>0</v>
      </c>
      <c r="N213" s="398">
        <v>0</v>
      </c>
      <c r="O213" s="398">
        <v>0</v>
      </c>
      <c r="P213" s="397">
        <v>0</v>
      </c>
    </row>
    <row r="214" spans="3:18" x14ac:dyDescent="0.25">
      <c r="F214" t="s">
        <v>933</v>
      </c>
      <c r="H214" t="s">
        <v>147</v>
      </c>
      <c r="J214" s="397">
        <v>-6.5279999999999996</v>
      </c>
      <c r="K214" s="397">
        <v>-0.75</v>
      </c>
      <c r="L214" s="397">
        <v>-1.2999999999999999E-2</v>
      </c>
      <c r="M214" s="398">
        <v>0</v>
      </c>
      <c r="N214" s="398">
        <v>0</v>
      </c>
      <c r="O214" s="398">
        <v>0</v>
      </c>
      <c r="P214" s="397">
        <v>0</v>
      </c>
    </row>
    <row r="215" spans="3:18" x14ac:dyDescent="0.25">
      <c r="F215" t="s">
        <v>934</v>
      </c>
      <c r="H215" t="s">
        <v>147</v>
      </c>
      <c r="J215" s="397">
        <v>-5.6840000000000002</v>
      </c>
      <c r="K215" s="397">
        <v>-0.63500000000000001</v>
      </c>
      <c r="L215" s="397">
        <v>-1.0999999999999999E-2</v>
      </c>
      <c r="M215" s="398">
        <v>0</v>
      </c>
      <c r="N215" s="398">
        <v>0</v>
      </c>
      <c r="O215" s="398">
        <v>0</v>
      </c>
      <c r="P215" s="397">
        <v>0</v>
      </c>
    </row>
    <row r="216" spans="3:18" x14ac:dyDescent="0.25">
      <c r="F216" t="s">
        <v>935</v>
      </c>
      <c r="H216" t="s">
        <v>147</v>
      </c>
      <c r="J216" s="397">
        <v>-6.5279999999999996</v>
      </c>
      <c r="K216" s="397">
        <v>-0.75</v>
      </c>
      <c r="L216" s="397">
        <v>-1.2999999999999999E-2</v>
      </c>
      <c r="M216" s="398">
        <v>0</v>
      </c>
      <c r="N216" s="398">
        <v>0</v>
      </c>
      <c r="O216" s="398">
        <v>0</v>
      </c>
      <c r="P216" s="397">
        <v>0.13500000000000001</v>
      </c>
    </row>
    <row r="217" spans="3:18" x14ac:dyDescent="0.25">
      <c r="F217" t="s">
        <v>936</v>
      </c>
      <c r="H217" t="s">
        <v>147</v>
      </c>
      <c r="J217" s="399">
        <v>0</v>
      </c>
      <c r="K217" s="399">
        <v>0</v>
      </c>
      <c r="L217" s="399">
        <v>0</v>
      </c>
      <c r="M217" s="400">
        <v>0</v>
      </c>
      <c r="N217" s="400">
        <v>0</v>
      </c>
      <c r="O217" s="400">
        <v>0</v>
      </c>
      <c r="P217" s="399">
        <v>0</v>
      </c>
    </row>
    <row r="218" spans="3:18" x14ac:dyDescent="0.25">
      <c r="F218" t="s">
        <v>937</v>
      </c>
      <c r="H218" t="s">
        <v>147</v>
      </c>
      <c r="J218" s="397">
        <v>-5.6840000000000002</v>
      </c>
      <c r="K218" s="397">
        <v>-0.63500000000000001</v>
      </c>
      <c r="L218" s="397">
        <v>-1.0999999999999999E-2</v>
      </c>
      <c r="M218" s="398">
        <v>0</v>
      </c>
      <c r="N218" s="398">
        <v>0</v>
      </c>
      <c r="O218" s="398">
        <v>0</v>
      </c>
      <c r="P218" s="397">
        <v>0.11700000000000001</v>
      </c>
    </row>
    <row r="219" spans="3:18" x14ac:dyDescent="0.25">
      <c r="F219" t="s">
        <v>938</v>
      </c>
      <c r="H219" t="s">
        <v>147</v>
      </c>
      <c r="J219" s="399">
        <v>0</v>
      </c>
      <c r="K219" s="399">
        <v>0</v>
      </c>
      <c r="L219" s="399">
        <v>0</v>
      </c>
      <c r="M219" s="400">
        <v>0</v>
      </c>
      <c r="N219" s="400">
        <v>0</v>
      </c>
      <c r="O219" s="400">
        <v>0</v>
      </c>
      <c r="P219" s="399">
        <v>0</v>
      </c>
    </row>
    <row r="220" spans="3:18" x14ac:dyDescent="0.25">
      <c r="F220" t="s">
        <v>939</v>
      </c>
      <c r="H220" t="s">
        <v>147</v>
      </c>
      <c r="J220" s="397">
        <v>-3.512</v>
      </c>
      <c r="K220" s="397">
        <v>-0.313</v>
      </c>
      <c r="L220" s="397">
        <v>-5.0000000000000001E-3</v>
      </c>
      <c r="M220" s="398">
        <v>0</v>
      </c>
      <c r="N220" s="398">
        <v>0</v>
      </c>
      <c r="O220" s="398">
        <v>0</v>
      </c>
      <c r="P220" s="397">
        <v>9.6000000000000002E-2</v>
      </c>
    </row>
    <row r="221" spans="3:18" x14ac:dyDescent="0.25">
      <c r="F221" s="17" t="s">
        <v>940</v>
      </c>
      <c r="G221" s="17"/>
      <c r="H221" s="17" t="s">
        <v>147</v>
      </c>
      <c r="I221" s="17"/>
      <c r="J221" s="385">
        <v>0</v>
      </c>
      <c r="K221" s="385">
        <v>0</v>
      </c>
      <c r="L221" s="385">
        <v>0</v>
      </c>
      <c r="M221" s="295">
        <v>0</v>
      </c>
      <c r="N221" s="295">
        <v>0</v>
      </c>
      <c r="O221" s="295">
        <v>0</v>
      </c>
      <c r="P221" s="385">
        <v>0</v>
      </c>
    </row>
    <row r="222" spans="3:18" x14ac:dyDescent="0.25">
      <c r="D222"/>
      <c r="E222"/>
      <c r="J222" s="298"/>
      <c r="K222" s="298"/>
      <c r="L222" s="298"/>
      <c r="M222" s="184"/>
      <c r="N222" s="184"/>
      <c r="O222" s="184"/>
      <c r="P222" s="298"/>
    </row>
    <row r="223" spans="3:18" x14ac:dyDescent="0.25">
      <c r="C223" s="5" t="str">
        <f ca="1">INDEX('Version control'!$H$36:$H$62,MATCH($A$1,'Version control'!$F$36:$F$62,0),1)&amp;"-C: Tariff results for charging year " &amp; 'ARP_User control'!G32</f>
        <v>Output 501-C: Tariff results for charging year 2025/26</v>
      </c>
      <c r="D223" s="5"/>
      <c r="E223" s="5"/>
      <c r="F223" s="5"/>
      <c r="G223" s="5"/>
      <c r="H223" s="5"/>
      <c r="I223" s="5"/>
      <c r="J223" s="387"/>
      <c r="K223" s="387"/>
      <c r="L223" s="387"/>
      <c r="M223" s="5"/>
      <c r="N223" s="5"/>
      <c r="O223" s="5"/>
      <c r="P223" s="387"/>
      <c r="Q223" s="5"/>
      <c r="R223" s="5"/>
    </row>
    <row r="224" spans="3:18" x14ac:dyDescent="0.25">
      <c r="D224"/>
      <c r="E224"/>
      <c r="J224" s="388"/>
      <c r="K224" s="388"/>
      <c r="L224" s="388"/>
      <c r="M224" s="183"/>
      <c r="N224" s="183"/>
      <c r="O224" s="183"/>
      <c r="P224" s="388"/>
    </row>
    <row r="225" spans="4:16" x14ac:dyDescent="0.25">
      <c r="D225" s="52"/>
      <c r="E225" s="52" t="str">
        <f>"All the way tariff forecast " &amp; 'ARP_User control'!G32</f>
        <v>All the way tariff forecast 2025/26</v>
      </c>
      <c r="J225" s="388"/>
      <c r="K225" s="388"/>
      <c r="L225" s="388"/>
      <c r="M225" s="183"/>
      <c r="N225" s="183"/>
      <c r="O225" s="183"/>
      <c r="P225" s="388"/>
    </row>
    <row r="226" spans="4:16" x14ac:dyDescent="0.25">
      <c r="F226" s="80" t="s">
        <v>1001</v>
      </c>
      <c r="G226" s="80"/>
      <c r="H226" s="80" t="s">
        <v>261</v>
      </c>
      <c r="I226" s="80"/>
      <c r="J226" s="382">
        <v>9.3650000000000002</v>
      </c>
      <c r="K226" s="382">
        <v>1.0820000000000001</v>
      </c>
      <c r="L226" s="382">
        <v>1.9E-2</v>
      </c>
      <c r="M226" s="291">
        <v>14.04</v>
      </c>
      <c r="N226" s="291">
        <v>0</v>
      </c>
      <c r="O226" s="291">
        <v>0</v>
      </c>
      <c r="P226" s="382">
        <v>0</v>
      </c>
    </row>
    <row r="227" spans="4:16" x14ac:dyDescent="0.25">
      <c r="F227" t="s">
        <v>926</v>
      </c>
      <c r="H227" t="s">
        <v>261</v>
      </c>
      <c r="J227" s="397">
        <v>9.3650000000000002</v>
      </c>
      <c r="K227" s="397">
        <v>1.0820000000000001</v>
      </c>
      <c r="L227" s="397">
        <v>1.9E-2</v>
      </c>
      <c r="M227" s="398">
        <v>0</v>
      </c>
      <c r="N227" s="398">
        <v>0</v>
      </c>
      <c r="O227" s="398">
        <v>0</v>
      </c>
      <c r="P227" s="397">
        <v>0</v>
      </c>
    </row>
    <row r="228" spans="4:16" x14ac:dyDescent="0.25">
      <c r="F228" t="s">
        <v>1002</v>
      </c>
      <c r="H228" t="s">
        <v>261</v>
      </c>
      <c r="J228" s="397">
        <v>11.304</v>
      </c>
      <c r="K228" s="397">
        <v>1.306</v>
      </c>
      <c r="L228" s="397">
        <v>2.3E-2</v>
      </c>
      <c r="M228" s="398">
        <v>1.17</v>
      </c>
      <c r="N228" s="398">
        <v>0</v>
      </c>
      <c r="O228" s="398">
        <v>0</v>
      </c>
      <c r="P228" s="397">
        <v>0</v>
      </c>
    </row>
    <row r="229" spans="4:16" x14ac:dyDescent="0.25">
      <c r="F229" t="s">
        <v>1003</v>
      </c>
      <c r="H229" t="s">
        <v>261</v>
      </c>
      <c r="J229" s="397">
        <v>11.304</v>
      </c>
      <c r="K229" s="397">
        <v>1.306</v>
      </c>
      <c r="L229" s="397">
        <v>2.3E-2</v>
      </c>
      <c r="M229" s="398">
        <v>17.43</v>
      </c>
      <c r="N229" s="398">
        <v>0</v>
      </c>
      <c r="O229" s="398">
        <v>0</v>
      </c>
      <c r="P229" s="397">
        <v>0</v>
      </c>
    </row>
    <row r="230" spans="4:16" x14ac:dyDescent="0.25">
      <c r="F230" t="s">
        <v>1004</v>
      </c>
      <c r="H230" t="s">
        <v>261</v>
      </c>
      <c r="J230" s="397">
        <v>11.304</v>
      </c>
      <c r="K230" s="397">
        <v>1.306</v>
      </c>
      <c r="L230" s="397">
        <v>2.3E-2</v>
      </c>
      <c r="M230" s="398">
        <v>38.54</v>
      </c>
      <c r="N230" s="398">
        <v>0</v>
      </c>
      <c r="O230" s="398">
        <v>0</v>
      </c>
      <c r="P230" s="397">
        <v>0</v>
      </c>
    </row>
    <row r="231" spans="4:16" x14ac:dyDescent="0.25">
      <c r="F231" t="s">
        <v>1005</v>
      </c>
      <c r="H231" t="s">
        <v>261</v>
      </c>
      <c r="J231" s="397">
        <v>11.304</v>
      </c>
      <c r="K231" s="397">
        <v>1.306</v>
      </c>
      <c r="L231" s="397">
        <v>2.3E-2</v>
      </c>
      <c r="M231" s="398">
        <v>81.86</v>
      </c>
      <c r="N231" s="398">
        <v>0</v>
      </c>
      <c r="O231" s="398">
        <v>0</v>
      </c>
      <c r="P231" s="397">
        <v>0</v>
      </c>
    </row>
    <row r="232" spans="4:16" x14ac:dyDescent="0.25">
      <c r="F232" t="s">
        <v>1006</v>
      </c>
      <c r="H232" t="s">
        <v>261</v>
      </c>
      <c r="J232" s="397">
        <v>11.304</v>
      </c>
      <c r="K232" s="397">
        <v>1.306</v>
      </c>
      <c r="L232" s="397">
        <v>2.3E-2</v>
      </c>
      <c r="M232" s="398">
        <v>238.38</v>
      </c>
      <c r="N232" s="398">
        <v>0</v>
      </c>
      <c r="O232" s="398">
        <v>0</v>
      </c>
      <c r="P232" s="397">
        <v>0</v>
      </c>
    </row>
    <row r="233" spans="4:16" x14ac:dyDescent="0.25">
      <c r="F233" t="s">
        <v>928</v>
      </c>
      <c r="H233" t="s">
        <v>261</v>
      </c>
      <c r="J233" s="397">
        <v>11.304</v>
      </c>
      <c r="K233" s="397">
        <v>1.306</v>
      </c>
      <c r="L233" s="397">
        <v>2.3E-2</v>
      </c>
      <c r="M233" s="398">
        <v>0</v>
      </c>
      <c r="N233" s="398">
        <v>0</v>
      </c>
      <c r="O233" s="398">
        <v>0</v>
      </c>
      <c r="P233" s="397">
        <v>0</v>
      </c>
    </row>
    <row r="234" spans="4:16" x14ac:dyDescent="0.25">
      <c r="F234" t="s">
        <v>1007</v>
      </c>
      <c r="H234" t="s">
        <v>261</v>
      </c>
      <c r="J234" s="397">
        <v>8.141</v>
      </c>
      <c r="K234" s="397">
        <v>0.89</v>
      </c>
      <c r="L234" s="397">
        <v>1.4999999999999999E-2</v>
      </c>
      <c r="M234" s="398">
        <v>0</v>
      </c>
      <c r="N234" s="398">
        <v>3.52</v>
      </c>
      <c r="O234" s="398">
        <v>4.84</v>
      </c>
      <c r="P234" s="397">
        <v>0.16800000000000001</v>
      </c>
    </row>
    <row r="235" spans="4:16" x14ac:dyDescent="0.25">
      <c r="F235" t="s">
        <v>1008</v>
      </c>
      <c r="H235" t="s">
        <v>261</v>
      </c>
      <c r="J235" s="397">
        <v>8.141</v>
      </c>
      <c r="K235" s="397">
        <v>0.89</v>
      </c>
      <c r="L235" s="397">
        <v>1.4999999999999999E-2</v>
      </c>
      <c r="M235" s="398">
        <v>440.54</v>
      </c>
      <c r="N235" s="398">
        <v>3.52</v>
      </c>
      <c r="O235" s="398">
        <v>4.84</v>
      </c>
      <c r="P235" s="397">
        <v>0.16800000000000001</v>
      </c>
    </row>
    <row r="236" spans="4:16" x14ac:dyDescent="0.25">
      <c r="F236" t="s">
        <v>1009</v>
      </c>
      <c r="H236" t="s">
        <v>261</v>
      </c>
      <c r="J236" s="397">
        <v>8.141</v>
      </c>
      <c r="K236" s="397">
        <v>0.89</v>
      </c>
      <c r="L236" s="397">
        <v>1.4999999999999999E-2</v>
      </c>
      <c r="M236" s="398">
        <v>769.83</v>
      </c>
      <c r="N236" s="398">
        <v>3.52</v>
      </c>
      <c r="O236" s="398">
        <v>4.84</v>
      </c>
      <c r="P236" s="397">
        <v>0.16800000000000001</v>
      </c>
    </row>
    <row r="237" spans="4:16" x14ac:dyDescent="0.25">
      <c r="F237" t="s">
        <v>1010</v>
      </c>
      <c r="H237" t="s">
        <v>261</v>
      </c>
      <c r="J237" s="397">
        <v>8.141</v>
      </c>
      <c r="K237" s="397">
        <v>0.89</v>
      </c>
      <c r="L237" s="397">
        <v>1.4999999999999999E-2</v>
      </c>
      <c r="M237" s="398">
        <v>1298.1400000000001</v>
      </c>
      <c r="N237" s="398">
        <v>3.52</v>
      </c>
      <c r="O237" s="398">
        <v>4.84</v>
      </c>
      <c r="P237" s="397">
        <v>0.16800000000000001</v>
      </c>
    </row>
    <row r="238" spans="4:16" x14ac:dyDescent="0.25">
      <c r="F238" t="s">
        <v>1011</v>
      </c>
      <c r="H238" t="s">
        <v>261</v>
      </c>
      <c r="J238" s="397">
        <v>8.141</v>
      </c>
      <c r="K238" s="397">
        <v>0.89</v>
      </c>
      <c r="L238" s="397">
        <v>1.4999999999999999E-2</v>
      </c>
      <c r="M238" s="398">
        <v>2826.62</v>
      </c>
      <c r="N238" s="398">
        <v>3.52</v>
      </c>
      <c r="O238" s="398">
        <v>4.84</v>
      </c>
      <c r="P238" s="397">
        <v>0.16800000000000001</v>
      </c>
    </row>
    <row r="239" spans="4:16" x14ac:dyDescent="0.25">
      <c r="F239" t="s">
        <v>1012</v>
      </c>
      <c r="H239" t="s">
        <v>261</v>
      </c>
      <c r="J239" s="397">
        <v>4.633</v>
      </c>
      <c r="K239" s="397">
        <v>0.41699999999999998</v>
      </c>
      <c r="L239" s="397">
        <v>6.0000000000000001E-3</v>
      </c>
      <c r="M239" s="398">
        <v>0</v>
      </c>
      <c r="N239" s="398">
        <v>6.25</v>
      </c>
      <c r="O239" s="398">
        <v>7.01</v>
      </c>
      <c r="P239" s="397">
        <v>8.4000000000000005E-2</v>
      </c>
    </row>
    <row r="240" spans="4:16" x14ac:dyDescent="0.25">
      <c r="F240" t="s">
        <v>1013</v>
      </c>
      <c r="H240" t="s">
        <v>261</v>
      </c>
      <c r="J240" s="397">
        <v>4.633</v>
      </c>
      <c r="K240" s="397">
        <v>0.41699999999999998</v>
      </c>
      <c r="L240" s="397">
        <v>6.0000000000000001E-3</v>
      </c>
      <c r="M240" s="398">
        <v>440.54</v>
      </c>
      <c r="N240" s="398">
        <v>6.25</v>
      </c>
      <c r="O240" s="398">
        <v>7.01</v>
      </c>
      <c r="P240" s="397">
        <v>8.4000000000000005E-2</v>
      </c>
    </row>
    <row r="241" spans="6:16" x14ac:dyDescent="0.25">
      <c r="F241" t="s">
        <v>1014</v>
      </c>
      <c r="H241" t="s">
        <v>261</v>
      </c>
      <c r="J241" s="397">
        <v>4.633</v>
      </c>
      <c r="K241" s="397">
        <v>0.41699999999999998</v>
      </c>
      <c r="L241" s="397">
        <v>6.0000000000000001E-3</v>
      </c>
      <c r="M241" s="398">
        <v>769.83</v>
      </c>
      <c r="N241" s="398">
        <v>6.25</v>
      </c>
      <c r="O241" s="398">
        <v>7.01</v>
      </c>
      <c r="P241" s="397">
        <v>8.4000000000000005E-2</v>
      </c>
    </row>
    <row r="242" spans="6:16" x14ac:dyDescent="0.25">
      <c r="F242" t="s">
        <v>1015</v>
      </c>
      <c r="H242" t="s">
        <v>261</v>
      </c>
      <c r="J242" s="397">
        <v>4.633</v>
      </c>
      <c r="K242" s="397">
        <v>0.41699999999999998</v>
      </c>
      <c r="L242" s="397">
        <v>6.0000000000000001E-3</v>
      </c>
      <c r="M242" s="398">
        <v>1298.1400000000001</v>
      </c>
      <c r="N242" s="398">
        <v>6.25</v>
      </c>
      <c r="O242" s="398">
        <v>7.01</v>
      </c>
      <c r="P242" s="397">
        <v>8.4000000000000005E-2</v>
      </c>
    </row>
    <row r="243" spans="6:16" x14ac:dyDescent="0.25">
      <c r="F243" t="s">
        <v>1016</v>
      </c>
      <c r="H243" t="s">
        <v>261</v>
      </c>
      <c r="J243" s="397">
        <v>4.633</v>
      </c>
      <c r="K243" s="397">
        <v>0.41699999999999998</v>
      </c>
      <c r="L243" s="397">
        <v>6.0000000000000001E-3</v>
      </c>
      <c r="M243" s="398">
        <v>2826.62</v>
      </c>
      <c r="N243" s="398">
        <v>6.25</v>
      </c>
      <c r="O243" s="398">
        <v>7.01</v>
      </c>
      <c r="P243" s="397">
        <v>8.4000000000000005E-2</v>
      </c>
    </row>
    <row r="244" spans="6:16" x14ac:dyDescent="0.25">
      <c r="F244" t="s">
        <v>1017</v>
      </c>
      <c r="H244" t="s">
        <v>261</v>
      </c>
      <c r="J244" s="397">
        <v>3.1880000000000002</v>
      </c>
      <c r="K244" s="397">
        <v>0.253</v>
      </c>
      <c r="L244" s="397">
        <v>4.0000000000000001E-3</v>
      </c>
      <c r="M244" s="398">
        <v>0</v>
      </c>
      <c r="N244" s="398">
        <v>6.96</v>
      </c>
      <c r="O244" s="398">
        <v>8.33</v>
      </c>
      <c r="P244" s="397">
        <v>5.2999999999999999E-2</v>
      </c>
    </row>
    <row r="245" spans="6:16" x14ac:dyDescent="0.25">
      <c r="F245" t="s">
        <v>1018</v>
      </c>
      <c r="H245" t="s">
        <v>261</v>
      </c>
      <c r="J245" s="397">
        <v>3.1880000000000002</v>
      </c>
      <c r="K245" s="397">
        <v>0.253</v>
      </c>
      <c r="L245" s="397">
        <v>4.0000000000000001E-3</v>
      </c>
      <c r="M245" s="398">
        <v>2201.9499999999998</v>
      </c>
      <c r="N245" s="398">
        <v>6.96</v>
      </c>
      <c r="O245" s="398">
        <v>8.33</v>
      </c>
      <c r="P245" s="397">
        <v>5.2999999999999999E-2</v>
      </c>
    </row>
    <row r="246" spans="6:16" x14ac:dyDescent="0.25">
      <c r="F246" t="s">
        <v>1019</v>
      </c>
      <c r="H246" t="s">
        <v>261</v>
      </c>
      <c r="J246" s="397">
        <v>3.1880000000000002</v>
      </c>
      <c r="K246" s="397">
        <v>0.253</v>
      </c>
      <c r="L246" s="397">
        <v>4.0000000000000001E-3</v>
      </c>
      <c r="M246" s="398">
        <v>6676.82</v>
      </c>
      <c r="N246" s="398">
        <v>6.96</v>
      </c>
      <c r="O246" s="398">
        <v>8.33</v>
      </c>
      <c r="P246" s="397">
        <v>5.2999999999999999E-2</v>
      </c>
    </row>
    <row r="247" spans="6:16" x14ac:dyDescent="0.25">
      <c r="F247" t="s">
        <v>1020</v>
      </c>
      <c r="H247" t="s">
        <v>261</v>
      </c>
      <c r="J247" s="397">
        <v>3.1880000000000002</v>
      </c>
      <c r="K247" s="397">
        <v>0.253</v>
      </c>
      <c r="L247" s="397">
        <v>4.0000000000000001E-3</v>
      </c>
      <c r="M247" s="398">
        <v>13610.55</v>
      </c>
      <c r="N247" s="398">
        <v>6.96</v>
      </c>
      <c r="O247" s="398">
        <v>8.33</v>
      </c>
      <c r="P247" s="397">
        <v>5.2999999999999999E-2</v>
      </c>
    </row>
    <row r="248" spans="6:16" x14ac:dyDescent="0.25">
      <c r="F248" t="s">
        <v>1021</v>
      </c>
      <c r="H248" t="s">
        <v>261</v>
      </c>
      <c r="J248" s="397">
        <v>3.1880000000000002</v>
      </c>
      <c r="K248" s="397">
        <v>0.253</v>
      </c>
      <c r="L248" s="397">
        <v>4.0000000000000001E-3</v>
      </c>
      <c r="M248" s="398">
        <v>36099.25</v>
      </c>
      <c r="N248" s="398">
        <v>6.96</v>
      </c>
      <c r="O248" s="398">
        <v>8.33</v>
      </c>
      <c r="P248" s="397">
        <v>5.2999999999999999E-2</v>
      </c>
    </row>
    <row r="249" spans="6:16" x14ac:dyDescent="0.25">
      <c r="F249" t="s">
        <v>932</v>
      </c>
      <c r="H249" t="s">
        <v>261</v>
      </c>
      <c r="J249" s="397">
        <v>27.021000000000001</v>
      </c>
      <c r="K249" s="397">
        <v>2.625</v>
      </c>
      <c r="L249" s="397">
        <v>1.6040000000000001</v>
      </c>
      <c r="M249" s="398">
        <v>0</v>
      </c>
      <c r="N249" s="398">
        <v>0</v>
      </c>
      <c r="O249" s="398">
        <v>0</v>
      </c>
      <c r="P249" s="397">
        <v>0</v>
      </c>
    </row>
    <row r="250" spans="6:16" x14ac:dyDescent="0.25">
      <c r="F250" t="s">
        <v>933</v>
      </c>
      <c r="H250" t="s">
        <v>261</v>
      </c>
      <c r="J250" s="397">
        <v>-7.3659999999999997</v>
      </c>
      <c r="K250" s="397">
        <v>-0.85099999999999998</v>
      </c>
      <c r="L250" s="397">
        <v>-1.4999999999999999E-2</v>
      </c>
      <c r="M250" s="398">
        <v>0</v>
      </c>
      <c r="N250" s="398">
        <v>0</v>
      </c>
      <c r="O250" s="398">
        <v>0</v>
      </c>
      <c r="P250" s="397">
        <v>0</v>
      </c>
    </row>
    <row r="251" spans="6:16" x14ac:dyDescent="0.25">
      <c r="F251" t="s">
        <v>934</v>
      </c>
      <c r="H251" t="s">
        <v>261</v>
      </c>
      <c r="J251" s="397">
        <v>-6.399</v>
      </c>
      <c r="K251" s="397">
        <v>-0.71899999999999997</v>
      </c>
      <c r="L251" s="397">
        <v>-1.2999999999999999E-2</v>
      </c>
      <c r="M251" s="398">
        <v>0</v>
      </c>
      <c r="N251" s="398">
        <v>0</v>
      </c>
      <c r="O251" s="398">
        <v>0</v>
      </c>
      <c r="P251" s="397">
        <v>0</v>
      </c>
    </row>
    <row r="252" spans="6:16" x14ac:dyDescent="0.25">
      <c r="F252" t="s">
        <v>935</v>
      </c>
      <c r="H252" t="s">
        <v>261</v>
      </c>
      <c r="J252" s="397">
        <v>-7.3659999999999997</v>
      </c>
      <c r="K252" s="397">
        <v>-0.85099999999999998</v>
      </c>
      <c r="L252" s="397">
        <v>-1.4999999999999999E-2</v>
      </c>
      <c r="M252" s="398">
        <v>0</v>
      </c>
      <c r="N252" s="398">
        <v>0</v>
      </c>
      <c r="O252" s="398">
        <v>0</v>
      </c>
      <c r="P252" s="397">
        <v>0.155</v>
      </c>
    </row>
    <row r="253" spans="6:16" x14ac:dyDescent="0.25">
      <c r="F253" t="s">
        <v>936</v>
      </c>
      <c r="H253" t="s">
        <v>261</v>
      </c>
      <c r="J253" s="397">
        <v>-7.3659999999999997</v>
      </c>
      <c r="K253" s="397">
        <v>-0.85099999999999998</v>
      </c>
      <c r="L253" s="397">
        <v>-1.4999999999999999E-2</v>
      </c>
      <c r="M253" s="398">
        <v>0</v>
      </c>
      <c r="N253" s="398">
        <v>0</v>
      </c>
      <c r="O253" s="398">
        <v>0</v>
      </c>
      <c r="P253" s="397">
        <v>0</v>
      </c>
    </row>
    <row r="254" spans="6:16" x14ac:dyDescent="0.25">
      <c r="F254" t="s">
        <v>937</v>
      </c>
      <c r="H254" t="s">
        <v>261</v>
      </c>
      <c r="J254" s="397">
        <v>-6.399</v>
      </c>
      <c r="K254" s="397">
        <v>-0.71899999999999997</v>
      </c>
      <c r="L254" s="397">
        <v>-1.2999999999999999E-2</v>
      </c>
      <c r="M254" s="398">
        <v>0</v>
      </c>
      <c r="N254" s="398">
        <v>0</v>
      </c>
      <c r="O254" s="398">
        <v>0</v>
      </c>
      <c r="P254" s="397">
        <v>0.13300000000000001</v>
      </c>
    </row>
    <row r="255" spans="6:16" x14ac:dyDescent="0.25">
      <c r="F255" t="s">
        <v>938</v>
      </c>
      <c r="H255" t="s">
        <v>261</v>
      </c>
      <c r="J255" s="397">
        <v>-6.399</v>
      </c>
      <c r="K255" s="397">
        <v>-0.71899999999999997</v>
      </c>
      <c r="L255" s="397">
        <v>-1.2999999999999999E-2</v>
      </c>
      <c r="M255" s="398">
        <v>0</v>
      </c>
      <c r="N255" s="398">
        <v>0</v>
      </c>
      <c r="O255" s="398">
        <v>0</v>
      </c>
      <c r="P255" s="397">
        <v>0</v>
      </c>
    </row>
    <row r="256" spans="6:16" x14ac:dyDescent="0.25">
      <c r="F256" t="s">
        <v>939</v>
      </c>
      <c r="H256" t="s">
        <v>261</v>
      </c>
      <c r="J256" s="397">
        <v>-3.9140000000000001</v>
      </c>
      <c r="K256" s="397">
        <v>-0.35</v>
      </c>
      <c r="L256" s="397">
        <v>-5.0000000000000001E-3</v>
      </c>
      <c r="M256" s="398">
        <v>0</v>
      </c>
      <c r="N256" s="398">
        <v>0</v>
      </c>
      <c r="O256" s="398">
        <v>0</v>
      </c>
      <c r="P256" s="397">
        <v>0.109</v>
      </c>
    </row>
    <row r="257" spans="4:16" x14ac:dyDescent="0.25">
      <c r="F257" s="17" t="s">
        <v>940</v>
      </c>
      <c r="G257" s="17"/>
      <c r="H257" s="17" t="s">
        <v>261</v>
      </c>
      <c r="I257" s="17"/>
      <c r="J257" s="383">
        <v>-3.9140000000000001</v>
      </c>
      <c r="K257" s="383">
        <v>-0.35</v>
      </c>
      <c r="L257" s="383">
        <v>-5.0000000000000001E-3</v>
      </c>
      <c r="M257" s="293">
        <v>0</v>
      </c>
      <c r="N257" s="293">
        <v>0</v>
      </c>
      <c r="O257" s="293">
        <v>0</v>
      </c>
      <c r="P257" s="383">
        <v>0</v>
      </c>
    </row>
    <row r="258" spans="4:16" x14ac:dyDescent="0.25">
      <c r="F258" s="84"/>
      <c r="J258" s="294"/>
      <c r="K258" s="294"/>
      <c r="L258" s="294"/>
      <c r="M258" s="294"/>
      <c r="N258" s="294"/>
      <c r="O258" s="294"/>
      <c r="P258" s="384"/>
    </row>
    <row r="259" spans="4:16" x14ac:dyDescent="0.25">
      <c r="D259" s="52"/>
      <c r="E259" s="52" t="str">
        <f>"LDNO LV tariff forecast "&amp; 'ARP_User control'!G32</f>
        <v>LDNO LV tariff forecast 2025/26</v>
      </c>
      <c r="F259" s="84"/>
      <c r="J259" s="294"/>
      <c r="K259" s="294"/>
      <c r="L259" s="294"/>
      <c r="M259" s="294"/>
      <c r="N259" s="294"/>
      <c r="O259" s="294"/>
      <c r="P259" s="384"/>
    </row>
    <row r="260" spans="4:16" x14ac:dyDescent="0.25">
      <c r="F260" s="80" t="s">
        <v>1001</v>
      </c>
      <c r="G260" s="80"/>
      <c r="H260" s="80" t="s">
        <v>146</v>
      </c>
      <c r="I260" s="80"/>
      <c r="J260" s="382">
        <v>5.5609999999999999</v>
      </c>
      <c r="K260" s="382">
        <v>0.64200000000000002</v>
      </c>
      <c r="L260" s="382">
        <v>1.0999999999999999E-2</v>
      </c>
      <c r="M260" s="291">
        <v>8.34</v>
      </c>
      <c r="N260" s="291">
        <v>0</v>
      </c>
      <c r="O260" s="291">
        <v>0</v>
      </c>
      <c r="P260" s="382">
        <v>0</v>
      </c>
    </row>
    <row r="261" spans="4:16" x14ac:dyDescent="0.25">
      <c r="F261" t="s">
        <v>926</v>
      </c>
      <c r="H261" t="s">
        <v>146</v>
      </c>
      <c r="J261" s="397">
        <v>5.5609999999999999</v>
      </c>
      <c r="K261" s="397">
        <v>0.64200000000000002</v>
      </c>
      <c r="L261" s="397">
        <v>1.0999999999999999E-2</v>
      </c>
      <c r="M261" s="398">
        <v>0</v>
      </c>
      <c r="N261" s="398">
        <v>0</v>
      </c>
      <c r="O261" s="398">
        <v>0</v>
      </c>
      <c r="P261" s="397">
        <v>0</v>
      </c>
    </row>
    <row r="262" spans="4:16" x14ac:dyDescent="0.25">
      <c r="F262" t="s">
        <v>1002</v>
      </c>
      <c r="H262" t="s">
        <v>146</v>
      </c>
      <c r="J262" s="397">
        <v>6.7119999999999997</v>
      </c>
      <c r="K262" s="397">
        <v>0.77500000000000002</v>
      </c>
      <c r="L262" s="397">
        <v>1.4E-2</v>
      </c>
      <c r="M262" s="398">
        <v>0.7</v>
      </c>
      <c r="N262" s="398">
        <v>0</v>
      </c>
      <c r="O262" s="398">
        <v>0</v>
      </c>
      <c r="P262" s="397">
        <v>0</v>
      </c>
    </row>
    <row r="263" spans="4:16" x14ac:dyDescent="0.25">
      <c r="F263" t="s">
        <v>1003</v>
      </c>
      <c r="H263" t="s">
        <v>146</v>
      </c>
      <c r="J263" s="397">
        <v>6.7119999999999997</v>
      </c>
      <c r="K263" s="397">
        <v>0.77500000000000002</v>
      </c>
      <c r="L263" s="397">
        <v>1.4E-2</v>
      </c>
      <c r="M263" s="398">
        <v>10.35</v>
      </c>
      <c r="N263" s="398">
        <v>0</v>
      </c>
      <c r="O263" s="398">
        <v>0</v>
      </c>
      <c r="P263" s="397">
        <v>0</v>
      </c>
    </row>
    <row r="264" spans="4:16" x14ac:dyDescent="0.25">
      <c r="F264" t="s">
        <v>1004</v>
      </c>
      <c r="H264" t="s">
        <v>146</v>
      </c>
      <c r="J264" s="397">
        <v>6.7119999999999997</v>
      </c>
      <c r="K264" s="397">
        <v>0.77500000000000002</v>
      </c>
      <c r="L264" s="397">
        <v>1.4E-2</v>
      </c>
      <c r="M264" s="398">
        <v>22.88</v>
      </c>
      <c r="N264" s="398">
        <v>0</v>
      </c>
      <c r="O264" s="398">
        <v>0</v>
      </c>
      <c r="P264" s="397">
        <v>0</v>
      </c>
    </row>
    <row r="265" spans="4:16" x14ac:dyDescent="0.25">
      <c r="F265" t="s">
        <v>1005</v>
      </c>
      <c r="H265" t="s">
        <v>146</v>
      </c>
      <c r="J265" s="397">
        <v>6.7119999999999997</v>
      </c>
      <c r="K265" s="397">
        <v>0.77500000000000002</v>
      </c>
      <c r="L265" s="397">
        <v>1.4E-2</v>
      </c>
      <c r="M265" s="398">
        <v>48.61</v>
      </c>
      <c r="N265" s="398">
        <v>0</v>
      </c>
      <c r="O265" s="398">
        <v>0</v>
      </c>
      <c r="P265" s="397">
        <v>0</v>
      </c>
    </row>
    <row r="266" spans="4:16" x14ac:dyDescent="0.25">
      <c r="F266" t="s">
        <v>1006</v>
      </c>
      <c r="H266" t="s">
        <v>146</v>
      </c>
      <c r="J266" s="397">
        <v>6.7119999999999997</v>
      </c>
      <c r="K266" s="397">
        <v>0.77500000000000002</v>
      </c>
      <c r="L266" s="397">
        <v>1.4E-2</v>
      </c>
      <c r="M266" s="398">
        <v>141.54</v>
      </c>
      <c r="N266" s="398">
        <v>0</v>
      </c>
      <c r="O266" s="398">
        <v>0</v>
      </c>
      <c r="P266" s="397">
        <v>0</v>
      </c>
    </row>
    <row r="267" spans="4:16" x14ac:dyDescent="0.25">
      <c r="F267" t="s">
        <v>928</v>
      </c>
      <c r="H267" t="s">
        <v>146</v>
      </c>
      <c r="J267" s="397">
        <v>6.7119999999999997</v>
      </c>
      <c r="K267" s="397">
        <v>0.77500000000000002</v>
      </c>
      <c r="L267" s="397">
        <v>1.4E-2</v>
      </c>
      <c r="M267" s="398">
        <v>0</v>
      </c>
      <c r="N267" s="398">
        <v>0</v>
      </c>
      <c r="O267" s="398">
        <v>0</v>
      </c>
      <c r="P267" s="397">
        <v>0</v>
      </c>
    </row>
    <row r="268" spans="4:16" x14ac:dyDescent="0.25">
      <c r="F268" t="s">
        <v>1007</v>
      </c>
      <c r="H268" t="s">
        <v>146</v>
      </c>
      <c r="J268" s="397">
        <v>4.8339999999999996</v>
      </c>
      <c r="K268" s="397">
        <v>0.52800000000000002</v>
      </c>
      <c r="L268" s="397">
        <v>8.9999999999999993E-3</v>
      </c>
      <c r="M268" s="398">
        <v>0</v>
      </c>
      <c r="N268" s="398">
        <v>2.09</v>
      </c>
      <c r="O268" s="398">
        <v>2.88</v>
      </c>
      <c r="P268" s="397">
        <v>0.1</v>
      </c>
    </row>
    <row r="269" spans="4:16" x14ac:dyDescent="0.25">
      <c r="F269" t="s">
        <v>1008</v>
      </c>
      <c r="H269" t="s">
        <v>146</v>
      </c>
      <c r="J269" s="397">
        <v>4.8339999999999996</v>
      </c>
      <c r="K269" s="397">
        <v>0.52800000000000002</v>
      </c>
      <c r="L269" s="397">
        <v>8.9999999999999993E-3</v>
      </c>
      <c r="M269" s="398">
        <v>261.57</v>
      </c>
      <c r="N269" s="398">
        <v>2.09</v>
      </c>
      <c r="O269" s="398">
        <v>2.88</v>
      </c>
      <c r="P269" s="397">
        <v>0.1</v>
      </c>
    </row>
    <row r="270" spans="4:16" x14ac:dyDescent="0.25">
      <c r="F270" t="s">
        <v>1009</v>
      </c>
      <c r="H270" t="s">
        <v>146</v>
      </c>
      <c r="J270" s="397">
        <v>4.8339999999999996</v>
      </c>
      <c r="K270" s="397">
        <v>0.52800000000000002</v>
      </c>
      <c r="L270" s="397">
        <v>8.9999999999999993E-3</v>
      </c>
      <c r="M270" s="398">
        <v>457.09</v>
      </c>
      <c r="N270" s="398">
        <v>2.09</v>
      </c>
      <c r="O270" s="398">
        <v>2.88</v>
      </c>
      <c r="P270" s="397">
        <v>0.1</v>
      </c>
    </row>
    <row r="271" spans="4:16" x14ac:dyDescent="0.25">
      <c r="F271" t="s">
        <v>1010</v>
      </c>
      <c r="H271" t="s">
        <v>146</v>
      </c>
      <c r="J271" s="397">
        <v>4.8339999999999996</v>
      </c>
      <c r="K271" s="397">
        <v>0.52800000000000002</v>
      </c>
      <c r="L271" s="397">
        <v>8.9999999999999993E-3</v>
      </c>
      <c r="M271" s="398">
        <v>770.78</v>
      </c>
      <c r="N271" s="398">
        <v>2.09</v>
      </c>
      <c r="O271" s="398">
        <v>2.88</v>
      </c>
      <c r="P271" s="397">
        <v>0.1</v>
      </c>
    </row>
    <row r="272" spans="4:16" x14ac:dyDescent="0.25">
      <c r="F272" t="s">
        <v>1011</v>
      </c>
      <c r="H272" t="s">
        <v>146</v>
      </c>
      <c r="J272" s="397">
        <v>4.8339999999999996</v>
      </c>
      <c r="K272" s="397">
        <v>0.52800000000000002</v>
      </c>
      <c r="L272" s="397">
        <v>8.9999999999999993E-3</v>
      </c>
      <c r="M272" s="398">
        <v>1678.32</v>
      </c>
      <c r="N272" s="398">
        <v>2.09</v>
      </c>
      <c r="O272" s="398">
        <v>2.88</v>
      </c>
      <c r="P272" s="397">
        <v>0.1</v>
      </c>
    </row>
    <row r="273" spans="6:16" x14ac:dyDescent="0.25">
      <c r="F273" t="s">
        <v>1012</v>
      </c>
      <c r="H273" t="s">
        <v>146</v>
      </c>
      <c r="J273" s="399">
        <v>0</v>
      </c>
      <c r="K273" s="399">
        <v>0</v>
      </c>
      <c r="L273" s="399">
        <v>0</v>
      </c>
      <c r="M273" s="400">
        <v>0</v>
      </c>
      <c r="N273" s="400">
        <v>0</v>
      </c>
      <c r="O273" s="400">
        <v>0</v>
      </c>
      <c r="P273" s="399">
        <v>0</v>
      </c>
    </row>
    <row r="274" spans="6:16" x14ac:dyDescent="0.25">
      <c r="F274" t="s">
        <v>1013</v>
      </c>
      <c r="H274" t="s">
        <v>146</v>
      </c>
      <c r="J274" s="399">
        <v>0</v>
      </c>
      <c r="K274" s="399">
        <v>0</v>
      </c>
      <c r="L274" s="399">
        <v>0</v>
      </c>
      <c r="M274" s="400">
        <v>0</v>
      </c>
      <c r="N274" s="400">
        <v>0</v>
      </c>
      <c r="O274" s="400">
        <v>0</v>
      </c>
      <c r="P274" s="399">
        <v>0</v>
      </c>
    </row>
    <row r="275" spans="6:16" x14ac:dyDescent="0.25">
      <c r="F275" t="s">
        <v>1014</v>
      </c>
      <c r="H275" t="s">
        <v>146</v>
      </c>
      <c r="J275" s="399">
        <v>0</v>
      </c>
      <c r="K275" s="399">
        <v>0</v>
      </c>
      <c r="L275" s="399">
        <v>0</v>
      </c>
      <c r="M275" s="400">
        <v>0</v>
      </c>
      <c r="N275" s="400">
        <v>0</v>
      </c>
      <c r="O275" s="400">
        <v>0</v>
      </c>
      <c r="P275" s="399">
        <v>0</v>
      </c>
    </row>
    <row r="276" spans="6:16" x14ac:dyDescent="0.25">
      <c r="F276" t="s">
        <v>1015</v>
      </c>
      <c r="H276" t="s">
        <v>146</v>
      </c>
      <c r="J276" s="399">
        <v>0</v>
      </c>
      <c r="K276" s="399">
        <v>0</v>
      </c>
      <c r="L276" s="399">
        <v>0</v>
      </c>
      <c r="M276" s="400">
        <v>0</v>
      </c>
      <c r="N276" s="400">
        <v>0</v>
      </c>
      <c r="O276" s="400">
        <v>0</v>
      </c>
      <c r="P276" s="399">
        <v>0</v>
      </c>
    </row>
    <row r="277" spans="6:16" x14ac:dyDescent="0.25">
      <c r="F277" t="s">
        <v>1016</v>
      </c>
      <c r="H277" t="s">
        <v>146</v>
      </c>
      <c r="J277" s="399">
        <v>0</v>
      </c>
      <c r="K277" s="399">
        <v>0</v>
      </c>
      <c r="L277" s="399">
        <v>0</v>
      </c>
      <c r="M277" s="400">
        <v>0</v>
      </c>
      <c r="N277" s="400">
        <v>0</v>
      </c>
      <c r="O277" s="400">
        <v>0</v>
      </c>
      <c r="P277" s="399">
        <v>0</v>
      </c>
    </row>
    <row r="278" spans="6:16" x14ac:dyDescent="0.25">
      <c r="F278" t="s">
        <v>1017</v>
      </c>
      <c r="H278" t="s">
        <v>146</v>
      </c>
      <c r="J278" s="399">
        <v>0</v>
      </c>
      <c r="K278" s="399">
        <v>0</v>
      </c>
      <c r="L278" s="399">
        <v>0</v>
      </c>
      <c r="M278" s="400">
        <v>0</v>
      </c>
      <c r="N278" s="400">
        <v>0</v>
      </c>
      <c r="O278" s="400">
        <v>0</v>
      </c>
      <c r="P278" s="399">
        <v>0</v>
      </c>
    </row>
    <row r="279" spans="6:16" x14ac:dyDescent="0.25">
      <c r="F279" t="s">
        <v>1018</v>
      </c>
      <c r="H279" t="s">
        <v>146</v>
      </c>
      <c r="J279" s="399">
        <v>0</v>
      </c>
      <c r="K279" s="399">
        <v>0</v>
      </c>
      <c r="L279" s="399">
        <v>0</v>
      </c>
      <c r="M279" s="400">
        <v>0</v>
      </c>
      <c r="N279" s="400">
        <v>0</v>
      </c>
      <c r="O279" s="400">
        <v>0</v>
      </c>
      <c r="P279" s="399">
        <v>0</v>
      </c>
    </row>
    <row r="280" spans="6:16" x14ac:dyDescent="0.25">
      <c r="F280" t="s">
        <v>1019</v>
      </c>
      <c r="H280" t="s">
        <v>146</v>
      </c>
      <c r="J280" s="399">
        <v>0</v>
      </c>
      <c r="K280" s="399">
        <v>0</v>
      </c>
      <c r="L280" s="399">
        <v>0</v>
      </c>
      <c r="M280" s="400">
        <v>0</v>
      </c>
      <c r="N280" s="400">
        <v>0</v>
      </c>
      <c r="O280" s="400">
        <v>0</v>
      </c>
      <c r="P280" s="399">
        <v>0</v>
      </c>
    </row>
    <row r="281" spans="6:16" x14ac:dyDescent="0.25">
      <c r="F281" t="s">
        <v>1020</v>
      </c>
      <c r="H281" t="s">
        <v>146</v>
      </c>
      <c r="J281" s="399">
        <v>0</v>
      </c>
      <c r="K281" s="399">
        <v>0</v>
      </c>
      <c r="L281" s="399">
        <v>0</v>
      </c>
      <c r="M281" s="400">
        <v>0</v>
      </c>
      <c r="N281" s="400">
        <v>0</v>
      </c>
      <c r="O281" s="400">
        <v>0</v>
      </c>
      <c r="P281" s="399">
        <v>0</v>
      </c>
    </row>
    <row r="282" spans="6:16" x14ac:dyDescent="0.25">
      <c r="F282" t="s">
        <v>1021</v>
      </c>
      <c r="H282" t="s">
        <v>146</v>
      </c>
      <c r="J282" s="399">
        <v>0</v>
      </c>
      <c r="K282" s="399">
        <v>0</v>
      </c>
      <c r="L282" s="399">
        <v>0</v>
      </c>
      <c r="M282" s="400">
        <v>0</v>
      </c>
      <c r="N282" s="400">
        <v>0</v>
      </c>
      <c r="O282" s="400">
        <v>0</v>
      </c>
      <c r="P282" s="399">
        <v>0</v>
      </c>
    </row>
    <row r="283" spans="6:16" x14ac:dyDescent="0.25">
      <c r="F283" t="s">
        <v>932</v>
      </c>
      <c r="H283" t="s">
        <v>146</v>
      </c>
      <c r="J283" s="397">
        <v>16.044</v>
      </c>
      <c r="K283" s="397">
        <v>1.5589999999999999</v>
      </c>
      <c r="L283" s="397">
        <v>0.95199999999999996</v>
      </c>
      <c r="M283" s="398">
        <v>0</v>
      </c>
      <c r="N283" s="398">
        <v>0</v>
      </c>
      <c r="O283" s="398">
        <v>0</v>
      </c>
      <c r="P283" s="397">
        <v>0</v>
      </c>
    </row>
    <row r="284" spans="6:16" x14ac:dyDescent="0.25">
      <c r="F284" t="s">
        <v>933</v>
      </c>
      <c r="H284" t="s">
        <v>146</v>
      </c>
      <c r="J284" s="397">
        <v>-7.3659999999999997</v>
      </c>
      <c r="K284" s="397">
        <v>-0.85099999999999998</v>
      </c>
      <c r="L284" s="397">
        <v>-1.4999999999999999E-2</v>
      </c>
      <c r="M284" s="398">
        <v>0</v>
      </c>
      <c r="N284" s="398">
        <v>0</v>
      </c>
      <c r="O284" s="398">
        <v>0</v>
      </c>
      <c r="P284" s="397">
        <v>0</v>
      </c>
    </row>
    <row r="285" spans="6:16" x14ac:dyDescent="0.25">
      <c r="F285" t="s">
        <v>934</v>
      </c>
      <c r="H285" t="s">
        <v>146</v>
      </c>
      <c r="J285" s="399">
        <v>0</v>
      </c>
      <c r="K285" s="399">
        <v>0</v>
      </c>
      <c r="L285" s="399">
        <v>0</v>
      </c>
      <c r="M285" s="400">
        <v>0</v>
      </c>
      <c r="N285" s="400">
        <v>0</v>
      </c>
      <c r="O285" s="400">
        <v>0</v>
      </c>
      <c r="P285" s="399">
        <v>0</v>
      </c>
    </row>
    <row r="286" spans="6:16" x14ac:dyDescent="0.25">
      <c r="F286" t="s">
        <v>935</v>
      </c>
      <c r="H286" t="s">
        <v>146</v>
      </c>
      <c r="J286" s="397">
        <v>-7.3659999999999997</v>
      </c>
      <c r="K286" s="397">
        <v>-0.85099999999999998</v>
      </c>
      <c r="L286" s="397">
        <v>-1.4999999999999999E-2</v>
      </c>
      <c r="M286" s="398">
        <v>0</v>
      </c>
      <c r="N286" s="398">
        <v>0</v>
      </c>
      <c r="O286" s="398">
        <v>0</v>
      </c>
      <c r="P286" s="397">
        <v>0.155</v>
      </c>
    </row>
    <row r="287" spans="6:16" x14ac:dyDescent="0.25">
      <c r="F287" t="s">
        <v>936</v>
      </c>
      <c r="H287" t="s">
        <v>146</v>
      </c>
      <c r="J287" s="399">
        <v>0</v>
      </c>
      <c r="K287" s="399">
        <v>0</v>
      </c>
      <c r="L287" s="399">
        <v>0</v>
      </c>
      <c r="M287" s="400">
        <v>0</v>
      </c>
      <c r="N287" s="400">
        <v>0</v>
      </c>
      <c r="O287" s="400">
        <v>0</v>
      </c>
      <c r="P287" s="399">
        <v>0</v>
      </c>
    </row>
    <row r="288" spans="6:16" x14ac:dyDescent="0.25">
      <c r="F288" t="s">
        <v>937</v>
      </c>
      <c r="H288" t="s">
        <v>146</v>
      </c>
      <c r="J288" s="399">
        <v>0</v>
      </c>
      <c r="K288" s="399">
        <v>0</v>
      </c>
      <c r="L288" s="399">
        <v>0</v>
      </c>
      <c r="M288" s="400">
        <v>0</v>
      </c>
      <c r="N288" s="400">
        <v>0</v>
      </c>
      <c r="O288" s="400">
        <v>0</v>
      </c>
      <c r="P288" s="399">
        <v>0</v>
      </c>
    </row>
    <row r="289" spans="4:16" x14ac:dyDescent="0.25">
      <c r="F289" t="s">
        <v>938</v>
      </c>
      <c r="H289" t="s">
        <v>146</v>
      </c>
      <c r="J289" s="399">
        <v>0</v>
      </c>
      <c r="K289" s="399">
        <v>0</v>
      </c>
      <c r="L289" s="399">
        <v>0</v>
      </c>
      <c r="M289" s="400">
        <v>0</v>
      </c>
      <c r="N289" s="400">
        <v>0</v>
      </c>
      <c r="O289" s="400">
        <v>0</v>
      </c>
      <c r="P289" s="399">
        <v>0</v>
      </c>
    </row>
    <row r="290" spans="4:16" x14ac:dyDescent="0.25">
      <c r="F290" t="s">
        <v>939</v>
      </c>
      <c r="H290" t="s">
        <v>146</v>
      </c>
      <c r="J290" s="399">
        <v>0</v>
      </c>
      <c r="K290" s="399">
        <v>0</v>
      </c>
      <c r="L290" s="399">
        <v>0</v>
      </c>
      <c r="M290" s="400">
        <v>0</v>
      </c>
      <c r="N290" s="400">
        <v>0</v>
      </c>
      <c r="O290" s="400">
        <v>0</v>
      </c>
      <c r="P290" s="399">
        <v>0</v>
      </c>
    </row>
    <row r="291" spans="4:16" x14ac:dyDescent="0.25">
      <c r="F291" s="17" t="s">
        <v>940</v>
      </c>
      <c r="G291" s="17"/>
      <c r="H291" s="17" t="s">
        <v>146</v>
      </c>
      <c r="I291" s="17"/>
      <c r="J291" s="385">
        <v>0</v>
      </c>
      <c r="K291" s="385">
        <v>0</v>
      </c>
      <c r="L291" s="385">
        <v>0</v>
      </c>
      <c r="M291" s="295">
        <v>0</v>
      </c>
      <c r="N291" s="295">
        <v>0</v>
      </c>
      <c r="O291" s="295">
        <v>0</v>
      </c>
      <c r="P291" s="385">
        <v>0</v>
      </c>
    </row>
    <row r="292" spans="4:16" x14ac:dyDescent="0.25">
      <c r="D292"/>
      <c r="E292"/>
      <c r="J292" s="384"/>
      <c r="K292" s="384"/>
      <c r="L292" s="384"/>
      <c r="M292" s="294"/>
      <c r="N292" s="294"/>
      <c r="O292" s="294"/>
      <c r="P292" s="384"/>
    </row>
    <row r="293" spans="4:16" x14ac:dyDescent="0.25">
      <c r="D293" s="52"/>
      <c r="E293" s="52" t="str">
        <f>"LDNO HV tariff forecast "&amp; 'ARP_User control'!G32</f>
        <v>LDNO HV tariff forecast 2025/26</v>
      </c>
      <c r="J293" s="384"/>
      <c r="K293" s="384"/>
      <c r="L293" s="384"/>
      <c r="M293" s="294"/>
      <c r="N293" s="294"/>
      <c r="O293" s="294"/>
      <c r="P293" s="384"/>
    </row>
    <row r="294" spans="4:16" x14ac:dyDescent="0.25">
      <c r="F294" s="80" t="s">
        <v>1001</v>
      </c>
      <c r="G294" s="80"/>
      <c r="H294" s="80" t="s">
        <v>147</v>
      </c>
      <c r="I294" s="80"/>
      <c r="J294" s="382">
        <v>3.681</v>
      </c>
      <c r="K294" s="382">
        <v>0.42499999999999999</v>
      </c>
      <c r="L294" s="382">
        <v>8.0000000000000002E-3</v>
      </c>
      <c r="M294" s="291">
        <v>5.52</v>
      </c>
      <c r="N294" s="291">
        <v>0</v>
      </c>
      <c r="O294" s="291">
        <v>0</v>
      </c>
      <c r="P294" s="382">
        <v>0</v>
      </c>
    </row>
    <row r="295" spans="4:16" x14ac:dyDescent="0.25">
      <c r="F295" t="s">
        <v>926</v>
      </c>
      <c r="H295" t="s">
        <v>147</v>
      </c>
      <c r="J295" s="397">
        <v>3.681</v>
      </c>
      <c r="K295" s="397">
        <v>0.42499999999999999</v>
      </c>
      <c r="L295" s="397">
        <v>8.0000000000000002E-3</v>
      </c>
      <c r="M295" s="398">
        <v>0</v>
      </c>
      <c r="N295" s="398">
        <v>0</v>
      </c>
      <c r="O295" s="398">
        <v>0</v>
      </c>
      <c r="P295" s="397">
        <v>0</v>
      </c>
    </row>
    <row r="296" spans="4:16" x14ac:dyDescent="0.25">
      <c r="F296" t="s">
        <v>1002</v>
      </c>
      <c r="H296" t="s">
        <v>147</v>
      </c>
      <c r="J296" s="397">
        <v>4.4420000000000002</v>
      </c>
      <c r="K296" s="397">
        <v>0.51300000000000001</v>
      </c>
      <c r="L296" s="397">
        <v>8.9999999999999993E-3</v>
      </c>
      <c r="M296" s="398">
        <v>0.46</v>
      </c>
      <c r="N296" s="398">
        <v>0</v>
      </c>
      <c r="O296" s="398">
        <v>0</v>
      </c>
      <c r="P296" s="397">
        <v>0</v>
      </c>
    </row>
    <row r="297" spans="4:16" x14ac:dyDescent="0.25">
      <c r="F297" t="s">
        <v>1003</v>
      </c>
      <c r="H297" t="s">
        <v>147</v>
      </c>
      <c r="J297" s="397">
        <v>4.4420000000000002</v>
      </c>
      <c r="K297" s="397">
        <v>0.51300000000000001</v>
      </c>
      <c r="L297" s="397">
        <v>8.9999999999999993E-3</v>
      </c>
      <c r="M297" s="398">
        <v>6.85</v>
      </c>
      <c r="N297" s="398">
        <v>0</v>
      </c>
      <c r="O297" s="398">
        <v>0</v>
      </c>
      <c r="P297" s="397">
        <v>0</v>
      </c>
    </row>
    <row r="298" spans="4:16" x14ac:dyDescent="0.25">
      <c r="F298" t="s">
        <v>1004</v>
      </c>
      <c r="H298" t="s">
        <v>147</v>
      </c>
      <c r="J298" s="397">
        <v>4.4420000000000002</v>
      </c>
      <c r="K298" s="397">
        <v>0.51300000000000001</v>
      </c>
      <c r="L298" s="397">
        <v>8.9999999999999993E-3</v>
      </c>
      <c r="M298" s="398">
        <v>15.14</v>
      </c>
      <c r="N298" s="398">
        <v>0</v>
      </c>
      <c r="O298" s="398">
        <v>0</v>
      </c>
      <c r="P298" s="397">
        <v>0</v>
      </c>
    </row>
    <row r="299" spans="4:16" x14ac:dyDescent="0.25">
      <c r="F299" t="s">
        <v>1005</v>
      </c>
      <c r="H299" t="s">
        <v>147</v>
      </c>
      <c r="J299" s="397">
        <v>4.4420000000000002</v>
      </c>
      <c r="K299" s="397">
        <v>0.51300000000000001</v>
      </c>
      <c r="L299" s="397">
        <v>8.9999999999999993E-3</v>
      </c>
      <c r="M299" s="398">
        <v>32.17</v>
      </c>
      <c r="N299" s="398">
        <v>0</v>
      </c>
      <c r="O299" s="398">
        <v>0</v>
      </c>
      <c r="P299" s="397">
        <v>0</v>
      </c>
    </row>
    <row r="300" spans="4:16" x14ac:dyDescent="0.25">
      <c r="F300" t="s">
        <v>1006</v>
      </c>
      <c r="H300" t="s">
        <v>147</v>
      </c>
      <c r="J300" s="397">
        <v>4.4420000000000002</v>
      </c>
      <c r="K300" s="397">
        <v>0.51300000000000001</v>
      </c>
      <c r="L300" s="397">
        <v>8.9999999999999993E-3</v>
      </c>
      <c r="M300" s="398">
        <v>93.68</v>
      </c>
      <c r="N300" s="398">
        <v>0</v>
      </c>
      <c r="O300" s="398">
        <v>0</v>
      </c>
      <c r="P300" s="397">
        <v>0</v>
      </c>
    </row>
    <row r="301" spans="4:16" x14ac:dyDescent="0.25">
      <c r="F301" t="s">
        <v>928</v>
      </c>
      <c r="H301" t="s">
        <v>147</v>
      </c>
      <c r="J301" s="397">
        <v>4.4420000000000002</v>
      </c>
      <c r="K301" s="397">
        <v>0.51300000000000001</v>
      </c>
      <c r="L301" s="397">
        <v>8.9999999999999993E-3</v>
      </c>
      <c r="M301" s="398">
        <v>0</v>
      </c>
      <c r="N301" s="398">
        <v>0</v>
      </c>
      <c r="O301" s="398">
        <v>0</v>
      </c>
      <c r="P301" s="397">
        <v>0</v>
      </c>
    </row>
    <row r="302" spans="4:16" x14ac:dyDescent="0.25">
      <c r="F302" t="s">
        <v>1007</v>
      </c>
      <c r="H302" t="s">
        <v>147</v>
      </c>
      <c r="J302" s="397">
        <v>3.1989999999999998</v>
      </c>
      <c r="K302" s="397">
        <v>0.35</v>
      </c>
      <c r="L302" s="397">
        <v>6.0000000000000001E-3</v>
      </c>
      <c r="M302" s="398">
        <v>0</v>
      </c>
      <c r="N302" s="398">
        <v>1.38</v>
      </c>
      <c r="O302" s="398">
        <v>1.9</v>
      </c>
      <c r="P302" s="397">
        <v>6.6000000000000003E-2</v>
      </c>
    </row>
    <row r="303" spans="4:16" x14ac:dyDescent="0.25">
      <c r="F303" t="s">
        <v>1008</v>
      </c>
      <c r="H303" t="s">
        <v>147</v>
      </c>
      <c r="J303" s="397">
        <v>3.1989999999999998</v>
      </c>
      <c r="K303" s="397">
        <v>0.35</v>
      </c>
      <c r="L303" s="397">
        <v>6.0000000000000001E-3</v>
      </c>
      <c r="M303" s="398">
        <v>173.13</v>
      </c>
      <c r="N303" s="398">
        <v>1.38</v>
      </c>
      <c r="O303" s="398">
        <v>1.9</v>
      </c>
      <c r="P303" s="397">
        <v>6.6000000000000003E-2</v>
      </c>
    </row>
    <row r="304" spans="4:16" x14ac:dyDescent="0.25">
      <c r="F304" t="s">
        <v>1009</v>
      </c>
      <c r="H304" t="s">
        <v>147</v>
      </c>
      <c r="J304" s="397">
        <v>3.1989999999999998</v>
      </c>
      <c r="K304" s="397">
        <v>0.35</v>
      </c>
      <c r="L304" s="397">
        <v>6.0000000000000001E-3</v>
      </c>
      <c r="M304" s="398">
        <v>302.55</v>
      </c>
      <c r="N304" s="398">
        <v>1.38</v>
      </c>
      <c r="O304" s="398">
        <v>1.9</v>
      </c>
      <c r="P304" s="397">
        <v>6.6000000000000003E-2</v>
      </c>
    </row>
    <row r="305" spans="6:16" x14ac:dyDescent="0.25">
      <c r="F305" t="s">
        <v>1010</v>
      </c>
      <c r="H305" t="s">
        <v>147</v>
      </c>
      <c r="J305" s="397">
        <v>3.1989999999999998</v>
      </c>
      <c r="K305" s="397">
        <v>0.35</v>
      </c>
      <c r="L305" s="397">
        <v>6.0000000000000001E-3</v>
      </c>
      <c r="M305" s="398">
        <v>510.17</v>
      </c>
      <c r="N305" s="398">
        <v>1.38</v>
      </c>
      <c r="O305" s="398">
        <v>1.9</v>
      </c>
      <c r="P305" s="397">
        <v>6.6000000000000003E-2</v>
      </c>
    </row>
    <row r="306" spans="6:16" x14ac:dyDescent="0.25">
      <c r="F306" t="s">
        <v>1011</v>
      </c>
      <c r="H306" t="s">
        <v>147</v>
      </c>
      <c r="J306" s="397">
        <v>3.1989999999999998</v>
      </c>
      <c r="K306" s="397">
        <v>0.35</v>
      </c>
      <c r="L306" s="397">
        <v>6.0000000000000001E-3</v>
      </c>
      <c r="M306" s="398">
        <v>1110.8699999999999</v>
      </c>
      <c r="N306" s="398">
        <v>1.38</v>
      </c>
      <c r="O306" s="398">
        <v>1.9</v>
      </c>
      <c r="P306" s="397">
        <v>6.6000000000000003E-2</v>
      </c>
    </row>
    <row r="307" spans="6:16" x14ac:dyDescent="0.25">
      <c r="F307" t="s">
        <v>1012</v>
      </c>
      <c r="H307" t="s">
        <v>147</v>
      </c>
      <c r="J307" s="397">
        <v>3.0720000000000001</v>
      </c>
      <c r="K307" s="397">
        <v>0.27700000000000002</v>
      </c>
      <c r="L307" s="397">
        <v>4.0000000000000001E-3</v>
      </c>
      <c r="M307" s="398">
        <v>0</v>
      </c>
      <c r="N307" s="398">
        <v>4.1500000000000004</v>
      </c>
      <c r="O307" s="398">
        <v>4.6500000000000004</v>
      </c>
      <c r="P307" s="397">
        <v>5.5E-2</v>
      </c>
    </row>
    <row r="308" spans="6:16" x14ac:dyDescent="0.25">
      <c r="F308" t="s">
        <v>1013</v>
      </c>
      <c r="H308" t="s">
        <v>147</v>
      </c>
      <c r="J308" s="397">
        <v>3.0720000000000001</v>
      </c>
      <c r="K308" s="397">
        <v>0.27700000000000002</v>
      </c>
      <c r="L308" s="397">
        <v>4.0000000000000001E-3</v>
      </c>
      <c r="M308" s="398">
        <v>292.06</v>
      </c>
      <c r="N308" s="398">
        <v>4.1500000000000004</v>
      </c>
      <c r="O308" s="398">
        <v>4.6500000000000004</v>
      </c>
      <c r="P308" s="397">
        <v>5.5E-2</v>
      </c>
    </row>
    <row r="309" spans="6:16" x14ac:dyDescent="0.25">
      <c r="F309" t="s">
        <v>1014</v>
      </c>
      <c r="H309" t="s">
        <v>147</v>
      </c>
      <c r="J309" s="397">
        <v>3.0720000000000001</v>
      </c>
      <c r="K309" s="397">
        <v>0.27700000000000002</v>
      </c>
      <c r="L309" s="397">
        <v>4.0000000000000001E-3</v>
      </c>
      <c r="M309" s="398">
        <v>510.37</v>
      </c>
      <c r="N309" s="398">
        <v>4.1500000000000004</v>
      </c>
      <c r="O309" s="398">
        <v>4.6500000000000004</v>
      </c>
      <c r="P309" s="397">
        <v>5.5E-2</v>
      </c>
    </row>
    <row r="310" spans="6:16" x14ac:dyDescent="0.25">
      <c r="F310" t="s">
        <v>1015</v>
      </c>
      <c r="H310" t="s">
        <v>147</v>
      </c>
      <c r="J310" s="397">
        <v>3.0720000000000001</v>
      </c>
      <c r="K310" s="397">
        <v>0.27700000000000002</v>
      </c>
      <c r="L310" s="397">
        <v>4.0000000000000001E-3</v>
      </c>
      <c r="M310" s="398">
        <v>860.62</v>
      </c>
      <c r="N310" s="398">
        <v>4.1500000000000004</v>
      </c>
      <c r="O310" s="398">
        <v>4.6500000000000004</v>
      </c>
      <c r="P310" s="397">
        <v>5.5E-2</v>
      </c>
    </row>
    <row r="311" spans="6:16" x14ac:dyDescent="0.25">
      <c r="F311" t="s">
        <v>1016</v>
      </c>
      <c r="H311" t="s">
        <v>147</v>
      </c>
      <c r="J311" s="397">
        <v>3.0720000000000001</v>
      </c>
      <c r="K311" s="397">
        <v>0.27700000000000002</v>
      </c>
      <c r="L311" s="397">
        <v>4.0000000000000001E-3</v>
      </c>
      <c r="M311" s="398">
        <v>1873.93</v>
      </c>
      <c r="N311" s="398">
        <v>4.1500000000000004</v>
      </c>
      <c r="O311" s="398">
        <v>4.6500000000000004</v>
      </c>
      <c r="P311" s="397">
        <v>5.5E-2</v>
      </c>
    </row>
    <row r="312" spans="6:16" x14ac:dyDescent="0.25">
      <c r="F312" t="s">
        <v>1017</v>
      </c>
      <c r="H312" t="s">
        <v>147</v>
      </c>
      <c r="J312" s="397">
        <v>2.4249999999999998</v>
      </c>
      <c r="K312" s="397">
        <v>0.193</v>
      </c>
      <c r="L312" s="397">
        <v>3.0000000000000001E-3</v>
      </c>
      <c r="M312" s="398">
        <v>0</v>
      </c>
      <c r="N312" s="398">
        <v>5.29</v>
      </c>
      <c r="O312" s="398">
        <v>6.34</v>
      </c>
      <c r="P312" s="397">
        <v>0.04</v>
      </c>
    </row>
    <row r="313" spans="6:16" x14ac:dyDescent="0.25">
      <c r="F313" t="s">
        <v>1018</v>
      </c>
      <c r="H313" t="s">
        <v>147</v>
      </c>
      <c r="J313" s="397">
        <v>2.4249999999999998</v>
      </c>
      <c r="K313" s="397">
        <v>0.193</v>
      </c>
      <c r="L313" s="397">
        <v>3.0000000000000001E-3</v>
      </c>
      <c r="M313" s="398">
        <v>1674.89</v>
      </c>
      <c r="N313" s="398">
        <v>5.29</v>
      </c>
      <c r="O313" s="398">
        <v>6.34</v>
      </c>
      <c r="P313" s="397">
        <v>0.04</v>
      </c>
    </row>
    <row r="314" spans="6:16" x14ac:dyDescent="0.25">
      <c r="F314" t="s">
        <v>1019</v>
      </c>
      <c r="H314" t="s">
        <v>147</v>
      </c>
      <c r="J314" s="397">
        <v>2.4249999999999998</v>
      </c>
      <c r="K314" s="397">
        <v>0.193</v>
      </c>
      <c r="L314" s="397">
        <v>3.0000000000000001E-3</v>
      </c>
      <c r="M314" s="398">
        <v>5078.6400000000003</v>
      </c>
      <c r="N314" s="398">
        <v>5.29</v>
      </c>
      <c r="O314" s="398">
        <v>6.34</v>
      </c>
      <c r="P314" s="397">
        <v>0.04</v>
      </c>
    </row>
    <row r="315" spans="6:16" x14ac:dyDescent="0.25">
      <c r="F315" t="s">
        <v>1020</v>
      </c>
      <c r="H315" t="s">
        <v>147</v>
      </c>
      <c r="J315" s="397">
        <v>2.4249999999999998</v>
      </c>
      <c r="K315" s="397">
        <v>0.193</v>
      </c>
      <c r="L315" s="397">
        <v>3.0000000000000001E-3</v>
      </c>
      <c r="M315" s="398">
        <v>10352.700000000001</v>
      </c>
      <c r="N315" s="398">
        <v>5.29</v>
      </c>
      <c r="O315" s="398">
        <v>6.34</v>
      </c>
      <c r="P315" s="397">
        <v>0.04</v>
      </c>
    </row>
    <row r="316" spans="6:16" x14ac:dyDescent="0.25">
      <c r="F316" t="s">
        <v>1021</v>
      </c>
      <c r="H316" t="s">
        <v>147</v>
      </c>
      <c r="J316" s="397">
        <v>2.4249999999999998</v>
      </c>
      <c r="K316" s="397">
        <v>0.193</v>
      </c>
      <c r="L316" s="397">
        <v>3.0000000000000001E-3</v>
      </c>
      <c r="M316" s="398">
        <v>27458.46</v>
      </c>
      <c r="N316" s="398">
        <v>5.29</v>
      </c>
      <c r="O316" s="398">
        <v>6.34</v>
      </c>
      <c r="P316" s="397">
        <v>0.04</v>
      </c>
    </row>
    <row r="317" spans="6:16" x14ac:dyDescent="0.25">
      <c r="F317" t="s">
        <v>932</v>
      </c>
      <c r="H317" t="s">
        <v>147</v>
      </c>
      <c r="J317" s="397">
        <v>10.62</v>
      </c>
      <c r="K317" s="397">
        <v>1.032</v>
      </c>
      <c r="L317" s="397">
        <v>0.63</v>
      </c>
      <c r="M317" s="398">
        <v>0</v>
      </c>
      <c r="N317" s="398">
        <v>0</v>
      </c>
      <c r="O317" s="398">
        <v>0</v>
      </c>
      <c r="P317" s="397">
        <v>0</v>
      </c>
    </row>
    <row r="318" spans="6:16" x14ac:dyDescent="0.25">
      <c r="F318" t="s">
        <v>933</v>
      </c>
      <c r="H318" t="s">
        <v>147</v>
      </c>
      <c r="J318" s="397">
        <v>-7.3659999999999997</v>
      </c>
      <c r="K318" s="397">
        <v>-0.85099999999999998</v>
      </c>
      <c r="L318" s="397">
        <v>-1.4999999999999999E-2</v>
      </c>
      <c r="M318" s="398">
        <v>0</v>
      </c>
      <c r="N318" s="398">
        <v>0</v>
      </c>
      <c r="O318" s="398">
        <v>0</v>
      </c>
      <c r="P318" s="397">
        <v>0</v>
      </c>
    </row>
    <row r="319" spans="6:16" x14ac:dyDescent="0.25">
      <c r="F319" t="s">
        <v>934</v>
      </c>
      <c r="H319" t="s">
        <v>147</v>
      </c>
      <c r="J319" s="397">
        <v>-6.399</v>
      </c>
      <c r="K319" s="397">
        <v>-0.71899999999999997</v>
      </c>
      <c r="L319" s="397">
        <v>-1.2999999999999999E-2</v>
      </c>
      <c r="M319" s="398">
        <v>0</v>
      </c>
      <c r="N319" s="398">
        <v>0</v>
      </c>
      <c r="O319" s="398">
        <v>0</v>
      </c>
      <c r="P319" s="397">
        <v>0</v>
      </c>
    </row>
    <row r="320" spans="6:16" x14ac:dyDescent="0.25">
      <c r="F320" t="s">
        <v>935</v>
      </c>
      <c r="H320" t="s">
        <v>147</v>
      </c>
      <c r="J320" s="397">
        <v>-7.3659999999999997</v>
      </c>
      <c r="K320" s="397">
        <v>-0.85099999999999998</v>
      </c>
      <c r="L320" s="397">
        <v>-1.4999999999999999E-2</v>
      </c>
      <c r="M320" s="398">
        <v>0</v>
      </c>
      <c r="N320" s="398">
        <v>0</v>
      </c>
      <c r="O320" s="398">
        <v>0</v>
      </c>
      <c r="P320" s="397">
        <v>0.155</v>
      </c>
    </row>
    <row r="321" spans="3:18" x14ac:dyDescent="0.25">
      <c r="F321" t="s">
        <v>936</v>
      </c>
      <c r="H321" t="s">
        <v>147</v>
      </c>
      <c r="J321" s="399">
        <v>0</v>
      </c>
      <c r="K321" s="399">
        <v>0</v>
      </c>
      <c r="L321" s="399">
        <v>0</v>
      </c>
      <c r="M321" s="400">
        <v>0</v>
      </c>
      <c r="N321" s="400">
        <v>0</v>
      </c>
      <c r="O321" s="400">
        <v>0</v>
      </c>
      <c r="P321" s="399">
        <v>0</v>
      </c>
    </row>
    <row r="322" spans="3:18" x14ac:dyDescent="0.25">
      <c r="F322" t="s">
        <v>937</v>
      </c>
      <c r="H322" t="s">
        <v>147</v>
      </c>
      <c r="J322" s="397">
        <v>-6.399</v>
      </c>
      <c r="K322" s="397">
        <v>-0.71899999999999997</v>
      </c>
      <c r="L322" s="397">
        <v>-1.2999999999999999E-2</v>
      </c>
      <c r="M322" s="398">
        <v>0</v>
      </c>
      <c r="N322" s="398">
        <v>0</v>
      </c>
      <c r="O322" s="398">
        <v>0</v>
      </c>
      <c r="P322" s="397">
        <v>0.13300000000000001</v>
      </c>
    </row>
    <row r="323" spans="3:18" x14ac:dyDescent="0.25">
      <c r="F323" t="s">
        <v>938</v>
      </c>
      <c r="H323" t="s">
        <v>147</v>
      </c>
      <c r="J323" s="399">
        <v>0</v>
      </c>
      <c r="K323" s="399">
        <v>0</v>
      </c>
      <c r="L323" s="399">
        <v>0</v>
      </c>
      <c r="M323" s="400">
        <v>0</v>
      </c>
      <c r="N323" s="400">
        <v>0</v>
      </c>
      <c r="O323" s="400">
        <v>0</v>
      </c>
      <c r="P323" s="399">
        <v>0</v>
      </c>
    </row>
    <row r="324" spans="3:18" x14ac:dyDescent="0.25">
      <c r="F324" t="s">
        <v>939</v>
      </c>
      <c r="H324" t="s">
        <v>147</v>
      </c>
      <c r="J324" s="397">
        <v>-3.9140000000000001</v>
      </c>
      <c r="K324" s="397">
        <v>-0.35</v>
      </c>
      <c r="L324" s="397">
        <v>-5.0000000000000001E-3</v>
      </c>
      <c r="M324" s="398">
        <v>0</v>
      </c>
      <c r="N324" s="398">
        <v>0</v>
      </c>
      <c r="O324" s="398">
        <v>0</v>
      </c>
      <c r="P324" s="397">
        <v>0.109</v>
      </c>
    </row>
    <row r="325" spans="3:18" x14ac:dyDescent="0.25">
      <c r="F325" s="17" t="s">
        <v>940</v>
      </c>
      <c r="G325" s="17"/>
      <c r="H325" s="17" t="s">
        <v>147</v>
      </c>
      <c r="I325" s="17"/>
      <c r="J325" s="385">
        <v>0</v>
      </c>
      <c r="K325" s="385">
        <v>0</v>
      </c>
      <c r="L325" s="385">
        <v>0</v>
      </c>
      <c r="M325" s="295">
        <v>0</v>
      </c>
      <c r="N325" s="295">
        <v>0</v>
      </c>
      <c r="O325" s="295">
        <v>0</v>
      </c>
      <c r="P325" s="385">
        <v>0</v>
      </c>
    </row>
    <row r="326" spans="3:18" x14ac:dyDescent="0.25">
      <c r="D326"/>
      <c r="E326"/>
      <c r="J326" s="298"/>
      <c r="K326" s="298"/>
      <c r="L326" s="298"/>
      <c r="M326" s="184"/>
      <c r="N326" s="184"/>
      <c r="O326" s="184"/>
      <c r="P326" s="298"/>
    </row>
    <row r="327" spans="3:18" x14ac:dyDescent="0.25">
      <c r="C327" s="5" t="str">
        <f ca="1">INDEX('Version control'!$H$36:$H$62,MATCH($A$1,'Version control'!$F$36:$F$62,0),1)&amp;"-D: Tariff results for charging year " &amp; 'ARP_User control'!G33</f>
        <v>Output 501-D: Tariff results for charging year 2026/27</v>
      </c>
      <c r="D327" s="5"/>
      <c r="E327" s="5"/>
      <c r="F327" s="5"/>
      <c r="G327" s="5"/>
      <c r="H327" s="5"/>
      <c r="I327" s="5"/>
      <c r="J327" s="387"/>
      <c r="K327" s="387"/>
      <c r="L327" s="387"/>
      <c r="M327" s="5"/>
      <c r="N327" s="5"/>
      <c r="O327" s="5"/>
      <c r="P327" s="387"/>
      <c r="Q327" s="5"/>
      <c r="R327" s="5"/>
    </row>
    <row r="328" spans="3:18" x14ac:dyDescent="0.25">
      <c r="D328"/>
      <c r="E328"/>
      <c r="J328" s="388"/>
      <c r="K328" s="388"/>
      <c r="L328" s="388"/>
      <c r="M328" s="183"/>
      <c r="N328" s="183"/>
      <c r="O328" s="183"/>
      <c r="P328" s="388"/>
    </row>
    <row r="329" spans="3:18" x14ac:dyDescent="0.25">
      <c r="D329" s="52"/>
      <c r="E329" s="52" t="str">
        <f>"All the way tariff forecast "&amp; 'ARP_User control'!G33</f>
        <v>All the way tariff forecast 2026/27</v>
      </c>
      <c r="J329" s="388"/>
      <c r="K329" s="388"/>
      <c r="L329" s="388"/>
      <c r="M329" s="183"/>
      <c r="N329" s="183"/>
      <c r="O329" s="183"/>
      <c r="P329" s="388"/>
    </row>
    <row r="330" spans="3:18" x14ac:dyDescent="0.25">
      <c r="F330" s="80" t="s">
        <v>1001</v>
      </c>
      <c r="G330" s="80"/>
      <c r="H330" s="80" t="s">
        <v>261</v>
      </c>
      <c r="I330" s="80"/>
      <c r="J330" s="382">
        <v>9.4169999999999998</v>
      </c>
      <c r="K330" s="382">
        <v>1.0880000000000001</v>
      </c>
      <c r="L330" s="382">
        <v>1.9E-2</v>
      </c>
      <c r="M330" s="291">
        <v>14.13</v>
      </c>
      <c r="N330" s="291">
        <v>0</v>
      </c>
      <c r="O330" s="291">
        <v>0</v>
      </c>
      <c r="P330" s="382">
        <v>0</v>
      </c>
    </row>
    <row r="331" spans="3:18" x14ac:dyDescent="0.25">
      <c r="F331" t="s">
        <v>926</v>
      </c>
      <c r="H331" t="s">
        <v>261</v>
      </c>
      <c r="J331" s="397">
        <v>9.4169999999999998</v>
      </c>
      <c r="K331" s="397">
        <v>1.0880000000000001</v>
      </c>
      <c r="L331" s="397">
        <v>1.9E-2</v>
      </c>
      <c r="M331" s="398">
        <v>0</v>
      </c>
      <c r="N331" s="398">
        <v>0</v>
      </c>
      <c r="O331" s="398">
        <v>0</v>
      </c>
      <c r="P331" s="397">
        <v>0</v>
      </c>
    </row>
    <row r="332" spans="3:18" x14ac:dyDescent="0.25">
      <c r="F332" t="s">
        <v>1002</v>
      </c>
      <c r="H332" t="s">
        <v>261</v>
      </c>
      <c r="J332" s="397">
        <v>11.367000000000001</v>
      </c>
      <c r="K332" s="397">
        <v>1.3129999999999999</v>
      </c>
      <c r="L332" s="397">
        <v>2.3E-2</v>
      </c>
      <c r="M332" s="398">
        <v>1.18</v>
      </c>
      <c r="N332" s="398">
        <v>0</v>
      </c>
      <c r="O332" s="398">
        <v>0</v>
      </c>
      <c r="P332" s="397">
        <v>0</v>
      </c>
    </row>
    <row r="333" spans="3:18" x14ac:dyDescent="0.25">
      <c r="F333" t="s">
        <v>1003</v>
      </c>
      <c r="H333" t="s">
        <v>261</v>
      </c>
      <c r="J333" s="397">
        <v>11.367000000000001</v>
      </c>
      <c r="K333" s="397">
        <v>1.3129999999999999</v>
      </c>
      <c r="L333" s="397">
        <v>2.3E-2</v>
      </c>
      <c r="M333" s="398">
        <v>17.55</v>
      </c>
      <c r="N333" s="398">
        <v>0</v>
      </c>
      <c r="O333" s="398">
        <v>0</v>
      </c>
      <c r="P333" s="397">
        <v>0</v>
      </c>
    </row>
    <row r="334" spans="3:18" x14ac:dyDescent="0.25">
      <c r="F334" t="s">
        <v>1004</v>
      </c>
      <c r="H334" t="s">
        <v>261</v>
      </c>
      <c r="J334" s="397">
        <v>11.367000000000001</v>
      </c>
      <c r="K334" s="397">
        <v>1.3129999999999999</v>
      </c>
      <c r="L334" s="397">
        <v>2.3E-2</v>
      </c>
      <c r="M334" s="398">
        <v>38.799999999999997</v>
      </c>
      <c r="N334" s="398">
        <v>0</v>
      </c>
      <c r="O334" s="398">
        <v>0</v>
      </c>
      <c r="P334" s="397">
        <v>0</v>
      </c>
    </row>
    <row r="335" spans="3:18" x14ac:dyDescent="0.25">
      <c r="F335" t="s">
        <v>1005</v>
      </c>
      <c r="H335" t="s">
        <v>261</v>
      </c>
      <c r="J335" s="397">
        <v>11.367000000000001</v>
      </c>
      <c r="K335" s="397">
        <v>1.3129999999999999</v>
      </c>
      <c r="L335" s="397">
        <v>2.3E-2</v>
      </c>
      <c r="M335" s="398">
        <v>82.42</v>
      </c>
      <c r="N335" s="398">
        <v>0</v>
      </c>
      <c r="O335" s="398">
        <v>0</v>
      </c>
      <c r="P335" s="397">
        <v>0</v>
      </c>
    </row>
    <row r="336" spans="3:18" x14ac:dyDescent="0.25">
      <c r="F336" t="s">
        <v>1006</v>
      </c>
      <c r="H336" t="s">
        <v>261</v>
      </c>
      <c r="J336" s="397">
        <v>11.367000000000001</v>
      </c>
      <c r="K336" s="397">
        <v>1.3129999999999999</v>
      </c>
      <c r="L336" s="397">
        <v>2.3E-2</v>
      </c>
      <c r="M336" s="398">
        <v>240</v>
      </c>
      <c r="N336" s="398">
        <v>0</v>
      </c>
      <c r="O336" s="398">
        <v>0</v>
      </c>
      <c r="P336" s="397">
        <v>0</v>
      </c>
    </row>
    <row r="337" spans="6:16" x14ac:dyDescent="0.25">
      <c r="F337" t="s">
        <v>928</v>
      </c>
      <c r="H337" t="s">
        <v>261</v>
      </c>
      <c r="J337" s="397">
        <v>11.367000000000001</v>
      </c>
      <c r="K337" s="397">
        <v>1.3129999999999999</v>
      </c>
      <c r="L337" s="397">
        <v>2.3E-2</v>
      </c>
      <c r="M337" s="398">
        <v>0</v>
      </c>
      <c r="N337" s="398">
        <v>0</v>
      </c>
      <c r="O337" s="398">
        <v>0</v>
      </c>
      <c r="P337" s="397">
        <v>0</v>
      </c>
    </row>
    <row r="338" spans="6:16" x14ac:dyDescent="0.25">
      <c r="F338" t="s">
        <v>1007</v>
      </c>
      <c r="H338" t="s">
        <v>261</v>
      </c>
      <c r="J338" s="397">
        <v>8.1869999999999994</v>
      </c>
      <c r="K338" s="397">
        <v>0.89500000000000002</v>
      </c>
      <c r="L338" s="397">
        <v>1.6E-2</v>
      </c>
      <c r="M338" s="398">
        <v>0</v>
      </c>
      <c r="N338" s="398">
        <v>3.54</v>
      </c>
      <c r="O338" s="398">
        <v>4.87</v>
      </c>
      <c r="P338" s="397">
        <v>0.16900000000000001</v>
      </c>
    </row>
    <row r="339" spans="6:16" x14ac:dyDescent="0.25">
      <c r="F339" t="s">
        <v>1008</v>
      </c>
      <c r="H339" t="s">
        <v>261</v>
      </c>
      <c r="J339" s="397">
        <v>8.1869999999999994</v>
      </c>
      <c r="K339" s="397">
        <v>0.89500000000000002</v>
      </c>
      <c r="L339" s="397">
        <v>1.6E-2</v>
      </c>
      <c r="M339" s="398">
        <v>443.53</v>
      </c>
      <c r="N339" s="398">
        <v>3.54</v>
      </c>
      <c r="O339" s="398">
        <v>4.87</v>
      </c>
      <c r="P339" s="397">
        <v>0.16900000000000001</v>
      </c>
    </row>
    <row r="340" spans="6:16" x14ac:dyDescent="0.25">
      <c r="F340" t="s">
        <v>1009</v>
      </c>
      <c r="H340" t="s">
        <v>261</v>
      </c>
      <c r="J340" s="397">
        <v>8.1869999999999994</v>
      </c>
      <c r="K340" s="397">
        <v>0.89500000000000002</v>
      </c>
      <c r="L340" s="397">
        <v>1.6E-2</v>
      </c>
      <c r="M340" s="398">
        <v>775.06</v>
      </c>
      <c r="N340" s="398">
        <v>3.54</v>
      </c>
      <c r="O340" s="398">
        <v>4.87</v>
      </c>
      <c r="P340" s="397">
        <v>0.16900000000000001</v>
      </c>
    </row>
    <row r="341" spans="6:16" x14ac:dyDescent="0.25">
      <c r="F341" t="s">
        <v>1010</v>
      </c>
      <c r="H341" t="s">
        <v>261</v>
      </c>
      <c r="J341" s="397">
        <v>8.1869999999999994</v>
      </c>
      <c r="K341" s="397">
        <v>0.89500000000000002</v>
      </c>
      <c r="L341" s="397">
        <v>1.6E-2</v>
      </c>
      <c r="M341" s="398">
        <v>1306.96</v>
      </c>
      <c r="N341" s="398">
        <v>3.54</v>
      </c>
      <c r="O341" s="398">
        <v>4.87</v>
      </c>
      <c r="P341" s="397">
        <v>0.16900000000000001</v>
      </c>
    </row>
    <row r="342" spans="6:16" x14ac:dyDescent="0.25">
      <c r="F342" t="s">
        <v>1011</v>
      </c>
      <c r="H342" t="s">
        <v>261</v>
      </c>
      <c r="J342" s="397">
        <v>8.1869999999999994</v>
      </c>
      <c r="K342" s="397">
        <v>0.89500000000000002</v>
      </c>
      <c r="L342" s="397">
        <v>1.6E-2</v>
      </c>
      <c r="M342" s="398">
        <v>2845.82</v>
      </c>
      <c r="N342" s="398">
        <v>3.54</v>
      </c>
      <c r="O342" s="398">
        <v>4.87</v>
      </c>
      <c r="P342" s="397">
        <v>0.16900000000000001</v>
      </c>
    </row>
    <row r="343" spans="6:16" x14ac:dyDescent="0.25">
      <c r="F343" t="s">
        <v>1012</v>
      </c>
      <c r="H343" t="s">
        <v>261</v>
      </c>
      <c r="J343" s="397">
        <v>4.6589999999999998</v>
      </c>
      <c r="K343" s="397">
        <v>0.41899999999999998</v>
      </c>
      <c r="L343" s="397">
        <v>6.0000000000000001E-3</v>
      </c>
      <c r="M343" s="398">
        <v>0</v>
      </c>
      <c r="N343" s="398">
        <v>6.29</v>
      </c>
      <c r="O343" s="398">
        <v>7.05</v>
      </c>
      <c r="P343" s="397">
        <v>8.4000000000000005E-2</v>
      </c>
    </row>
    <row r="344" spans="6:16" x14ac:dyDescent="0.25">
      <c r="F344" t="s">
        <v>1013</v>
      </c>
      <c r="H344" t="s">
        <v>261</v>
      </c>
      <c r="J344" s="397">
        <v>4.6589999999999998</v>
      </c>
      <c r="K344" s="397">
        <v>0.41899999999999998</v>
      </c>
      <c r="L344" s="397">
        <v>6.0000000000000001E-3</v>
      </c>
      <c r="M344" s="398">
        <v>443.53</v>
      </c>
      <c r="N344" s="398">
        <v>6.29</v>
      </c>
      <c r="O344" s="398">
        <v>7.05</v>
      </c>
      <c r="P344" s="397">
        <v>8.4000000000000005E-2</v>
      </c>
    </row>
    <row r="345" spans="6:16" x14ac:dyDescent="0.25">
      <c r="F345" t="s">
        <v>1014</v>
      </c>
      <c r="H345" t="s">
        <v>261</v>
      </c>
      <c r="J345" s="397">
        <v>4.6589999999999998</v>
      </c>
      <c r="K345" s="397">
        <v>0.41899999999999998</v>
      </c>
      <c r="L345" s="397">
        <v>6.0000000000000001E-3</v>
      </c>
      <c r="M345" s="398">
        <v>775.06</v>
      </c>
      <c r="N345" s="398">
        <v>6.29</v>
      </c>
      <c r="O345" s="398">
        <v>7.05</v>
      </c>
      <c r="P345" s="397">
        <v>8.4000000000000005E-2</v>
      </c>
    </row>
    <row r="346" spans="6:16" x14ac:dyDescent="0.25">
      <c r="F346" t="s">
        <v>1015</v>
      </c>
      <c r="H346" t="s">
        <v>261</v>
      </c>
      <c r="J346" s="397">
        <v>4.6589999999999998</v>
      </c>
      <c r="K346" s="397">
        <v>0.41899999999999998</v>
      </c>
      <c r="L346" s="397">
        <v>6.0000000000000001E-3</v>
      </c>
      <c r="M346" s="398">
        <v>1306.96</v>
      </c>
      <c r="N346" s="398">
        <v>6.29</v>
      </c>
      <c r="O346" s="398">
        <v>7.05</v>
      </c>
      <c r="P346" s="397">
        <v>8.4000000000000005E-2</v>
      </c>
    </row>
    <row r="347" spans="6:16" x14ac:dyDescent="0.25">
      <c r="F347" t="s">
        <v>1016</v>
      </c>
      <c r="H347" t="s">
        <v>261</v>
      </c>
      <c r="J347" s="397">
        <v>4.6589999999999998</v>
      </c>
      <c r="K347" s="397">
        <v>0.41899999999999998</v>
      </c>
      <c r="L347" s="397">
        <v>6.0000000000000001E-3</v>
      </c>
      <c r="M347" s="398">
        <v>2845.82</v>
      </c>
      <c r="N347" s="398">
        <v>6.29</v>
      </c>
      <c r="O347" s="398">
        <v>7.05</v>
      </c>
      <c r="P347" s="397">
        <v>8.4000000000000005E-2</v>
      </c>
    </row>
    <row r="348" spans="6:16" x14ac:dyDescent="0.25">
      <c r="F348" t="s">
        <v>1017</v>
      </c>
      <c r="H348" t="s">
        <v>261</v>
      </c>
      <c r="J348" s="397">
        <v>3.206</v>
      </c>
      <c r="K348" s="397">
        <v>0.255</v>
      </c>
      <c r="L348" s="397">
        <v>4.0000000000000001E-3</v>
      </c>
      <c r="M348" s="398">
        <v>0</v>
      </c>
      <c r="N348" s="398">
        <v>7</v>
      </c>
      <c r="O348" s="398">
        <v>8.3800000000000008</v>
      </c>
      <c r="P348" s="397">
        <v>5.2999999999999999E-2</v>
      </c>
    </row>
    <row r="349" spans="6:16" x14ac:dyDescent="0.25">
      <c r="F349" t="s">
        <v>1018</v>
      </c>
      <c r="H349" t="s">
        <v>261</v>
      </c>
      <c r="J349" s="397">
        <v>3.206</v>
      </c>
      <c r="K349" s="397">
        <v>0.255</v>
      </c>
      <c r="L349" s="397">
        <v>4.0000000000000001E-3</v>
      </c>
      <c r="M349" s="398">
        <v>2216.91</v>
      </c>
      <c r="N349" s="398">
        <v>7</v>
      </c>
      <c r="O349" s="398">
        <v>8.3800000000000008</v>
      </c>
      <c r="P349" s="397">
        <v>5.2999999999999999E-2</v>
      </c>
    </row>
    <row r="350" spans="6:16" x14ac:dyDescent="0.25">
      <c r="F350" t="s">
        <v>1019</v>
      </c>
      <c r="H350" t="s">
        <v>261</v>
      </c>
      <c r="J350" s="397">
        <v>3.206</v>
      </c>
      <c r="K350" s="397">
        <v>0.255</v>
      </c>
      <c r="L350" s="397">
        <v>4.0000000000000001E-3</v>
      </c>
      <c r="M350" s="398">
        <v>6722.17</v>
      </c>
      <c r="N350" s="398">
        <v>7</v>
      </c>
      <c r="O350" s="398">
        <v>8.3800000000000008</v>
      </c>
      <c r="P350" s="397">
        <v>5.2999999999999999E-2</v>
      </c>
    </row>
    <row r="351" spans="6:16" x14ac:dyDescent="0.25">
      <c r="F351" t="s">
        <v>1020</v>
      </c>
      <c r="H351" t="s">
        <v>261</v>
      </c>
      <c r="J351" s="397">
        <v>3.206</v>
      </c>
      <c r="K351" s="397">
        <v>0.255</v>
      </c>
      <c r="L351" s="397">
        <v>4.0000000000000001E-3</v>
      </c>
      <c r="M351" s="398">
        <v>13703</v>
      </c>
      <c r="N351" s="398">
        <v>7</v>
      </c>
      <c r="O351" s="398">
        <v>8.3800000000000008</v>
      </c>
      <c r="P351" s="397">
        <v>5.2999999999999999E-2</v>
      </c>
    </row>
    <row r="352" spans="6:16" x14ac:dyDescent="0.25">
      <c r="F352" t="s">
        <v>1021</v>
      </c>
      <c r="H352" t="s">
        <v>261</v>
      </c>
      <c r="J352" s="397">
        <v>3.206</v>
      </c>
      <c r="K352" s="397">
        <v>0.255</v>
      </c>
      <c r="L352" s="397">
        <v>4.0000000000000001E-3</v>
      </c>
      <c r="M352" s="398">
        <v>36344.46</v>
      </c>
      <c r="N352" s="398">
        <v>7</v>
      </c>
      <c r="O352" s="398">
        <v>8.3800000000000008</v>
      </c>
      <c r="P352" s="397">
        <v>5.2999999999999999E-2</v>
      </c>
    </row>
    <row r="353" spans="4:16" x14ac:dyDescent="0.25">
      <c r="F353" t="s">
        <v>932</v>
      </c>
      <c r="H353" t="s">
        <v>261</v>
      </c>
      <c r="J353" s="397">
        <v>27.173999999999999</v>
      </c>
      <c r="K353" s="397">
        <v>2.6419999999999999</v>
      </c>
      <c r="L353" s="397">
        <v>1.615</v>
      </c>
      <c r="M353" s="398">
        <v>0</v>
      </c>
      <c r="N353" s="398">
        <v>0</v>
      </c>
      <c r="O353" s="398">
        <v>0</v>
      </c>
      <c r="P353" s="397">
        <v>0</v>
      </c>
    </row>
    <row r="354" spans="4:16" x14ac:dyDescent="0.25">
      <c r="F354" t="s">
        <v>933</v>
      </c>
      <c r="H354" t="s">
        <v>261</v>
      </c>
      <c r="J354" s="397">
        <v>-7.407</v>
      </c>
      <c r="K354" s="397">
        <v>-0.85599999999999998</v>
      </c>
      <c r="L354" s="397">
        <v>-1.4999999999999999E-2</v>
      </c>
      <c r="M354" s="398">
        <v>0</v>
      </c>
      <c r="N354" s="398">
        <v>0</v>
      </c>
      <c r="O354" s="398">
        <v>0</v>
      </c>
      <c r="P354" s="397">
        <v>0</v>
      </c>
    </row>
    <row r="355" spans="4:16" x14ac:dyDescent="0.25">
      <c r="F355" t="s">
        <v>934</v>
      </c>
      <c r="H355" t="s">
        <v>261</v>
      </c>
      <c r="J355" s="397">
        <v>-6.4349999999999996</v>
      </c>
      <c r="K355" s="397">
        <v>-0.72299999999999998</v>
      </c>
      <c r="L355" s="397">
        <v>-1.2999999999999999E-2</v>
      </c>
      <c r="M355" s="398">
        <v>0</v>
      </c>
      <c r="N355" s="398">
        <v>0</v>
      </c>
      <c r="O355" s="398">
        <v>0</v>
      </c>
      <c r="P355" s="397">
        <v>0</v>
      </c>
    </row>
    <row r="356" spans="4:16" x14ac:dyDescent="0.25">
      <c r="F356" t="s">
        <v>935</v>
      </c>
      <c r="H356" t="s">
        <v>261</v>
      </c>
      <c r="J356" s="397">
        <v>-7.407</v>
      </c>
      <c r="K356" s="397">
        <v>-0.85599999999999998</v>
      </c>
      <c r="L356" s="397">
        <v>-1.4999999999999999E-2</v>
      </c>
      <c r="M356" s="398">
        <v>0</v>
      </c>
      <c r="N356" s="398">
        <v>0</v>
      </c>
      <c r="O356" s="398">
        <v>0</v>
      </c>
      <c r="P356" s="397">
        <v>0.155</v>
      </c>
    </row>
    <row r="357" spans="4:16" x14ac:dyDescent="0.25">
      <c r="F357" t="s">
        <v>936</v>
      </c>
      <c r="H357" t="s">
        <v>261</v>
      </c>
      <c r="J357" s="397">
        <v>-7.407</v>
      </c>
      <c r="K357" s="397">
        <v>-0.85599999999999998</v>
      </c>
      <c r="L357" s="397">
        <v>-1.4999999999999999E-2</v>
      </c>
      <c r="M357" s="398">
        <v>0</v>
      </c>
      <c r="N357" s="398">
        <v>0</v>
      </c>
      <c r="O357" s="398">
        <v>0</v>
      </c>
      <c r="P357" s="397">
        <v>0</v>
      </c>
    </row>
    <row r="358" spans="4:16" x14ac:dyDescent="0.25">
      <c r="F358" t="s">
        <v>937</v>
      </c>
      <c r="H358" t="s">
        <v>261</v>
      </c>
      <c r="J358" s="397">
        <v>-6.4349999999999996</v>
      </c>
      <c r="K358" s="397">
        <v>-0.72299999999999998</v>
      </c>
      <c r="L358" s="397">
        <v>-1.2999999999999999E-2</v>
      </c>
      <c r="M358" s="398">
        <v>0</v>
      </c>
      <c r="N358" s="398">
        <v>0</v>
      </c>
      <c r="O358" s="398">
        <v>0</v>
      </c>
      <c r="P358" s="397">
        <v>0.13400000000000001</v>
      </c>
    </row>
    <row r="359" spans="4:16" x14ac:dyDescent="0.25">
      <c r="F359" t="s">
        <v>938</v>
      </c>
      <c r="H359" t="s">
        <v>261</v>
      </c>
      <c r="J359" s="397">
        <v>-6.4349999999999996</v>
      </c>
      <c r="K359" s="397">
        <v>-0.72299999999999998</v>
      </c>
      <c r="L359" s="397">
        <v>-1.2999999999999999E-2</v>
      </c>
      <c r="M359" s="398">
        <v>0</v>
      </c>
      <c r="N359" s="398">
        <v>0</v>
      </c>
      <c r="O359" s="398">
        <v>0</v>
      </c>
      <c r="P359" s="397">
        <v>0</v>
      </c>
    </row>
    <row r="360" spans="4:16" x14ac:dyDescent="0.25">
      <c r="F360" t="s">
        <v>939</v>
      </c>
      <c r="H360" t="s">
        <v>261</v>
      </c>
      <c r="J360" s="397">
        <v>-3.9359999999999999</v>
      </c>
      <c r="K360" s="397">
        <v>-0.35199999999999998</v>
      </c>
      <c r="L360" s="397">
        <v>-5.0000000000000001E-3</v>
      </c>
      <c r="M360" s="398">
        <v>0</v>
      </c>
      <c r="N360" s="398">
        <v>0</v>
      </c>
      <c r="O360" s="398">
        <v>0</v>
      </c>
      <c r="P360" s="397">
        <v>0.11</v>
      </c>
    </row>
    <row r="361" spans="4:16" x14ac:dyDescent="0.25">
      <c r="F361" s="17" t="s">
        <v>940</v>
      </c>
      <c r="G361" s="17"/>
      <c r="H361" s="17" t="s">
        <v>261</v>
      </c>
      <c r="I361" s="17"/>
      <c r="J361" s="383">
        <v>-3.9359999999999999</v>
      </c>
      <c r="K361" s="383">
        <v>-0.35199999999999998</v>
      </c>
      <c r="L361" s="383">
        <v>-5.0000000000000001E-3</v>
      </c>
      <c r="M361" s="293">
        <v>0</v>
      </c>
      <c r="N361" s="293">
        <v>0</v>
      </c>
      <c r="O361" s="293">
        <v>0</v>
      </c>
      <c r="P361" s="383">
        <v>0</v>
      </c>
    </row>
    <row r="362" spans="4:16" x14ac:dyDescent="0.25">
      <c r="F362" s="84"/>
      <c r="J362" s="294"/>
      <c r="K362" s="294"/>
      <c r="L362" s="294"/>
      <c r="M362" s="294"/>
      <c r="N362" s="294"/>
      <c r="O362" s="294"/>
      <c r="P362" s="384"/>
    </row>
    <row r="363" spans="4:16" x14ac:dyDescent="0.25">
      <c r="D363" s="52"/>
      <c r="E363" s="52" t="str">
        <f>"LDNO LV tariff forecast "&amp; 'ARP_User control'!G33</f>
        <v>LDNO LV tariff forecast 2026/27</v>
      </c>
      <c r="F363" s="84"/>
      <c r="J363" s="294"/>
      <c r="K363" s="294"/>
      <c r="L363" s="294"/>
      <c r="M363" s="294"/>
      <c r="N363" s="294"/>
      <c r="O363" s="294"/>
      <c r="P363" s="384"/>
    </row>
    <row r="364" spans="4:16" x14ac:dyDescent="0.25">
      <c r="F364" s="80" t="s">
        <v>1001</v>
      </c>
      <c r="G364" s="80"/>
      <c r="H364" s="80" t="s">
        <v>146</v>
      </c>
      <c r="I364" s="80"/>
      <c r="J364" s="382">
        <v>5.5919999999999996</v>
      </c>
      <c r="K364" s="382">
        <v>0.64600000000000002</v>
      </c>
      <c r="L364" s="382">
        <v>1.2E-2</v>
      </c>
      <c r="M364" s="291">
        <v>8.39</v>
      </c>
      <c r="N364" s="291">
        <v>0</v>
      </c>
      <c r="O364" s="291">
        <v>0</v>
      </c>
      <c r="P364" s="382">
        <v>0</v>
      </c>
    </row>
    <row r="365" spans="4:16" x14ac:dyDescent="0.25">
      <c r="F365" t="s">
        <v>926</v>
      </c>
      <c r="H365" t="s">
        <v>146</v>
      </c>
      <c r="J365" s="397">
        <v>5.5919999999999996</v>
      </c>
      <c r="K365" s="397">
        <v>0.64600000000000002</v>
      </c>
      <c r="L365" s="397">
        <v>1.2E-2</v>
      </c>
      <c r="M365" s="398">
        <v>0</v>
      </c>
      <c r="N365" s="398">
        <v>0</v>
      </c>
      <c r="O365" s="398">
        <v>0</v>
      </c>
      <c r="P365" s="397">
        <v>0</v>
      </c>
    </row>
    <row r="366" spans="4:16" x14ac:dyDescent="0.25">
      <c r="F366" t="s">
        <v>1002</v>
      </c>
      <c r="H366" t="s">
        <v>146</v>
      </c>
      <c r="J366" s="397">
        <v>6.7489999999999997</v>
      </c>
      <c r="K366" s="397">
        <v>0.78</v>
      </c>
      <c r="L366" s="397">
        <v>1.4E-2</v>
      </c>
      <c r="M366" s="398">
        <v>0.7</v>
      </c>
      <c r="N366" s="398">
        <v>0</v>
      </c>
      <c r="O366" s="398">
        <v>0</v>
      </c>
      <c r="P366" s="397">
        <v>0</v>
      </c>
    </row>
    <row r="367" spans="4:16" x14ac:dyDescent="0.25">
      <c r="F367" t="s">
        <v>1003</v>
      </c>
      <c r="H367" t="s">
        <v>146</v>
      </c>
      <c r="J367" s="397">
        <v>6.7489999999999997</v>
      </c>
      <c r="K367" s="397">
        <v>0.78</v>
      </c>
      <c r="L367" s="397">
        <v>1.4E-2</v>
      </c>
      <c r="M367" s="398">
        <v>10.42</v>
      </c>
      <c r="N367" s="398">
        <v>0</v>
      </c>
      <c r="O367" s="398">
        <v>0</v>
      </c>
      <c r="P367" s="397">
        <v>0</v>
      </c>
    </row>
    <row r="368" spans="4:16" x14ac:dyDescent="0.25">
      <c r="F368" t="s">
        <v>1004</v>
      </c>
      <c r="H368" t="s">
        <v>146</v>
      </c>
      <c r="J368" s="397">
        <v>6.7489999999999997</v>
      </c>
      <c r="K368" s="397">
        <v>0.78</v>
      </c>
      <c r="L368" s="397">
        <v>1.4E-2</v>
      </c>
      <c r="M368" s="398">
        <v>23.04</v>
      </c>
      <c r="N368" s="398">
        <v>0</v>
      </c>
      <c r="O368" s="398">
        <v>0</v>
      </c>
      <c r="P368" s="397">
        <v>0</v>
      </c>
    </row>
    <row r="369" spans="6:16" x14ac:dyDescent="0.25">
      <c r="F369" t="s">
        <v>1005</v>
      </c>
      <c r="H369" t="s">
        <v>146</v>
      </c>
      <c r="J369" s="397">
        <v>6.7489999999999997</v>
      </c>
      <c r="K369" s="397">
        <v>0.78</v>
      </c>
      <c r="L369" s="397">
        <v>1.4E-2</v>
      </c>
      <c r="M369" s="398">
        <v>48.93</v>
      </c>
      <c r="N369" s="398">
        <v>0</v>
      </c>
      <c r="O369" s="398">
        <v>0</v>
      </c>
      <c r="P369" s="397">
        <v>0</v>
      </c>
    </row>
    <row r="370" spans="6:16" x14ac:dyDescent="0.25">
      <c r="F370" t="s">
        <v>1006</v>
      </c>
      <c r="H370" t="s">
        <v>146</v>
      </c>
      <c r="J370" s="397">
        <v>6.7489999999999997</v>
      </c>
      <c r="K370" s="397">
        <v>0.78</v>
      </c>
      <c r="L370" s="397">
        <v>1.4E-2</v>
      </c>
      <c r="M370" s="398">
        <v>142.5</v>
      </c>
      <c r="N370" s="398">
        <v>0</v>
      </c>
      <c r="O370" s="398">
        <v>0</v>
      </c>
      <c r="P370" s="397">
        <v>0</v>
      </c>
    </row>
    <row r="371" spans="6:16" x14ac:dyDescent="0.25">
      <c r="F371" t="s">
        <v>928</v>
      </c>
      <c r="H371" t="s">
        <v>146</v>
      </c>
      <c r="J371" s="397">
        <v>6.7489999999999997</v>
      </c>
      <c r="K371" s="397">
        <v>0.78</v>
      </c>
      <c r="L371" s="397">
        <v>1.4E-2</v>
      </c>
      <c r="M371" s="398">
        <v>0</v>
      </c>
      <c r="N371" s="398">
        <v>0</v>
      </c>
      <c r="O371" s="398">
        <v>0</v>
      </c>
      <c r="P371" s="397">
        <v>0</v>
      </c>
    </row>
    <row r="372" spans="6:16" x14ac:dyDescent="0.25">
      <c r="F372" t="s">
        <v>1007</v>
      </c>
      <c r="H372" t="s">
        <v>146</v>
      </c>
      <c r="J372" s="397">
        <v>4.8609999999999998</v>
      </c>
      <c r="K372" s="397">
        <v>0.53100000000000003</v>
      </c>
      <c r="L372" s="397">
        <v>8.9999999999999993E-3</v>
      </c>
      <c r="M372" s="398">
        <v>0</v>
      </c>
      <c r="N372" s="398">
        <v>2.1</v>
      </c>
      <c r="O372" s="398">
        <v>2.89</v>
      </c>
      <c r="P372" s="397">
        <v>0.1</v>
      </c>
    </row>
    <row r="373" spans="6:16" x14ac:dyDescent="0.25">
      <c r="F373" t="s">
        <v>1008</v>
      </c>
      <c r="H373" t="s">
        <v>146</v>
      </c>
      <c r="J373" s="397">
        <v>4.8609999999999998</v>
      </c>
      <c r="K373" s="397">
        <v>0.53100000000000003</v>
      </c>
      <c r="L373" s="397">
        <v>8.9999999999999993E-3</v>
      </c>
      <c r="M373" s="398">
        <v>263.35000000000002</v>
      </c>
      <c r="N373" s="398">
        <v>2.1</v>
      </c>
      <c r="O373" s="398">
        <v>2.89</v>
      </c>
      <c r="P373" s="397">
        <v>0.1</v>
      </c>
    </row>
    <row r="374" spans="6:16" x14ac:dyDescent="0.25">
      <c r="F374" t="s">
        <v>1009</v>
      </c>
      <c r="H374" t="s">
        <v>146</v>
      </c>
      <c r="J374" s="397">
        <v>4.8609999999999998</v>
      </c>
      <c r="K374" s="397">
        <v>0.53100000000000003</v>
      </c>
      <c r="L374" s="397">
        <v>8.9999999999999993E-3</v>
      </c>
      <c r="M374" s="398">
        <v>460.2</v>
      </c>
      <c r="N374" s="398">
        <v>2.1</v>
      </c>
      <c r="O374" s="398">
        <v>2.89</v>
      </c>
      <c r="P374" s="397">
        <v>0.1</v>
      </c>
    </row>
    <row r="375" spans="6:16" x14ac:dyDescent="0.25">
      <c r="F375" t="s">
        <v>1010</v>
      </c>
      <c r="H375" t="s">
        <v>146</v>
      </c>
      <c r="J375" s="397">
        <v>4.8609999999999998</v>
      </c>
      <c r="K375" s="397">
        <v>0.53100000000000003</v>
      </c>
      <c r="L375" s="397">
        <v>8.9999999999999993E-3</v>
      </c>
      <c r="M375" s="398">
        <v>776.02</v>
      </c>
      <c r="N375" s="398">
        <v>2.1</v>
      </c>
      <c r="O375" s="398">
        <v>2.89</v>
      </c>
      <c r="P375" s="397">
        <v>0.1</v>
      </c>
    </row>
    <row r="376" spans="6:16" x14ac:dyDescent="0.25">
      <c r="F376" t="s">
        <v>1011</v>
      </c>
      <c r="H376" t="s">
        <v>146</v>
      </c>
      <c r="J376" s="397">
        <v>4.8609999999999998</v>
      </c>
      <c r="K376" s="397">
        <v>0.53100000000000003</v>
      </c>
      <c r="L376" s="397">
        <v>8.9999999999999993E-3</v>
      </c>
      <c r="M376" s="398">
        <v>1689.72</v>
      </c>
      <c r="N376" s="398">
        <v>2.1</v>
      </c>
      <c r="O376" s="398">
        <v>2.89</v>
      </c>
      <c r="P376" s="397">
        <v>0.1</v>
      </c>
    </row>
    <row r="377" spans="6:16" x14ac:dyDescent="0.25">
      <c r="F377" t="s">
        <v>1012</v>
      </c>
      <c r="H377" t="s">
        <v>146</v>
      </c>
      <c r="J377" s="399">
        <v>0</v>
      </c>
      <c r="K377" s="399">
        <v>0</v>
      </c>
      <c r="L377" s="399">
        <v>0</v>
      </c>
      <c r="M377" s="400">
        <v>0</v>
      </c>
      <c r="N377" s="400">
        <v>0</v>
      </c>
      <c r="O377" s="400">
        <v>0</v>
      </c>
      <c r="P377" s="399">
        <v>0</v>
      </c>
    </row>
    <row r="378" spans="6:16" x14ac:dyDescent="0.25">
      <c r="F378" t="s">
        <v>1013</v>
      </c>
      <c r="H378" t="s">
        <v>146</v>
      </c>
      <c r="J378" s="399">
        <v>0</v>
      </c>
      <c r="K378" s="399">
        <v>0</v>
      </c>
      <c r="L378" s="399">
        <v>0</v>
      </c>
      <c r="M378" s="400">
        <v>0</v>
      </c>
      <c r="N378" s="400">
        <v>0</v>
      </c>
      <c r="O378" s="400">
        <v>0</v>
      </c>
      <c r="P378" s="399">
        <v>0</v>
      </c>
    </row>
    <row r="379" spans="6:16" x14ac:dyDescent="0.25">
      <c r="F379" t="s">
        <v>1014</v>
      </c>
      <c r="H379" t="s">
        <v>146</v>
      </c>
      <c r="J379" s="399">
        <v>0</v>
      </c>
      <c r="K379" s="399">
        <v>0</v>
      </c>
      <c r="L379" s="399">
        <v>0</v>
      </c>
      <c r="M379" s="400">
        <v>0</v>
      </c>
      <c r="N379" s="400">
        <v>0</v>
      </c>
      <c r="O379" s="400">
        <v>0</v>
      </c>
      <c r="P379" s="399">
        <v>0</v>
      </c>
    </row>
    <row r="380" spans="6:16" x14ac:dyDescent="0.25">
      <c r="F380" t="s">
        <v>1015</v>
      </c>
      <c r="H380" t="s">
        <v>146</v>
      </c>
      <c r="J380" s="399">
        <v>0</v>
      </c>
      <c r="K380" s="399">
        <v>0</v>
      </c>
      <c r="L380" s="399">
        <v>0</v>
      </c>
      <c r="M380" s="400">
        <v>0</v>
      </c>
      <c r="N380" s="400">
        <v>0</v>
      </c>
      <c r="O380" s="400">
        <v>0</v>
      </c>
      <c r="P380" s="399">
        <v>0</v>
      </c>
    </row>
    <row r="381" spans="6:16" x14ac:dyDescent="0.25">
      <c r="F381" t="s">
        <v>1016</v>
      </c>
      <c r="H381" t="s">
        <v>146</v>
      </c>
      <c r="J381" s="399">
        <v>0</v>
      </c>
      <c r="K381" s="399">
        <v>0</v>
      </c>
      <c r="L381" s="399">
        <v>0</v>
      </c>
      <c r="M381" s="400">
        <v>0</v>
      </c>
      <c r="N381" s="400">
        <v>0</v>
      </c>
      <c r="O381" s="400">
        <v>0</v>
      </c>
      <c r="P381" s="399">
        <v>0</v>
      </c>
    </row>
    <row r="382" spans="6:16" x14ac:dyDescent="0.25">
      <c r="F382" t="s">
        <v>1017</v>
      </c>
      <c r="H382" t="s">
        <v>146</v>
      </c>
      <c r="J382" s="399">
        <v>0</v>
      </c>
      <c r="K382" s="399">
        <v>0</v>
      </c>
      <c r="L382" s="399">
        <v>0</v>
      </c>
      <c r="M382" s="400">
        <v>0</v>
      </c>
      <c r="N382" s="400">
        <v>0</v>
      </c>
      <c r="O382" s="400">
        <v>0</v>
      </c>
      <c r="P382" s="399">
        <v>0</v>
      </c>
    </row>
    <row r="383" spans="6:16" x14ac:dyDescent="0.25">
      <c r="F383" t="s">
        <v>1018</v>
      </c>
      <c r="H383" t="s">
        <v>146</v>
      </c>
      <c r="J383" s="399">
        <v>0</v>
      </c>
      <c r="K383" s="399">
        <v>0</v>
      </c>
      <c r="L383" s="399">
        <v>0</v>
      </c>
      <c r="M383" s="400">
        <v>0</v>
      </c>
      <c r="N383" s="400">
        <v>0</v>
      </c>
      <c r="O383" s="400">
        <v>0</v>
      </c>
      <c r="P383" s="399">
        <v>0</v>
      </c>
    </row>
    <row r="384" spans="6:16" x14ac:dyDescent="0.25">
      <c r="F384" t="s">
        <v>1019</v>
      </c>
      <c r="H384" t="s">
        <v>146</v>
      </c>
      <c r="J384" s="399">
        <v>0</v>
      </c>
      <c r="K384" s="399">
        <v>0</v>
      </c>
      <c r="L384" s="399">
        <v>0</v>
      </c>
      <c r="M384" s="400">
        <v>0</v>
      </c>
      <c r="N384" s="400">
        <v>0</v>
      </c>
      <c r="O384" s="400">
        <v>0</v>
      </c>
      <c r="P384" s="399">
        <v>0</v>
      </c>
    </row>
    <row r="385" spans="4:16" x14ac:dyDescent="0.25">
      <c r="F385" t="s">
        <v>1020</v>
      </c>
      <c r="H385" t="s">
        <v>146</v>
      </c>
      <c r="J385" s="399">
        <v>0</v>
      </c>
      <c r="K385" s="399">
        <v>0</v>
      </c>
      <c r="L385" s="399">
        <v>0</v>
      </c>
      <c r="M385" s="400">
        <v>0</v>
      </c>
      <c r="N385" s="400">
        <v>0</v>
      </c>
      <c r="O385" s="400">
        <v>0</v>
      </c>
      <c r="P385" s="399">
        <v>0</v>
      </c>
    </row>
    <row r="386" spans="4:16" x14ac:dyDescent="0.25">
      <c r="F386" t="s">
        <v>1021</v>
      </c>
      <c r="H386" t="s">
        <v>146</v>
      </c>
      <c r="J386" s="399">
        <v>0</v>
      </c>
      <c r="K386" s="399">
        <v>0</v>
      </c>
      <c r="L386" s="399">
        <v>0</v>
      </c>
      <c r="M386" s="400">
        <v>0</v>
      </c>
      <c r="N386" s="400">
        <v>0</v>
      </c>
      <c r="O386" s="400">
        <v>0</v>
      </c>
      <c r="P386" s="399">
        <v>0</v>
      </c>
    </row>
    <row r="387" spans="4:16" x14ac:dyDescent="0.25">
      <c r="F387" t="s">
        <v>932</v>
      </c>
      <c r="H387" t="s">
        <v>146</v>
      </c>
      <c r="J387" s="397">
        <v>16.135000000000002</v>
      </c>
      <c r="K387" s="397">
        <v>1.5680000000000001</v>
      </c>
      <c r="L387" s="397">
        <v>0.95899999999999996</v>
      </c>
      <c r="M387" s="398">
        <v>0</v>
      </c>
      <c r="N387" s="398">
        <v>0</v>
      </c>
      <c r="O387" s="398">
        <v>0</v>
      </c>
      <c r="P387" s="397">
        <v>0</v>
      </c>
    </row>
    <row r="388" spans="4:16" x14ac:dyDescent="0.25">
      <c r="F388" t="s">
        <v>933</v>
      </c>
      <c r="H388" t="s">
        <v>146</v>
      </c>
      <c r="J388" s="397">
        <v>-7.407</v>
      </c>
      <c r="K388" s="397">
        <v>-0.85599999999999998</v>
      </c>
      <c r="L388" s="397">
        <v>-1.4999999999999999E-2</v>
      </c>
      <c r="M388" s="398">
        <v>0</v>
      </c>
      <c r="N388" s="398">
        <v>0</v>
      </c>
      <c r="O388" s="398">
        <v>0</v>
      </c>
      <c r="P388" s="397">
        <v>0</v>
      </c>
    </row>
    <row r="389" spans="4:16" x14ac:dyDescent="0.25">
      <c r="F389" t="s">
        <v>934</v>
      </c>
      <c r="H389" t="s">
        <v>146</v>
      </c>
      <c r="J389" s="399">
        <v>0</v>
      </c>
      <c r="K389" s="399">
        <v>0</v>
      </c>
      <c r="L389" s="399">
        <v>0</v>
      </c>
      <c r="M389" s="400">
        <v>0</v>
      </c>
      <c r="N389" s="400">
        <v>0</v>
      </c>
      <c r="O389" s="400">
        <v>0</v>
      </c>
      <c r="P389" s="399">
        <v>0</v>
      </c>
    </row>
    <row r="390" spans="4:16" x14ac:dyDescent="0.25">
      <c r="F390" t="s">
        <v>935</v>
      </c>
      <c r="H390" t="s">
        <v>146</v>
      </c>
      <c r="J390" s="397">
        <v>-7.407</v>
      </c>
      <c r="K390" s="397">
        <v>-0.85599999999999998</v>
      </c>
      <c r="L390" s="397">
        <v>-1.4999999999999999E-2</v>
      </c>
      <c r="M390" s="398">
        <v>0</v>
      </c>
      <c r="N390" s="398">
        <v>0</v>
      </c>
      <c r="O390" s="398">
        <v>0</v>
      </c>
      <c r="P390" s="397">
        <v>0.155</v>
      </c>
    </row>
    <row r="391" spans="4:16" x14ac:dyDescent="0.25">
      <c r="F391" t="s">
        <v>936</v>
      </c>
      <c r="H391" t="s">
        <v>146</v>
      </c>
      <c r="J391" s="399">
        <v>0</v>
      </c>
      <c r="K391" s="399">
        <v>0</v>
      </c>
      <c r="L391" s="399">
        <v>0</v>
      </c>
      <c r="M391" s="400">
        <v>0</v>
      </c>
      <c r="N391" s="400">
        <v>0</v>
      </c>
      <c r="O391" s="400">
        <v>0</v>
      </c>
      <c r="P391" s="399">
        <v>0</v>
      </c>
    </row>
    <row r="392" spans="4:16" x14ac:dyDescent="0.25">
      <c r="F392" t="s">
        <v>937</v>
      </c>
      <c r="H392" t="s">
        <v>146</v>
      </c>
      <c r="J392" s="399">
        <v>0</v>
      </c>
      <c r="K392" s="399">
        <v>0</v>
      </c>
      <c r="L392" s="399">
        <v>0</v>
      </c>
      <c r="M392" s="400">
        <v>0</v>
      </c>
      <c r="N392" s="400">
        <v>0</v>
      </c>
      <c r="O392" s="400">
        <v>0</v>
      </c>
      <c r="P392" s="399">
        <v>0</v>
      </c>
    </row>
    <row r="393" spans="4:16" x14ac:dyDescent="0.25">
      <c r="F393" t="s">
        <v>938</v>
      </c>
      <c r="H393" t="s">
        <v>146</v>
      </c>
      <c r="J393" s="399">
        <v>0</v>
      </c>
      <c r="K393" s="399">
        <v>0</v>
      </c>
      <c r="L393" s="399">
        <v>0</v>
      </c>
      <c r="M393" s="400">
        <v>0</v>
      </c>
      <c r="N393" s="400">
        <v>0</v>
      </c>
      <c r="O393" s="400">
        <v>0</v>
      </c>
      <c r="P393" s="399">
        <v>0</v>
      </c>
    </row>
    <row r="394" spans="4:16" x14ac:dyDescent="0.25">
      <c r="F394" t="s">
        <v>939</v>
      </c>
      <c r="H394" t="s">
        <v>146</v>
      </c>
      <c r="J394" s="399">
        <v>0</v>
      </c>
      <c r="K394" s="399">
        <v>0</v>
      </c>
      <c r="L394" s="399">
        <v>0</v>
      </c>
      <c r="M394" s="400">
        <v>0</v>
      </c>
      <c r="N394" s="400">
        <v>0</v>
      </c>
      <c r="O394" s="400">
        <v>0</v>
      </c>
      <c r="P394" s="399">
        <v>0</v>
      </c>
    </row>
    <row r="395" spans="4:16" x14ac:dyDescent="0.25">
      <c r="F395" s="17" t="s">
        <v>940</v>
      </c>
      <c r="G395" s="17"/>
      <c r="H395" s="17" t="s">
        <v>146</v>
      </c>
      <c r="I395" s="17"/>
      <c r="J395" s="385">
        <v>0</v>
      </c>
      <c r="K395" s="385">
        <v>0</v>
      </c>
      <c r="L395" s="385">
        <v>0</v>
      </c>
      <c r="M395" s="295">
        <v>0</v>
      </c>
      <c r="N395" s="295">
        <v>0</v>
      </c>
      <c r="O395" s="295">
        <v>0</v>
      </c>
      <c r="P395" s="385">
        <v>0</v>
      </c>
    </row>
    <row r="396" spans="4:16" x14ac:dyDescent="0.25">
      <c r="D396"/>
      <c r="E396"/>
      <c r="J396" s="384"/>
      <c r="K396" s="384"/>
      <c r="L396" s="384"/>
      <c r="M396" s="294"/>
      <c r="N396" s="294"/>
      <c r="O396" s="294"/>
      <c r="P396" s="384"/>
    </row>
    <row r="397" spans="4:16" x14ac:dyDescent="0.25">
      <c r="D397" s="52"/>
      <c r="E397" s="52" t="str">
        <f>"LDNO HV tariff forecast "&amp; 'ARP_User control'!G33</f>
        <v>LDNO HV tariff forecast 2026/27</v>
      </c>
      <c r="J397" s="384"/>
      <c r="K397" s="384"/>
      <c r="L397" s="384"/>
      <c r="M397" s="294"/>
      <c r="N397" s="294"/>
      <c r="O397" s="294"/>
      <c r="P397" s="384"/>
    </row>
    <row r="398" spans="4:16" x14ac:dyDescent="0.25">
      <c r="F398" s="80" t="s">
        <v>1001</v>
      </c>
      <c r="G398" s="80"/>
      <c r="H398" s="80" t="s">
        <v>147</v>
      </c>
      <c r="I398" s="80"/>
      <c r="J398" s="382">
        <v>3.7010000000000001</v>
      </c>
      <c r="K398" s="382">
        <v>0.42699999999999999</v>
      </c>
      <c r="L398" s="382">
        <v>8.0000000000000002E-3</v>
      </c>
      <c r="M398" s="291">
        <v>5.55</v>
      </c>
      <c r="N398" s="291">
        <v>0</v>
      </c>
      <c r="O398" s="291">
        <v>0</v>
      </c>
      <c r="P398" s="382">
        <v>0</v>
      </c>
    </row>
    <row r="399" spans="4:16" x14ac:dyDescent="0.25">
      <c r="F399" t="s">
        <v>926</v>
      </c>
      <c r="H399" t="s">
        <v>147</v>
      </c>
      <c r="J399" s="397">
        <v>3.7010000000000001</v>
      </c>
      <c r="K399" s="397">
        <v>0.42699999999999999</v>
      </c>
      <c r="L399" s="397">
        <v>8.0000000000000002E-3</v>
      </c>
      <c r="M399" s="398">
        <v>0</v>
      </c>
      <c r="N399" s="398">
        <v>0</v>
      </c>
      <c r="O399" s="398">
        <v>0</v>
      </c>
      <c r="P399" s="397">
        <v>0</v>
      </c>
    </row>
    <row r="400" spans="4:16" x14ac:dyDescent="0.25">
      <c r="F400" t="s">
        <v>1002</v>
      </c>
      <c r="H400" t="s">
        <v>147</v>
      </c>
      <c r="J400" s="397">
        <v>4.4669999999999996</v>
      </c>
      <c r="K400" s="397">
        <v>0.51600000000000001</v>
      </c>
      <c r="L400" s="397">
        <v>8.9999999999999993E-3</v>
      </c>
      <c r="M400" s="398">
        <v>0.46</v>
      </c>
      <c r="N400" s="398">
        <v>0</v>
      </c>
      <c r="O400" s="398">
        <v>0</v>
      </c>
      <c r="P400" s="397">
        <v>0</v>
      </c>
    </row>
    <row r="401" spans="6:16" x14ac:dyDescent="0.25">
      <c r="F401" t="s">
        <v>1003</v>
      </c>
      <c r="H401" t="s">
        <v>147</v>
      </c>
      <c r="J401" s="397">
        <v>4.4669999999999996</v>
      </c>
      <c r="K401" s="397">
        <v>0.51600000000000001</v>
      </c>
      <c r="L401" s="397">
        <v>8.9999999999999993E-3</v>
      </c>
      <c r="M401" s="398">
        <v>6.9</v>
      </c>
      <c r="N401" s="398">
        <v>0</v>
      </c>
      <c r="O401" s="398">
        <v>0</v>
      </c>
      <c r="P401" s="397">
        <v>0</v>
      </c>
    </row>
    <row r="402" spans="6:16" x14ac:dyDescent="0.25">
      <c r="F402" t="s">
        <v>1004</v>
      </c>
      <c r="H402" t="s">
        <v>147</v>
      </c>
      <c r="J402" s="397">
        <v>4.4669999999999996</v>
      </c>
      <c r="K402" s="397">
        <v>0.51600000000000001</v>
      </c>
      <c r="L402" s="397">
        <v>8.9999999999999993E-3</v>
      </c>
      <c r="M402" s="398">
        <v>15.25</v>
      </c>
      <c r="N402" s="398">
        <v>0</v>
      </c>
      <c r="O402" s="398">
        <v>0</v>
      </c>
      <c r="P402" s="397">
        <v>0</v>
      </c>
    </row>
    <row r="403" spans="6:16" x14ac:dyDescent="0.25">
      <c r="F403" t="s">
        <v>1005</v>
      </c>
      <c r="H403" t="s">
        <v>147</v>
      </c>
      <c r="J403" s="397">
        <v>4.4669999999999996</v>
      </c>
      <c r="K403" s="397">
        <v>0.51600000000000001</v>
      </c>
      <c r="L403" s="397">
        <v>8.9999999999999993E-3</v>
      </c>
      <c r="M403" s="398">
        <v>32.39</v>
      </c>
      <c r="N403" s="398">
        <v>0</v>
      </c>
      <c r="O403" s="398">
        <v>0</v>
      </c>
      <c r="P403" s="397">
        <v>0</v>
      </c>
    </row>
    <row r="404" spans="6:16" x14ac:dyDescent="0.25">
      <c r="F404" t="s">
        <v>1006</v>
      </c>
      <c r="H404" t="s">
        <v>147</v>
      </c>
      <c r="J404" s="397">
        <v>4.4669999999999996</v>
      </c>
      <c r="K404" s="397">
        <v>0.51600000000000001</v>
      </c>
      <c r="L404" s="397">
        <v>8.9999999999999993E-3</v>
      </c>
      <c r="M404" s="398">
        <v>94.32</v>
      </c>
      <c r="N404" s="398">
        <v>0</v>
      </c>
      <c r="O404" s="398">
        <v>0</v>
      </c>
      <c r="P404" s="397">
        <v>0</v>
      </c>
    </row>
    <row r="405" spans="6:16" x14ac:dyDescent="0.25">
      <c r="F405" t="s">
        <v>928</v>
      </c>
      <c r="H405" t="s">
        <v>147</v>
      </c>
      <c r="J405" s="397">
        <v>4.4669999999999996</v>
      </c>
      <c r="K405" s="397">
        <v>0.51600000000000001</v>
      </c>
      <c r="L405" s="397">
        <v>8.9999999999999993E-3</v>
      </c>
      <c r="M405" s="398">
        <v>0</v>
      </c>
      <c r="N405" s="398">
        <v>0</v>
      </c>
      <c r="O405" s="398">
        <v>0</v>
      </c>
      <c r="P405" s="397">
        <v>0</v>
      </c>
    </row>
    <row r="406" spans="6:16" x14ac:dyDescent="0.25">
      <c r="F406" t="s">
        <v>1007</v>
      </c>
      <c r="H406" t="s">
        <v>147</v>
      </c>
      <c r="J406" s="397">
        <v>3.2170000000000001</v>
      </c>
      <c r="K406" s="397">
        <v>0.35199999999999998</v>
      </c>
      <c r="L406" s="397">
        <v>6.0000000000000001E-3</v>
      </c>
      <c r="M406" s="398">
        <v>0</v>
      </c>
      <c r="N406" s="398">
        <v>1.39</v>
      </c>
      <c r="O406" s="398">
        <v>1.91</v>
      </c>
      <c r="P406" s="397">
        <v>6.6000000000000003E-2</v>
      </c>
    </row>
    <row r="407" spans="6:16" x14ac:dyDescent="0.25">
      <c r="F407" t="s">
        <v>1008</v>
      </c>
      <c r="H407" t="s">
        <v>147</v>
      </c>
      <c r="J407" s="397">
        <v>3.2170000000000001</v>
      </c>
      <c r="K407" s="397">
        <v>0.35199999999999998</v>
      </c>
      <c r="L407" s="397">
        <v>6.0000000000000001E-3</v>
      </c>
      <c r="M407" s="398">
        <v>174.31</v>
      </c>
      <c r="N407" s="398">
        <v>1.39</v>
      </c>
      <c r="O407" s="398">
        <v>1.91</v>
      </c>
      <c r="P407" s="397">
        <v>6.6000000000000003E-2</v>
      </c>
    </row>
    <row r="408" spans="6:16" x14ac:dyDescent="0.25">
      <c r="F408" t="s">
        <v>1009</v>
      </c>
      <c r="H408" t="s">
        <v>147</v>
      </c>
      <c r="J408" s="397">
        <v>3.2170000000000001</v>
      </c>
      <c r="K408" s="397">
        <v>0.35199999999999998</v>
      </c>
      <c r="L408" s="397">
        <v>6.0000000000000001E-3</v>
      </c>
      <c r="M408" s="398">
        <v>304.60000000000002</v>
      </c>
      <c r="N408" s="398">
        <v>1.39</v>
      </c>
      <c r="O408" s="398">
        <v>1.91</v>
      </c>
      <c r="P408" s="397">
        <v>6.6000000000000003E-2</v>
      </c>
    </row>
    <row r="409" spans="6:16" x14ac:dyDescent="0.25">
      <c r="F409" t="s">
        <v>1010</v>
      </c>
      <c r="H409" t="s">
        <v>147</v>
      </c>
      <c r="J409" s="397">
        <v>3.2170000000000001</v>
      </c>
      <c r="K409" s="397">
        <v>0.35199999999999998</v>
      </c>
      <c r="L409" s="397">
        <v>6.0000000000000001E-3</v>
      </c>
      <c r="M409" s="398">
        <v>513.64</v>
      </c>
      <c r="N409" s="398">
        <v>1.39</v>
      </c>
      <c r="O409" s="398">
        <v>1.91</v>
      </c>
      <c r="P409" s="397">
        <v>6.6000000000000003E-2</v>
      </c>
    </row>
    <row r="410" spans="6:16" x14ac:dyDescent="0.25">
      <c r="F410" t="s">
        <v>1011</v>
      </c>
      <c r="H410" t="s">
        <v>147</v>
      </c>
      <c r="J410" s="397">
        <v>3.2170000000000001</v>
      </c>
      <c r="K410" s="397">
        <v>0.35199999999999998</v>
      </c>
      <c r="L410" s="397">
        <v>6.0000000000000001E-3</v>
      </c>
      <c r="M410" s="398">
        <v>1118.42</v>
      </c>
      <c r="N410" s="398">
        <v>1.39</v>
      </c>
      <c r="O410" s="398">
        <v>1.91</v>
      </c>
      <c r="P410" s="397">
        <v>6.6000000000000003E-2</v>
      </c>
    </row>
    <row r="411" spans="6:16" x14ac:dyDescent="0.25">
      <c r="F411" t="s">
        <v>1012</v>
      </c>
      <c r="H411" t="s">
        <v>147</v>
      </c>
      <c r="J411" s="397">
        <v>3.089</v>
      </c>
      <c r="K411" s="397">
        <v>0.27800000000000002</v>
      </c>
      <c r="L411" s="397">
        <v>4.0000000000000001E-3</v>
      </c>
      <c r="M411" s="398">
        <v>0</v>
      </c>
      <c r="N411" s="398">
        <v>4.17</v>
      </c>
      <c r="O411" s="398">
        <v>4.67</v>
      </c>
      <c r="P411" s="397">
        <v>5.6000000000000001E-2</v>
      </c>
    </row>
    <row r="412" spans="6:16" x14ac:dyDescent="0.25">
      <c r="F412" t="s">
        <v>1013</v>
      </c>
      <c r="H412" t="s">
        <v>147</v>
      </c>
      <c r="J412" s="397">
        <v>3.089</v>
      </c>
      <c r="K412" s="397">
        <v>0.27800000000000002</v>
      </c>
      <c r="L412" s="397">
        <v>4.0000000000000001E-3</v>
      </c>
      <c r="M412" s="398">
        <v>294.05</v>
      </c>
      <c r="N412" s="398">
        <v>4.17</v>
      </c>
      <c r="O412" s="398">
        <v>4.67</v>
      </c>
      <c r="P412" s="397">
        <v>5.6000000000000001E-2</v>
      </c>
    </row>
    <row r="413" spans="6:16" x14ac:dyDescent="0.25">
      <c r="F413" t="s">
        <v>1014</v>
      </c>
      <c r="H413" t="s">
        <v>147</v>
      </c>
      <c r="J413" s="397">
        <v>3.089</v>
      </c>
      <c r="K413" s="397">
        <v>0.27800000000000002</v>
      </c>
      <c r="L413" s="397">
        <v>4.0000000000000001E-3</v>
      </c>
      <c r="M413" s="398">
        <v>513.83000000000004</v>
      </c>
      <c r="N413" s="398">
        <v>4.17</v>
      </c>
      <c r="O413" s="398">
        <v>4.67</v>
      </c>
      <c r="P413" s="397">
        <v>5.6000000000000001E-2</v>
      </c>
    </row>
    <row r="414" spans="6:16" x14ac:dyDescent="0.25">
      <c r="F414" t="s">
        <v>1015</v>
      </c>
      <c r="H414" t="s">
        <v>147</v>
      </c>
      <c r="J414" s="397">
        <v>3.089</v>
      </c>
      <c r="K414" s="397">
        <v>0.27800000000000002</v>
      </c>
      <c r="L414" s="397">
        <v>4.0000000000000001E-3</v>
      </c>
      <c r="M414" s="398">
        <v>866.46</v>
      </c>
      <c r="N414" s="398">
        <v>4.17</v>
      </c>
      <c r="O414" s="398">
        <v>4.67</v>
      </c>
      <c r="P414" s="397">
        <v>5.6000000000000001E-2</v>
      </c>
    </row>
    <row r="415" spans="6:16" x14ac:dyDescent="0.25">
      <c r="F415" t="s">
        <v>1016</v>
      </c>
      <c r="H415" t="s">
        <v>147</v>
      </c>
      <c r="J415" s="397">
        <v>3.089</v>
      </c>
      <c r="K415" s="397">
        <v>0.27800000000000002</v>
      </c>
      <c r="L415" s="397">
        <v>4.0000000000000001E-3</v>
      </c>
      <c r="M415" s="398">
        <v>1886.66</v>
      </c>
      <c r="N415" s="398">
        <v>4.17</v>
      </c>
      <c r="O415" s="398">
        <v>4.67</v>
      </c>
      <c r="P415" s="397">
        <v>5.6000000000000001E-2</v>
      </c>
    </row>
    <row r="416" spans="6:16" x14ac:dyDescent="0.25">
      <c r="F416" t="s">
        <v>1017</v>
      </c>
      <c r="H416" t="s">
        <v>147</v>
      </c>
      <c r="J416" s="397">
        <v>2.4390000000000001</v>
      </c>
      <c r="K416" s="397">
        <v>0.19400000000000001</v>
      </c>
      <c r="L416" s="397">
        <v>3.0000000000000001E-3</v>
      </c>
      <c r="M416" s="398">
        <v>0</v>
      </c>
      <c r="N416" s="398">
        <v>5.32</v>
      </c>
      <c r="O416" s="398">
        <v>6.38</v>
      </c>
      <c r="P416" s="397">
        <v>0.04</v>
      </c>
    </row>
    <row r="417" spans="3:19" x14ac:dyDescent="0.25">
      <c r="F417" t="s">
        <v>1018</v>
      </c>
      <c r="H417" t="s">
        <v>147</v>
      </c>
      <c r="J417" s="397">
        <v>2.4390000000000001</v>
      </c>
      <c r="K417" s="397">
        <v>0.19400000000000001</v>
      </c>
      <c r="L417" s="397">
        <v>3.0000000000000001E-3</v>
      </c>
      <c r="M417" s="398">
        <v>1686.27</v>
      </c>
      <c r="N417" s="398">
        <v>5.32</v>
      </c>
      <c r="O417" s="398">
        <v>6.38</v>
      </c>
      <c r="P417" s="397">
        <v>0.04</v>
      </c>
    </row>
    <row r="418" spans="3:19" x14ac:dyDescent="0.25">
      <c r="F418" t="s">
        <v>1019</v>
      </c>
      <c r="H418" t="s">
        <v>147</v>
      </c>
      <c r="J418" s="397">
        <v>2.4390000000000001</v>
      </c>
      <c r="K418" s="397">
        <v>0.19400000000000001</v>
      </c>
      <c r="L418" s="397">
        <v>3.0000000000000001E-3</v>
      </c>
      <c r="M418" s="398">
        <v>5113.1400000000003</v>
      </c>
      <c r="N418" s="398">
        <v>5.32</v>
      </c>
      <c r="O418" s="398">
        <v>6.38</v>
      </c>
      <c r="P418" s="397">
        <v>0.04</v>
      </c>
    </row>
    <row r="419" spans="3:19" x14ac:dyDescent="0.25">
      <c r="F419" t="s">
        <v>1020</v>
      </c>
      <c r="H419" t="s">
        <v>147</v>
      </c>
      <c r="J419" s="397">
        <v>2.4390000000000001</v>
      </c>
      <c r="K419" s="397">
        <v>0.19400000000000001</v>
      </c>
      <c r="L419" s="397">
        <v>3.0000000000000001E-3</v>
      </c>
      <c r="M419" s="398">
        <v>10423.030000000001</v>
      </c>
      <c r="N419" s="398">
        <v>5.32</v>
      </c>
      <c r="O419" s="398">
        <v>6.38</v>
      </c>
      <c r="P419" s="397">
        <v>0.04</v>
      </c>
    </row>
    <row r="420" spans="3:19" x14ac:dyDescent="0.25">
      <c r="F420" t="s">
        <v>1021</v>
      </c>
      <c r="H420" t="s">
        <v>147</v>
      </c>
      <c r="J420" s="397">
        <v>2.4390000000000001</v>
      </c>
      <c r="K420" s="397">
        <v>0.19400000000000001</v>
      </c>
      <c r="L420" s="397">
        <v>3.0000000000000001E-3</v>
      </c>
      <c r="M420" s="398">
        <v>27644.98</v>
      </c>
      <c r="N420" s="398">
        <v>5.32</v>
      </c>
      <c r="O420" s="398">
        <v>6.38</v>
      </c>
      <c r="P420" s="397">
        <v>0.04</v>
      </c>
    </row>
    <row r="421" spans="3:19" x14ac:dyDescent="0.25">
      <c r="F421" t="s">
        <v>932</v>
      </c>
      <c r="H421" t="s">
        <v>147</v>
      </c>
      <c r="J421" s="397">
        <v>10.68</v>
      </c>
      <c r="K421" s="397">
        <v>1.038</v>
      </c>
      <c r="L421" s="397">
        <v>0.63500000000000001</v>
      </c>
      <c r="M421" s="398">
        <v>0</v>
      </c>
      <c r="N421" s="398">
        <v>0</v>
      </c>
      <c r="O421" s="398">
        <v>0</v>
      </c>
      <c r="P421" s="397">
        <v>0</v>
      </c>
    </row>
    <row r="422" spans="3:19" x14ac:dyDescent="0.25">
      <c r="F422" t="s">
        <v>933</v>
      </c>
      <c r="H422" t="s">
        <v>147</v>
      </c>
      <c r="J422" s="397">
        <v>-7.407</v>
      </c>
      <c r="K422" s="397">
        <v>-0.85599999999999998</v>
      </c>
      <c r="L422" s="397">
        <v>-1.4999999999999999E-2</v>
      </c>
      <c r="M422" s="398">
        <v>0</v>
      </c>
      <c r="N422" s="398">
        <v>0</v>
      </c>
      <c r="O422" s="398">
        <v>0</v>
      </c>
      <c r="P422" s="397">
        <v>0</v>
      </c>
    </row>
    <row r="423" spans="3:19" x14ac:dyDescent="0.25">
      <c r="F423" t="s">
        <v>934</v>
      </c>
      <c r="H423" t="s">
        <v>147</v>
      </c>
      <c r="J423" s="397">
        <v>-6.4349999999999996</v>
      </c>
      <c r="K423" s="397">
        <v>-0.72299999999999998</v>
      </c>
      <c r="L423" s="397">
        <v>-1.2999999999999999E-2</v>
      </c>
      <c r="M423" s="398">
        <v>0</v>
      </c>
      <c r="N423" s="398">
        <v>0</v>
      </c>
      <c r="O423" s="398">
        <v>0</v>
      </c>
      <c r="P423" s="397">
        <v>0</v>
      </c>
    </row>
    <row r="424" spans="3:19" x14ac:dyDescent="0.25">
      <c r="F424" t="s">
        <v>935</v>
      </c>
      <c r="H424" t="s">
        <v>147</v>
      </c>
      <c r="J424" s="397">
        <v>-7.407</v>
      </c>
      <c r="K424" s="397">
        <v>-0.85599999999999998</v>
      </c>
      <c r="L424" s="397">
        <v>-1.4999999999999999E-2</v>
      </c>
      <c r="M424" s="398">
        <v>0</v>
      </c>
      <c r="N424" s="398">
        <v>0</v>
      </c>
      <c r="O424" s="398">
        <v>0</v>
      </c>
      <c r="P424" s="397">
        <v>0.155</v>
      </c>
    </row>
    <row r="425" spans="3:19" x14ac:dyDescent="0.25">
      <c r="F425" t="s">
        <v>936</v>
      </c>
      <c r="H425" t="s">
        <v>147</v>
      </c>
      <c r="J425" s="399">
        <v>0</v>
      </c>
      <c r="K425" s="399">
        <v>0</v>
      </c>
      <c r="L425" s="399">
        <v>0</v>
      </c>
      <c r="M425" s="400">
        <v>0</v>
      </c>
      <c r="N425" s="400">
        <v>0</v>
      </c>
      <c r="O425" s="400">
        <v>0</v>
      </c>
      <c r="P425" s="399">
        <v>0</v>
      </c>
    </row>
    <row r="426" spans="3:19" x14ac:dyDescent="0.25">
      <c r="F426" t="s">
        <v>937</v>
      </c>
      <c r="H426" t="s">
        <v>147</v>
      </c>
      <c r="J426" s="397">
        <v>-6.4349999999999996</v>
      </c>
      <c r="K426" s="397">
        <v>-0.72299999999999998</v>
      </c>
      <c r="L426" s="397">
        <v>-1.2999999999999999E-2</v>
      </c>
      <c r="M426" s="398">
        <v>0</v>
      </c>
      <c r="N426" s="398">
        <v>0</v>
      </c>
      <c r="O426" s="398">
        <v>0</v>
      </c>
      <c r="P426" s="397">
        <v>0.13400000000000001</v>
      </c>
    </row>
    <row r="427" spans="3:19" x14ac:dyDescent="0.25">
      <c r="F427" t="s">
        <v>938</v>
      </c>
      <c r="H427" t="s">
        <v>147</v>
      </c>
      <c r="J427" s="399">
        <v>0</v>
      </c>
      <c r="K427" s="399">
        <v>0</v>
      </c>
      <c r="L427" s="399">
        <v>0</v>
      </c>
      <c r="M427" s="400">
        <v>0</v>
      </c>
      <c r="N427" s="400">
        <v>0</v>
      </c>
      <c r="O427" s="400">
        <v>0</v>
      </c>
      <c r="P427" s="399">
        <v>0</v>
      </c>
    </row>
    <row r="428" spans="3:19" x14ac:dyDescent="0.25">
      <c r="F428" t="s">
        <v>939</v>
      </c>
      <c r="H428" t="s">
        <v>147</v>
      </c>
      <c r="J428" s="397">
        <v>-3.9359999999999999</v>
      </c>
      <c r="K428" s="397">
        <v>-0.35199999999999998</v>
      </c>
      <c r="L428" s="397">
        <v>-5.0000000000000001E-3</v>
      </c>
      <c r="M428" s="398">
        <v>0</v>
      </c>
      <c r="N428" s="398">
        <v>0</v>
      </c>
      <c r="O428" s="398">
        <v>0</v>
      </c>
      <c r="P428" s="397">
        <v>0.11</v>
      </c>
    </row>
    <row r="429" spans="3:19" x14ac:dyDescent="0.25">
      <c r="F429" s="17" t="s">
        <v>940</v>
      </c>
      <c r="G429" s="17"/>
      <c r="H429" s="17" t="s">
        <v>147</v>
      </c>
      <c r="I429" s="17"/>
      <c r="J429" s="385">
        <v>0</v>
      </c>
      <c r="K429" s="385">
        <v>0</v>
      </c>
      <c r="L429" s="385">
        <v>0</v>
      </c>
      <c r="M429" s="295">
        <v>0</v>
      </c>
      <c r="N429" s="295">
        <v>0</v>
      </c>
      <c r="O429" s="295">
        <v>0</v>
      </c>
      <c r="P429" s="385">
        <v>0</v>
      </c>
    </row>
    <row r="430" spans="3:19" x14ac:dyDescent="0.25">
      <c r="D430" s="52"/>
      <c r="E430" s="52"/>
      <c r="F430" s="52"/>
      <c r="G430" s="52"/>
      <c r="H430" s="52"/>
      <c r="I430" s="52"/>
      <c r="J430" s="386"/>
      <c r="K430" s="386"/>
      <c r="L430" s="386"/>
      <c r="M430" s="185"/>
      <c r="N430" s="185"/>
      <c r="O430" s="185"/>
      <c r="P430" s="386"/>
      <c r="Q430" s="52"/>
      <c r="R430" s="52"/>
      <c r="S430" s="52"/>
    </row>
    <row r="431" spans="3:19" x14ac:dyDescent="0.25">
      <c r="C431" s="5" t="str">
        <f ca="1">INDEX('Version control'!$H$36:$H$62,MATCH($A$1,'Version control'!$F$36:$F$62,0),1)&amp;"-E: Tariff results for charging year " &amp; 'ARP_User control'!G34</f>
        <v>Output 501-E: Tariff results for charging year 2027/28</v>
      </c>
      <c r="D431" s="5"/>
      <c r="E431" s="5"/>
      <c r="F431" s="5"/>
      <c r="G431" s="5"/>
      <c r="H431" s="5"/>
      <c r="I431" s="5"/>
      <c r="J431" s="387"/>
      <c r="K431" s="387"/>
      <c r="L431" s="387"/>
      <c r="M431" s="5"/>
      <c r="N431" s="5"/>
      <c r="O431" s="5"/>
      <c r="P431" s="387"/>
      <c r="Q431" s="5"/>
      <c r="R431" s="5"/>
    </row>
    <row r="432" spans="3:19" x14ac:dyDescent="0.25">
      <c r="D432"/>
      <c r="E432"/>
      <c r="J432" s="388"/>
      <c r="K432" s="388"/>
      <c r="L432" s="388"/>
      <c r="M432" s="183"/>
      <c r="N432" s="183"/>
      <c r="O432" s="183"/>
      <c r="P432" s="388"/>
    </row>
    <row r="433" spans="4:16" x14ac:dyDescent="0.25">
      <c r="D433" s="52"/>
      <c r="E433" s="52" t="str">
        <f>"All the way tariff forecast "&amp; 'ARP_User control'!G34</f>
        <v>All the way tariff forecast 2027/28</v>
      </c>
      <c r="J433" s="388"/>
      <c r="K433" s="388"/>
      <c r="L433" s="388"/>
      <c r="M433" s="183"/>
      <c r="N433" s="183"/>
      <c r="O433" s="183"/>
      <c r="P433" s="388"/>
    </row>
    <row r="434" spans="4:16" x14ac:dyDescent="0.25">
      <c r="F434" s="80" t="s">
        <v>1001</v>
      </c>
      <c r="G434" s="80"/>
      <c r="H434" s="80" t="s">
        <v>261</v>
      </c>
      <c r="I434" s="80"/>
      <c r="J434" s="382">
        <v>9.57</v>
      </c>
      <c r="K434" s="382">
        <v>1.1060000000000001</v>
      </c>
      <c r="L434" s="382">
        <v>0.02</v>
      </c>
      <c r="M434" s="291">
        <v>14.02</v>
      </c>
      <c r="N434" s="291">
        <v>0</v>
      </c>
      <c r="O434" s="291">
        <v>0</v>
      </c>
      <c r="P434" s="382">
        <v>0</v>
      </c>
    </row>
    <row r="435" spans="4:16" x14ac:dyDescent="0.25">
      <c r="F435" t="s">
        <v>926</v>
      </c>
      <c r="H435" t="s">
        <v>261</v>
      </c>
      <c r="J435" s="397">
        <v>9.57</v>
      </c>
      <c r="K435" s="397">
        <v>1.1060000000000001</v>
      </c>
      <c r="L435" s="397">
        <v>0.02</v>
      </c>
      <c r="M435" s="398">
        <v>0</v>
      </c>
      <c r="N435" s="398">
        <v>0</v>
      </c>
      <c r="O435" s="398">
        <v>0</v>
      </c>
      <c r="P435" s="397">
        <v>0</v>
      </c>
    </row>
    <row r="436" spans="4:16" x14ac:dyDescent="0.25">
      <c r="F436" t="s">
        <v>1002</v>
      </c>
      <c r="H436" t="s">
        <v>261</v>
      </c>
      <c r="J436" s="397">
        <v>11.551</v>
      </c>
      <c r="K436" s="397">
        <v>1.335</v>
      </c>
      <c r="L436" s="397">
        <v>2.4E-2</v>
      </c>
      <c r="M436" s="398">
        <v>1.2</v>
      </c>
      <c r="N436" s="398">
        <v>0</v>
      </c>
      <c r="O436" s="398">
        <v>0</v>
      </c>
      <c r="P436" s="397">
        <v>0</v>
      </c>
    </row>
    <row r="437" spans="4:16" x14ac:dyDescent="0.25">
      <c r="F437" t="s">
        <v>1003</v>
      </c>
      <c r="H437" t="s">
        <v>261</v>
      </c>
      <c r="J437" s="397">
        <v>11.551</v>
      </c>
      <c r="K437" s="397">
        <v>1.335</v>
      </c>
      <c r="L437" s="397">
        <v>2.4E-2</v>
      </c>
      <c r="M437" s="398">
        <v>17.399999999999999</v>
      </c>
      <c r="N437" s="398">
        <v>0</v>
      </c>
      <c r="O437" s="398">
        <v>0</v>
      </c>
      <c r="P437" s="397">
        <v>0</v>
      </c>
    </row>
    <row r="438" spans="4:16" x14ac:dyDescent="0.25">
      <c r="F438" t="s">
        <v>1004</v>
      </c>
      <c r="H438" t="s">
        <v>261</v>
      </c>
      <c r="J438" s="397">
        <v>11.551</v>
      </c>
      <c r="K438" s="397">
        <v>1.335</v>
      </c>
      <c r="L438" s="397">
        <v>2.4E-2</v>
      </c>
      <c r="M438" s="398">
        <v>38.43</v>
      </c>
      <c r="N438" s="398">
        <v>0</v>
      </c>
      <c r="O438" s="398">
        <v>0</v>
      </c>
      <c r="P438" s="397">
        <v>0</v>
      </c>
    </row>
    <row r="439" spans="4:16" x14ac:dyDescent="0.25">
      <c r="F439" t="s">
        <v>1005</v>
      </c>
      <c r="H439" t="s">
        <v>261</v>
      </c>
      <c r="J439" s="397">
        <v>11.551</v>
      </c>
      <c r="K439" s="397">
        <v>1.335</v>
      </c>
      <c r="L439" s="397">
        <v>2.4E-2</v>
      </c>
      <c r="M439" s="398">
        <v>81.599999999999994</v>
      </c>
      <c r="N439" s="398">
        <v>0</v>
      </c>
      <c r="O439" s="398">
        <v>0</v>
      </c>
      <c r="P439" s="397">
        <v>0</v>
      </c>
    </row>
    <row r="440" spans="4:16" x14ac:dyDescent="0.25">
      <c r="F440" t="s">
        <v>1006</v>
      </c>
      <c r="H440" t="s">
        <v>261</v>
      </c>
      <c r="J440" s="397">
        <v>11.551</v>
      </c>
      <c r="K440" s="397">
        <v>1.335</v>
      </c>
      <c r="L440" s="397">
        <v>2.4E-2</v>
      </c>
      <c r="M440" s="398">
        <v>237.57</v>
      </c>
      <c r="N440" s="398">
        <v>0</v>
      </c>
      <c r="O440" s="398">
        <v>0</v>
      </c>
      <c r="P440" s="397">
        <v>0</v>
      </c>
    </row>
    <row r="441" spans="4:16" x14ac:dyDescent="0.25">
      <c r="F441" t="s">
        <v>928</v>
      </c>
      <c r="H441" t="s">
        <v>261</v>
      </c>
      <c r="J441" s="397">
        <v>11.551</v>
      </c>
      <c r="K441" s="397">
        <v>1.335</v>
      </c>
      <c r="L441" s="397">
        <v>2.4E-2</v>
      </c>
      <c r="M441" s="398">
        <v>0</v>
      </c>
      <c r="N441" s="398">
        <v>0</v>
      </c>
      <c r="O441" s="398">
        <v>0</v>
      </c>
      <c r="P441" s="397">
        <v>0</v>
      </c>
    </row>
    <row r="442" spans="4:16" x14ac:dyDescent="0.25">
      <c r="F442" t="s">
        <v>1007</v>
      </c>
      <c r="H442" t="s">
        <v>261</v>
      </c>
      <c r="J442" s="397">
        <v>8.3190000000000008</v>
      </c>
      <c r="K442" s="397">
        <v>0.90900000000000003</v>
      </c>
      <c r="L442" s="397">
        <v>1.6E-2</v>
      </c>
      <c r="M442" s="398">
        <v>0</v>
      </c>
      <c r="N442" s="398">
        <v>3.59</v>
      </c>
      <c r="O442" s="398">
        <v>4.95</v>
      </c>
      <c r="P442" s="397">
        <v>0.17199999999999999</v>
      </c>
    </row>
    <row r="443" spans="4:16" x14ac:dyDescent="0.25">
      <c r="F443" t="s">
        <v>1008</v>
      </c>
      <c r="H443" t="s">
        <v>261</v>
      </c>
      <c r="J443" s="397">
        <v>8.3190000000000008</v>
      </c>
      <c r="K443" s="397">
        <v>0.90900000000000003</v>
      </c>
      <c r="L443" s="397">
        <v>1.6E-2</v>
      </c>
      <c r="M443" s="398">
        <v>439</v>
      </c>
      <c r="N443" s="398">
        <v>3.59</v>
      </c>
      <c r="O443" s="398">
        <v>4.95</v>
      </c>
      <c r="P443" s="397">
        <v>0.17199999999999999</v>
      </c>
    </row>
    <row r="444" spans="4:16" x14ac:dyDescent="0.25">
      <c r="F444" t="s">
        <v>1009</v>
      </c>
      <c r="H444" t="s">
        <v>261</v>
      </c>
      <c r="J444" s="397">
        <v>8.3190000000000008</v>
      </c>
      <c r="K444" s="397">
        <v>0.90900000000000003</v>
      </c>
      <c r="L444" s="397">
        <v>1.6E-2</v>
      </c>
      <c r="M444" s="398">
        <v>767.14</v>
      </c>
      <c r="N444" s="398">
        <v>3.59</v>
      </c>
      <c r="O444" s="398">
        <v>4.95</v>
      </c>
      <c r="P444" s="397">
        <v>0.17199999999999999</v>
      </c>
    </row>
    <row r="445" spans="4:16" x14ac:dyDescent="0.25">
      <c r="F445" t="s">
        <v>1010</v>
      </c>
      <c r="H445" t="s">
        <v>261</v>
      </c>
      <c r="J445" s="397">
        <v>8.3190000000000008</v>
      </c>
      <c r="K445" s="397">
        <v>0.90900000000000003</v>
      </c>
      <c r="L445" s="397">
        <v>1.6E-2</v>
      </c>
      <c r="M445" s="398">
        <v>1293.6099999999999</v>
      </c>
      <c r="N445" s="398">
        <v>3.59</v>
      </c>
      <c r="O445" s="398">
        <v>4.95</v>
      </c>
      <c r="P445" s="397">
        <v>0.17199999999999999</v>
      </c>
    </row>
    <row r="446" spans="4:16" x14ac:dyDescent="0.25">
      <c r="F446" t="s">
        <v>1011</v>
      </c>
      <c r="H446" t="s">
        <v>261</v>
      </c>
      <c r="J446" s="397">
        <v>8.3190000000000008</v>
      </c>
      <c r="K446" s="397">
        <v>0.90900000000000003</v>
      </c>
      <c r="L446" s="397">
        <v>1.6E-2</v>
      </c>
      <c r="M446" s="398">
        <v>2816.75</v>
      </c>
      <c r="N446" s="398">
        <v>3.59</v>
      </c>
      <c r="O446" s="398">
        <v>4.95</v>
      </c>
      <c r="P446" s="397">
        <v>0.17199999999999999</v>
      </c>
    </row>
    <row r="447" spans="4:16" x14ac:dyDescent="0.25">
      <c r="F447" t="s">
        <v>1012</v>
      </c>
      <c r="H447" t="s">
        <v>261</v>
      </c>
      <c r="J447" s="397">
        <v>4.7350000000000003</v>
      </c>
      <c r="K447" s="397">
        <v>0.42599999999999999</v>
      </c>
      <c r="L447" s="397">
        <v>7.0000000000000001E-3</v>
      </c>
      <c r="M447" s="398">
        <v>0</v>
      </c>
      <c r="N447" s="398">
        <v>6.39</v>
      </c>
      <c r="O447" s="398">
        <v>7.16</v>
      </c>
      <c r="P447" s="397">
        <v>8.5000000000000006E-2</v>
      </c>
    </row>
    <row r="448" spans="4:16" x14ac:dyDescent="0.25">
      <c r="F448" t="s">
        <v>1013</v>
      </c>
      <c r="H448" t="s">
        <v>261</v>
      </c>
      <c r="J448" s="397">
        <v>4.7350000000000003</v>
      </c>
      <c r="K448" s="397">
        <v>0.42599999999999999</v>
      </c>
      <c r="L448" s="397">
        <v>7.0000000000000001E-3</v>
      </c>
      <c r="M448" s="398">
        <v>439</v>
      </c>
      <c r="N448" s="398">
        <v>6.39</v>
      </c>
      <c r="O448" s="398">
        <v>7.16</v>
      </c>
      <c r="P448" s="397">
        <v>8.5000000000000006E-2</v>
      </c>
    </row>
    <row r="449" spans="6:16" x14ac:dyDescent="0.25">
      <c r="F449" t="s">
        <v>1014</v>
      </c>
      <c r="H449" t="s">
        <v>261</v>
      </c>
      <c r="J449" s="397">
        <v>4.7350000000000003</v>
      </c>
      <c r="K449" s="397">
        <v>0.42599999999999999</v>
      </c>
      <c r="L449" s="397">
        <v>7.0000000000000001E-3</v>
      </c>
      <c r="M449" s="398">
        <v>767.14</v>
      </c>
      <c r="N449" s="398">
        <v>6.39</v>
      </c>
      <c r="O449" s="398">
        <v>7.16</v>
      </c>
      <c r="P449" s="397">
        <v>8.5000000000000006E-2</v>
      </c>
    </row>
    <row r="450" spans="6:16" x14ac:dyDescent="0.25">
      <c r="F450" t="s">
        <v>1015</v>
      </c>
      <c r="H450" t="s">
        <v>261</v>
      </c>
      <c r="J450" s="397">
        <v>4.7350000000000003</v>
      </c>
      <c r="K450" s="397">
        <v>0.42599999999999999</v>
      </c>
      <c r="L450" s="397">
        <v>7.0000000000000001E-3</v>
      </c>
      <c r="M450" s="398">
        <v>1293.6099999999999</v>
      </c>
      <c r="N450" s="398">
        <v>6.39</v>
      </c>
      <c r="O450" s="398">
        <v>7.16</v>
      </c>
      <c r="P450" s="397">
        <v>8.5000000000000006E-2</v>
      </c>
    </row>
    <row r="451" spans="6:16" x14ac:dyDescent="0.25">
      <c r="F451" t="s">
        <v>1016</v>
      </c>
      <c r="H451" t="s">
        <v>261</v>
      </c>
      <c r="J451" s="397">
        <v>4.7350000000000003</v>
      </c>
      <c r="K451" s="397">
        <v>0.42599999999999999</v>
      </c>
      <c r="L451" s="397">
        <v>7.0000000000000001E-3</v>
      </c>
      <c r="M451" s="398">
        <v>2816.75</v>
      </c>
      <c r="N451" s="398">
        <v>6.39</v>
      </c>
      <c r="O451" s="398">
        <v>7.16</v>
      </c>
      <c r="P451" s="397">
        <v>8.5000000000000006E-2</v>
      </c>
    </row>
    <row r="452" spans="6:16" x14ac:dyDescent="0.25">
      <c r="F452" t="s">
        <v>1017</v>
      </c>
      <c r="H452" t="s">
        <v>261</v>
      </c>
      <c r="J452" s="397">
        <v>3.258</v>
      </c>
      <c r="K452" s="397">
        <v>0.25900000000000001</v>
      </c>
      <c r="L452" s="397">
        <v>4.0000000000000001E-3</v>
      </c>
      <c r="M452" s="398">
        <v>0</v>
      </c>
      <c r="N452" s="398">
        <v>7.11</v>
      </c>
      <c r="O452" s="398">
        <v>8.52</v>
      </c>
      <c r="P452" s="397">
        <v>5.3999999999999999E-2</v>
      </c>
    </row>
    <row r="453" spans="6:16" x14ac:dyDescent="0.25">
      <c r="F453" t="s">
        <v>1018</v>
      </c>
      <c r="H453" t="s">
        <v>261</v>
      </c>
      <c r="J453" s="397">
        <v>3.258</v>
      </c>
      <c r="K453" s="397">
        <v>0.25900000000000001</v>
      </c>
      <c r="L453" s="397">
        <v>4.0000000000000001E-3</v>
      </c>
      <c r="M453" s="398">
        <v>2194.27</v>
      </c>
      <c r="N453" s="398">
        <v>7.11</v>
      </c>
      <c r="O453" s="398">
        <v>8.52</v>
      </c>
      <c r="P453" s="397">
        <v>5.3999999999999999E-2</v>
      </c>
    </row>
    <row r="454" spans="6:16" x14ac:dyDescent="0.25">
      <c r="F454" t="s">
        <v>1019</v>
      </c>
      <c r="H454" t="s">
        <v>261</v>
      </c>
      <c r="J454" s="397">
        <v>3.258</v>
      </c>
      <c r="K454" s="397">
        <v>0.25900000000000001</v>
      </c>
      <c r="L454" s="397">
        <v>4.0000000000000001E-3</v>
      </c>
      <c r="M454" s="398">
        <v>6653.52</v>
      </c>
      <c r="N454" s="398">
        <v>7.11</v>
      </c>
      <c r="O454" s="398">
        <v>8.52</v>
      </c>
      <c r="P454" s="397">
        <v>5.3999999999999999E-2</v>
      </c>
    </row>
    <row r="455" spans="6:16" x14ac:dyDescent="0.25">
      <c r="F455" t="s">
        <v>1020</v>
      </c>
      <c r="H455" t="s">
        <v>261</v>
      </c>
      <c r="J455" s="397">
        <v>3.258</v>
      </c>
      <c r="K455" s="397">
        <v>0.25900000000000001</v>
      </c>
      <c r="L455" s="397">
        <v>4.0000000000000001E-3</v>
      </c>
      <c r="M455" s="398">
        <v>13563.05</v>
      </c>
      <c r="N455" s="398">
        <v>7.11</v>
      </c>
      <c r="O455" s="398">
        <v>8.52</v>
      </c>
      <c r="P455" s="397">
        <v>5.3999999999999999E-2</v>
      </c>
    </row>
    <row r="456" spans="6:16" x14ac:dyDescent="0.25">
      <c r="F456" t="s">
        <v>1021</v>
      </c>
      <c r="H456" t="s">
        <v>261</v>
      </c>
      <c r="J456" s="397">
        <v>3.258</v>
      </c>
      <c r="K456" s="397">
        <v>0.25900000000000001</v>
      </c>
      <c r="L456" s="397">
        <v>4.0000000000000001E-3</v>
      </c>
      <c r="M456" s="398">
        <v>35973.279999999999</v>
      </c>
      <c r="N456" s="398">
        <v>7.11</v>
      </c>
      <c r="O456" s="398">
        <v>8.52</v>
      </c>
      <c r="P456" s="397">
        <v>5.3999999999999999E-2</v>
      </c>
    </row>
    <row r="457" spans="6:16" x14ac:dyDescent="0.25">
      <c r="F457" t="s">
        <v>932</v>
      </c>
      <c r="H457" t="s">
        <v>261</v>
      </c>
      <c r="J457" s="397">
        <v>27.577999999999999</v>
      </c>
      <c r="K457" s="397">
        <v>2.669</v>
      </c>
      <c r="L457" s="397">
        <v>1.6040000000000001</v>
      </c>
      <c r="M457" s="398">
        <v>0</v>
      </c>
      <c r="N457" s="398">
        <v>0</v>
      </c>
      <c r="O457" s="398">
        <v>0</v>
      </c>
      <c r="P457" s="397">
        <v>0</v>
      </c>
    </row>
    <row r="458" spans="6:16" x14ac:dyDescent="0.25">
      <c r="F458" t="s">
        <v>933</v>
      </c>
      <c r="H458" t="s">
        <v>261</v>
      </c>
      <c r="J458" s="397">
        <v>-7.5190000000000001</v>
      </c>
      <c r="K458" s="397">
        <v>-0.86899999999999999</v>
      </c>
      <c r="L458" s="397">
        <v>-1.6E-2</v>
      </c>
      <c r="M458" s="398">
        <v>0</v>
      </c>
      <c r="N458" s="398">
        <v>0</v>
      </c>
      <c r="O458" s="398">
        <v>0</v>
      </c>
      <c r="P458" s="397">
        <v>0</v>
      </c>
    </row>
    <row r="459" spans="6:16" x14ac:dyDescent="0.25">
      <c r="F459" t="s">
        <v>934</v>
      </c>
      <c r="H459" t="s">
        <v>261</v>
      </c>
      <c r="J459" s="397">
        <v>-6.532</v>
      </c>
      <c r="K459" s="397">
        <v>-0.73399999999999999</v>
      </c>
      <c r="L459" s="397">
        <v>-1.2999999999999999E-2</v>
      </c>
      <c r="M459" s="398">
        <v>0</v>
      </c>
      <c r="N459" s="398">
        <v>0</v>
      </c>
      <c r="O459" s="398">
        <v>0</v>
      </c>
      <c r="P459" s="397">
        <v>0</v>
      </c>
    </row>
    <row r="460" spans="6:16" x14ac:dyDescent="0.25">
      <c r="F460" t="s">
        <v>935</v>
      </c>
      <c r="H460" t="s">
        <v>261</v>
      </c>
      <c r="J460" s="397">
        <v>-7.5190000000000001</v>
      </c>
      <c r="K460" s="397">
        <v>-0.86899999999999999</v>
      </c>
      <c r="L460" s="397">
        <v>-1.6E-2</v>
      </c>
      <c r="M460" s="398">
        <v>0</v>
      </c>
      <c r="N460" s="398">
        <v>0</v>
      </c>
      <c r="O460" s="398">
        <v>0</v>
      </c>
      <c r="P460" s="397">
        <v>0.158</v>
      </c>
    </row>
    <row r="461" spans="6:16" x14ac:dyDescent="0.25">
      <c r="F461" t="s">
        <v>936</v>
      </c>
      <c r="H461" t="s">
        <v>261</v>
      </c>
      <c r="J461" s="397">
        <v>-7.5190000000000001</v>
      </c>
      <c r="K461" s="397">
        <v>-0.86899999999999999</v>
      </c>
      <c r="L461" s="397">
        <v>-1.6E-2</v>
      </c>
      <c r="M461" s="398">
        <v>0</v>
      </c>
      <c r="N461" s="398">
        <v>0</v>
      </c>
      <c r="O461" s="398">
        <v>0</v>
      </c>
      <c r="P461" s="397">
        <v>0</v>
      </c>
    </row>
    <row r="462" spans="6:16" x14ac:dyDescent="0.25">
      <c r="F462" t="s">
        <v>937</v>
      </c>
      <c r="H462" t="s">
        <v>261</v>
      </c>
      <c r="J462" s="397">
        <v>-6.532</v>
      </c>
      <c r="K462" s="397">
        <v>-0.73399999999999999</v>
      </c>
      <c r="L462" s="397">
        <v>-1.2999999999999999E-2</v>
      </c>
      <c r="M462" s="398">
        <v>0</v>
      </c>
      <c r="N462" s="398">
        <v>0</v>
      </c>
      <c r="O462" s="398">
        <v>0</v>
      </c>
      <c r="P462" s="397">
        <v>0.13600000000000001</v>
      </c>
    </row>
    <row r="463" spans="6:16" x14ac:dyDescent="0.25">
      <c r="F463" t="s">
        <v>938</v>
      </c>
      <c r="H463" t="s">
        <v>261</v>
      </c>
      <c r="J463" s="397">
        <v>-6.532</v>
      </c>
      <c r="K463" s="397">
        <v>-0.73399999999999999</v>
      </c>
      <c r="L463" s="397">
        <v>-1.2999999999999999E-2</v>
      </c>
      <c r="M463" s="398">
        <v>0</v>
      </c>
      <c r="N463" s="398">
        <v>0</v>
      </c>
      <c r="O463" s="398">
        <v>0</v>
      </c>
      <c r="P463" s="397">
        <v>0</v>
      </c>
    </row>
    <row r="464" spans="6:16" x14ac:dyDescent="0.25">
      <c r="F464" t="s">
        <v>939</v>
      </c>
      <c r="H464" t="s">
        <v>261</v>
      </c>
      <c r="J464" s="397">
        <v>-3.996</v>
      </c>
      <c r="K464" s="397">
        <v>-0.35799999999999998</v>
      </c>
      <c r="L464" s="397">
        <v>-5.0000000000000001E-3</v>
      </c>
      <c r="M464" s="398">
        <v>0</v>
      </c>
      <c r="N464" s="398">
        <v>0</v>
      </c>
      <c r="O464" s="398">
        <v>0</v>
      </c>
      <c r="P464" s="397">
        <v>0.112</v>
      </c>
    </row>
    <row r="465" spans="4:16" x14ac:dyDescent="0.25">
      <c r="F465" s="17" t="s">
        <v>940</v>
      </c>
      <c r="G465" s="17"/>
      <c r="H465" s="17" t="s">
        <v>261</v>
      </c>
      <c r="I465" s="17"/>
      <c r="J465" s="383">
        <v>-3.996</v>
      </c>
      <c r="K465" s="383">
        <v>-0.35799999999999998</v>
      </c>
      <c r="L465" s="383">
        <v>-5.0000000000000001E-3</v>
      </c>
      <c r="M465" s="293">
        <v>0</v>
      </c>
      <c r="N465" s="293">
        <v>0</v>
      </c>
      <c r="O465" s="293">
        <v>0</v>
      </c>
      <c r="P465" s="383">
        <v>0</v>
      </c>
    </row>
    <row r="466" spans="4:16" x14ac:dyDescent="0.25">
      <c r="F466" s="84"/>
      <c r="J466" s="294"/>
      <c r="K466" s="294"/>
      <c r="L466" s="294"/>
      <c r="M466" s="294"/>
      <c r="N466" s="294"/>
      <c r="O466" s="294"/>
      <c r="P466" s="384"/>
    </row>
    <row r="467" spans="4:16" x14ac:dyDescent="0.25">
      <c r="D467" s="52"/>
      <c r="E467" s="52" t="str">
        <f>"LDNO LV tariff forecast "&amp; 'ARP_User control'!G34</f>
        <v>LDNO LV tariff forecast 2027/28</v>
      </c>
      <c r="F467" s="84"/>
      <c r="J467" s="294"/>
      <c r="K467" s="294"/>
      <c r="L467" s="294"/>
      <c r="M467" s="294"/>
      <c r="N467" s="294"/>
      <c r="O467" s="294"/>
      <c r="P467" s="384"/>
    </row>
    <row r="468" spans="4:16" x14ac:dyDescent="0.25">
      <c r="F468" s="80" t="s">
        <v>1001</v>
      </c>
      <c r="G468" s="80"/>
      <c r="H468" s="80" t="s">
        <v>146</v>
      </c>
      <c r="I468" s="80"/>
      <c r="J468" s="382">
        <v>5.6820000000000004</v>
      </c>
      <c r="K468" s="382">
        <v>0.65700000000000003</v>
      </c>
      <c r="L468" s="382">
        <v>1.2E-2</v>
      </c>
      <c r="M468" s="291">
        <v>8.32</v>
      </c>
      <c r="N468" s="291">
        <v>0</v>
      </c>
      <c r="O468" s="291">
        <v>0</v>
      </c>
      <c r="P468" s="382">
        <v>0</v>
      </c>
    </row>
    <row r="469" spans="4:16" x14ac:dyDescent="0.25">
      <c r="F469" t="s">
        <v>926</v>
      </c>
      <c r="H469" t="s">
        <v>146</v>
      </c>
      <c r="J469" s="397">
        <v>5.6820000000000004</v>
      </c>
      <c r="K469" s="397">
        <v>0.65700000000000003</v>
      </c>
      <c r="L469" s="397">
        <v>1.2E-2</v>
      </c>
      <c r="M469" s="398">
        <v>0</v>
      </c>
      <c r="N469" s="398">
        <v>0</v>
      </c>
      <c r="O469" s="398">
        <v>0</v>
      </c>
      <c r="P469" s="397">
        <v>0</v>
      </c>
    </row>
    <row r="470" spans="4:16" x14ac:dyDescent="0.25">
      <c r="F470" t="s">
        <v>1002</v>
      </c>
      <c r="H470" t="s">
        <v>146</v>
      </c>
      <c r="J470" s="397">
        <v>6.8579999999999997</v>
      </c>
      <c r="K470" s="397">
        <v>0.79300000000000004</v>
      </c>
      <c r="L470" s="397">
        <v>1.4E-2</v>
      </c>
      <c r="M470" s="398">
        <v>0.71</v>
      </c>
      <c r="N470" s="398">
        <v>0</v>
      </c>
      <c r="O470" s="398">
        <v>0</v>
      </c>
      <c r="P470" s="397">
        <v>0</v>
      </c>
    </row>
    <row r="471" spans="4:16" x14ac:dyDescent="0.25">
      <c r="F471" t="s">
        <v>1003</v>
      </c>
      <c r="H471" t="s">
        <v>146</v>
      </c>
      <c r="J471" s="397">
        <v>6.8579999999999997</v>
      </c>
      <c r="K471" s="397">
        <v>0.79300000000000004</v>
      </c>
      <c r="L471" s="397">
        <v>1.4E-2</v>
      </c>
      <c r="M471" s="398">
        <v>10.33</v>
      </c>
      <c r="N471" s="398">
        <v>0</v>
      </c>
      <c r="O471" s="398">
        <v>0</v>
      </c>
      <c r="P471" s="397">
        <v>0</v>
      </c>
    </row>
    <row r="472" spans="4:16" x14ac:dyDescent="0.25">
      <c r="F472" t="s">
        <v>1004</v>
      </c>
      <c r="H472" t="s">
        <v>146</v>
      </c>
      <c r="J472" s="397">
        <v>6.8579999999999997</v>
      </c>
      <c r="K472" s="397">
        <v>0.79300000000000004</v>
      </c>
      <c r="L472" s="397">
        <v>1.4E-2</v>
      </c>
      <c r="M472" s="398">
        <v>22.82</v>
      </c>
      <c r="N472" s="398">
        <v>0</v>
      </c>
      <c r="O472" s="398">
        <v>0</v>
      </c>
      <c r="P472" s="397">
        <v>0</v>
      </c>
    </row>
    <row r="473" spans="4:16" x14ac:dyDescent="0.25">
      <c r="F473" t="s">
        <v>1005</v>
      </c>
      <c r="H473" t="s">
        <v>146</v>
      </c>
      <c r="J473" s="397">
        <v>6.8579999999999997</v>
      </c>
      <c r="K473" s="397">
        <v>0.79300000000000004</v>
      </c>
      <c r="L473" s="397">
        <v>1.4E-2</v>
      </c>
      <c r="M473" s="398">
        <v>48.45</v>
      </c>
      <c r="N473" s="398">
        <v>0</v>
      </c>
      <c r="O473" s="398">
        <v>0</v>
      </c>
      <c r="P473" s="397">
        <v>0</v>
      </c>
    </row>
    <row r="474" spans="4:16" x14ac:dyDescent="0.25">
      <c r="F474" t="s">
        <v>1006</v>
      </c>
      <c r="H474" t="s">
        <v>146</v>
      </c>
      <c r="J474" s="397">
        <v>6.8579999999999997</v>
      </c>
      <c r="K474" s="397">
        <v>0.79300000000000004</v>
      </c>
      <c r="L474" s="397">
        <v>1.4E-2</v>
      </c>
      <c r="M474" s="398">
        <v>141.06</v>
      </c>
      <c r="N474" s="398">
        <v>0</v>
      </c>
      <c r="O474" s="398">
        <v>0</v>
      </c>
      <c r="P474" s="397">
        <v>0</v>
      </c>
    </row>
    <row r="475" spans="4:16" x14ac:dyDescent="0.25">
      <c r="F475" t="s">
        <v>928</v>
      </c>
      <c r="H475" t="s">
        <v>146</v>
      </c>
      <c r="J475" s="397">
        <v>6.8579999999999997</v>
      </c>
      <c r="K475" s="397">
        <v>0.79300000000000004</v>
      </c>
      <c r="L475" s="397">
        <v>1.4E-2</v>
      </c>
      <c r="M475" s="398">
        <v>0</v>
      </c>
      <c r="N475" s="398">
        <v>0</v>
      </c>
      <c r="O475" s="398">
        <v>0</v>
      </c>
      <c r="P475" s="397">
        <v>0</v>
      </c>
    </row>
    <row r="476" spans="4:16" x14ac:dyDescent="0.25">
      <c r="F476" t="s">
        <v>1007</v>
      </c>
      <c r="H476" t="s">
        <v>146</v>
      </c>
      <c r="J476" s="397">
        <v>4.9400000000000004</v>
      </c>
      <c r="K476" s="397">
        <v>0.54</v>
      </c>
      <c r="L476" s="397">
        <v>8.9999999999999993E-3</v>
      </c>
      <c r="M476" s="398">
        <v>0</v>
      </c>
      <c r="N476" s="398">
        <v>2.13</v>
      </c>
      <c r="O476" s="398">
        <v>2.94</v>
      </c>
      <c r="P476" s="397">
        <v>0.10199999999999999</v>
      </c>
    </row>
    <row r="477" spans="4:16" x14ac:dyDescent="0.25">
      <c r="F477" t="s">
        <v>1008</v>
      </c>
      <c r="H477" t="s">
        <v>146</v>
      </c>
      <c r="J477" s="397">
        <v>4.9400000000000004</v>
      </c>
      <c r="K477" s="397">
        <v>0.54</v>
      </c>
      <c r="L477" s="397">
        <v>8.9999999999999993E-3</v>
      </c>
      <c r="M477" s="398">
        <v>260.66000000000003</v>
      </c>
      <c r="N477" s="398">
        <v>2.13</v>
      </c>
      <c r="O477" s="398">
        <v>2.94</v>
      </c>
      <c r="P477" s="397">
        <v>0.10199999999999999</v>
      </c>
    </row>
    <row r="478" spans="4:16" x14ac:dyDescent="0.25">
      <c r="F478" t="s">
        <v>1009</v>
      </c>
      <c r="H478" t="s">
        <v>146</v>
      </c>
      <c r="J478" s="397">
        <v>4.9400000000000004</v>
      </c>
      <c r="K478" s="397">
        <v>0.54</v>
      </c>
      <c r="L478" s="397">
        <v>8.9999999999999993E-3</v>
      </c>
      <c r="M478" s="398">
        <v>455.5</v>
      </c>
      <c r="N478" s="398">
        <v>2.13</v>
      </c>
      <c r="O478" s="398">
        <v>2.94</v>
      </c>
      <c r="P478" s="397">
        <v>0.10199999999999999</v>
      </c>
    </row>
    <row r="479" spans="4:16" x14ac:dyDescent="0.25">
      <c r="F479" t="s">
        <v>1010</v>
      </c>
      <c r="H479" t="s">
        <v>146</v>
      </c>
      <c r="J479" s="397">
        <v>4.9400000000000004</v>
      </c>
      <c r="K479" s="397">
        <v>0.54</v>
      </c>
      <c r="L479" s="397">
        <v>8.9999999999999993E-3</v>
      </c>
      <c r="M479" s="398">
        <v>768.09</v>
      </c>
      <c r="N479" s="398">
        <v>2.13</v>
      </c>
      <c r="O479" s="398">
        <v>2.94</v>
      </c>
      <c r="P479" s="397">
        <v>0.10199999999999999</v>
      </c>
    </row>
    <row r="480" spans="4:16" x14ac:dyDescent="0.25">
      <c r="F480" t="s">
        <v>1011</v>
      </c>
      <c r="H480" t="s">
        <v>146</v>
      </c>
      <c r="J480" s="397">
        <v>4.9400000000000004</v>
      </c>
      <c r="K480" s="397">
        <v>0.54</v>
      </c>
      <c r="L480" s="397">
        <v>8.9999999999999993E-3</v>
      </c>
      <c r="M480" s="398">
        <v>1672.46</v>
      </c>
      <c r="N480" s="398">
        <v>2.13</v>
      </c>
      <c r="O480" s="398">
        <v>2.94</v>
      </c>
      <c r="P480" s="397">
        <v>0.10199999999999999</v>
      </c>
    </row>
    <row r="481" spans="6:16" x14ac:dyDescent="0.25">
      <c r="F481" t="s">
        <v>1012</v>
      </c>
      <c r="H481" t="s">
        <v>146</v>
      </c>
      <c r="J481" s="399">
        <v>0</v>
      </c>
      <c r="K481" s="399">
        <v>0</v>
      </c>
      <c r="L481" s="399">
        <v>0</v>
      </c>
      <c r="M481" s="400">
        <v>0</v>
      </c>
      <c r="N481" s="400">
        <v>0</v>
      </c>
      <c r="O481" s="400">
        <v>0</v>
      </c>
      <c r="P481" s="399">
        <v>0</v>
      </c>
    </row>
    <row r="482" spans="6:16" x14ac:dyDescent="0.25">
      <c r="F482" t="s">
        <v>1013</v>
      </c>
      <c r="H482" t="s">
        <v>146</v>
      </c>
      <c r="J482" s="399">
        <v>0</v>
      </c>
      <c r="K482" s="399">
        <v>0</v>
      </c>
      <c r="L482" s="399">
        <v>0</v>
      </c>
      <c r="M482" s="400">
        <v>0</v>
      </c>
      <c r="N482" s="400">
        <v>0</v>
      </c>
      <c r="O482" s="400">
        <v>0</v>
      </c>
      <c r="P482" s="399">
        <v>0</v>
      </c>
    </row>
    <row r="483" spans="6:16" x14ac:dyDescent="0.25">
      <c r="F483" t="s">
        <v>1014</v>
      </c>
      <c r="H483" t="s">
        <v>146</v>
      </c>
      <c r="J483" s="399">
        <v>0</v>
      </c>
      <c r="K483" s="399">
        <v>0</v>
      </c>
      <c r="L483" s="399">
        <v>0</v>
      </c>
      <c r="M483" s="400">
        <v>0</v>
      </c>
      <c r="N483" s="400">
        <v>0</v>
      </c>
      <c r="O483" s="400">
        <v>0</v>
      </c>
      <c r="P483" s="399">
        <v>0</v>
      </c>
    </row>
    <row r="484" spans="6:16" x14ac:dyDescent="0.25">
      <c r="F484" t="s">
        <v>1015</v>
      </c>
      <c r="H484" t="s">
        <v>146</v>
      </c>
      <c r="J484" s="399">
        <v>0</v>
      </c>
      <c r="K484" s="399">
        <v>0</v>
      </c>
      <c r="L484" s="399">
        <v>0</v>
      </c>
      <c r="M484" s="400">
        <v>0</v>
      </c>
      <c r="N484" s="400">
        <v>0</v>
      </c>
      <c r="O484" s="400">
        <v>0</v>
      </c>
      <c r="P484" s="399">
        <v>0</v>
      </c>
    </row>
    <row r="485" spans="6:16" x14ac:dyDescent="0.25">
      <c r="F485" t="s">
        <v>1016</v>
      </c>
      <c r="H485" t="s">
        <v>146</v>
      </c>
      <c r="J485" s="399">
        <v>0</v>
      </c>
      <c r="K485" s="399">
        <v>0</v>
      </c>
      <c r="L485" s="399">
        <v>0</v>
      </c>
      <c r="M485" s="400">
        <v>0</v>
      </c>
      <c r="N485" s="400">
        <v>0</v>
      </c>
      <c r="O485" s="400">
        <v>0</v>
      </c>
      <c r="P485" s="399">
        <v>0</v>
      </c>
    </row>
    <row r="486" spans="6:16" x14ac:dyDescent="0.25">
      <c r="F486" t="s">
        <v>1017</v>
      </c>
      <c r="H486" t="s">
        <v>146</v>
      </c>
      <c r="J486" s="399">
        <v>0</v>
      </c>
      <c r="K486" s="399">
        <v>0</v>
      </c>
      <c r="L486" s="399">
        <v>0</v>
      </c>
      <c r="M486" s="400">
        <v>0</v>
      </c>
      <c r="N486" s="400">
        <v>0</v>
      </c>
      <c r="O486" s="400">
        <v>0</v>
      </c>
      <c r="P486" s="399">
        <v>0</v>
      </c>
    </row>
    <row r="487" spans="6:16" x14ac:dyDescent="0.25">
      <c r="F487" t="s">
        <v>1018</v>
      </c>
      <c r="H487" t="s">
        <v>146</v>
      </c>
      <c r="J487" s="399">
        <v>0</v>
      </c>
      <c r="K487" s="399">
        <v>0</v>
      </c>
      <c r="L487" s="399">
        <v>0</v>
      </c>
      <c r="M487" s="400">
        <v>0</v>
      </c>
      <c r="N487" s="400">
        <v>0</v>
      </c>
      <c r="O487" s="400">
        <v>0</v>
      </c>
      <c r="P487" s="399">
        <v>0</v>
      </c>
    </row>
    <row r="488" spans="6:16" x14ac:dyDescent="0.25">
      <c r="F488" t="s">
        <v>1019</v>
      </c>
      <c r="H488" t="s">
        <v>146</v>
      </c>
      <c r="J488" s="399">
        <v>0</v>
      </c>
      <c r="K488" s="399">
        <v>0</v>
      </c>
      <c r="L488" s="399">
        <v>0</v>
      </c>
      <c r="M488" s="400">
        <v>0</v>
      </c>
      <c r="N488" s="400">
        <v>0</v>
      </c>
      <c r="O488" s="400">
        <v>0</v>
      </c>
      <c r="P488" s="399">
        <v>0</v>
      </c>
    </row>
    <row r="489" spans="6:16" x14ac:dyDescent="0.25">
      <c r="F489" t="s">
        <v>1020</v>
      </c>
      <c r="H489" t="s">
        <v>146</v>
      </c>
      <c r="J489" s="399">
        <v>0</v>
      </c>
      <c r="K489" s="399">
        <v>0</v>
      </c>
      <c r="L489" s="399">
        <v>0</v>
      </c>
      <c r="M489" s="400">
        <v>0</v>
      </c>
      <c r="N489" s="400">
        <v>0</v>
      </c>
      <c r="O489" s="400">
        <v>0</v>
      </c>
      <c r="P489" s="399">
        <v>0</v>
      </c>
    </row>
    <row r="490" spans="6:16" x14ac:dyDescent="0.25">
      <c r="F490" t="s">
        <v>1021</v>
      </c>
      <c r="H490" t="s">
        <v>146</v>
      </c>
      <c r="J490" s="399">
        <v>0</v>
      </c>
      <c r="K490" s="399">
        <v>0</v>
      </c>
      <c r="L490" s="399">
        <v>0</v>
      </c>
      <c r="M490" s="400">
        <v>0</v>
      </c>
      <c r="N490" s="400">
        <v>0</v>
      </c>
      <c r="O490" s="400">
        <v>0</v>
      </c>
      <c r="P490" s="399">
        <v>0</v>
      </c>
    </row>
    <row r="491" spans="6:16" x14ac:dyDescent="0.25">
      <c r="F491" t="s">
        <v>932</v>
      </c>
      <c r="H491" t="s">
        <v>146</v>
      </c>
      <c r="J491" s="397">
        <v>16.375</v>
      </c>
      <c r="K491" s="397">
        <v>1.585</v>
      </c>
      <c r="L491" s="397">
        <v>0.95199999999999996</v>
      </c>
      <c r="M491" s="398">
        <v>0</v>
      </c>
      <c r="N491" s="398">
        <v>0</v>
      </c>
      <c r="O491" s="398">
        <v>0</v>
      </c>
      <c r="P491" s="397">
        <v>0</v>
      </c>
    </row>
    <row r="492" spans="6:16" x14ac:dyDescent="0.25">
      <c r="F492" t="s">
        <v>933</v>
      </c>
      <c r="H492" t="s">
        <v>146</v>
      </c>
      <c r="J492" s="397">
        <v>-7.5190000000000001</v>
      </c>
      <c r="K492" s="397">
        <v>-0.86899999999999999</v>
      </c>
      <c r="L492" s="397">
        <v>-1.6E-2</v>
      </c>
      <c r="M492" s="398">
        <v>0</v>
      </c>
      <c r="N492" s="398">
        <v>0</v>
      </c>
      <c r="O492" s="398">
        <v>0</v>
      </c>
      <c r="P492" s="397">
        <v>0</v>
      </c>
    </row>
    <row r="493" spans="6:16" x14ac:dyDescent="0.25">
      <c r="F493" t="s">
        <v>934</v>
      </c>
      <c r="H493" t="s">
        <v>146</v>
      </c>
      <c r="J493" s="399">
        <v>0</v>
      </c>
      <c r="K493" s="399">
        <v>0</v>
      </c>
      <c r="L493" s="399">
        <v>0</v>
      </c>
      <c r="M493" s="400">
        <v>0</v>
      </c>
      <c r="N493" s="400">
        <v>0</v>
      </c>
      <c r="O493" s="400">
        <v>0</v>
      </c>
      <c r="P493" s="399">
        <v>0</v>
      </c>
    </row>
    <row r="494" spans="6:16" x14ac:dyDescent="0.25">
      <c r="F494" t="s">
        <v>935</v>
      </c>
      <c r="H494" t="s">
        <v>146</v>
      </c>
      <c r="J494" s="397">
        <v>-7.5190000000000001</v>
      </c>
      <c r="K494" s="397">
        <v>-0.86899999999999999</v>
      </c>
      <c r="L494" s="397">
        <v>-1.6E-2</v>
      </c>
      <c r="M494" s="398">
        <v>0</v>
      </c>
      <c r="N494" s="398">
        <v>0</v>
      </c>
      <c r="O494" s="398">
        <v>0</v>
      </c>
      <c r="P494" s="397">
        <v>0.158</v>
      </c>
    </row>
    <row r="495" spans="6:16" x14ac:dyDescent="0.25">
      <c r="F495" t="s">
        <v>936</v>
      </c>
      <c r="H495" t="s">
        <v>146</v>
      </c>
      <c r="J495" s="399">
        <v>0</v>
      </c>
      <c r="K495" s="399">
        <v>0</v>
      </c>
      <c r="L495" s="399">
        <v>0</v>
      </c>
      <c r="M495" s="400">
        <v>0</v>
      </c>
      <c r="N495" s="400">
        <v>0</v>
      </c>
      <c r="O495" s="400">
        <v>0</v>
      </c>
      <c r="P495" s="399">
        <v>0</v>
      </c>
    </row>
    <row r="496" spans="6:16" x14ac:dyDescent="0.25">
      <c r="F496" t="s">
        <v>937</v>
      </c>
      <c r="H496" t="s">
        <v>146</v>
      </c>
      <c r="J496" s="399">
        <v>0</v>
      </c>
      <c r="K496" s="399">
        <v>0</v>
      </c>
      <c r="L496" s="399">
        <v>0</v>
      </c>
      <c r="M496" s="400">
        <v>0</v>
      </c>
      <c r="N496" s="400">
        <v>0</v>
      </c>
      <c r="O496" s="400">
        <v>0</v>
      </c>
      <c r="P496" s="399">
        <v>0</v>
      </c>
    </row>
    <row r="497" spans="4:19" x14ac:dyDescent="0.25">
      <c r="F497" t="s">
        <v>938</v>
      </c>
      <c r="H497" t="s">
        <v>146</v>
      </c>
      <c r="J497" s="399">
        <v>0</v>
      </c>
      <c r="K497" s="399">
        <v>0</v>
      </c>
      <c r="L497" s="399">
        <v>0</v>
      </c>
      <c r="M497" s="400">
        <v>0</v>
      </c>
      <c r="N497" s="400">
        <v>0</v>
      </c>
      <c r="O497" s="400">
        <v>0</v>
      </c>
      <c r="P497" s="399">
        <v>0</v>
      </c>
    </row>
    <row r="498" spans="4:19" x14ac:dyDescent="0.25">
      <c r="F498" t="s">
        <v>939</v>
      </c>
      <c r="H498" t="s">
        <v>146</v>
      </c>
      <c r="J498" s="399">
        <v>0</v>
      </c>
      <c r="K498" s="399">
        <v>0</v>
      </c>
      <c r="L498" s="399">
        <v>0</v>
      </c>
      <c r="M498" s="400">
        <v>0</v>
      </c>
      <c r="N498" s="400">
        <v>0</v>
      </c>
      <c r="O498" s="400">
        <v>0</v>
      </c>
      <c r="P498" s="399">
        <v>0</v>
      </c>
    </row>
    <row r="499" spans="4:19" x14ac:dyDescent="0.25">
      <c r="F499" s="17" t="s">
        <v>940</v>
      </c>
      <c r="G499" s="17"/>
      <c r="H499" s="17" t="s">
        <v>146</v>
      </c>
      <c r="I499" s="17"/>
      <c r="J499" s="385">
        <v>0</v>
      </c>
      <c r="K499" s="385">
        <v>0</v>
      </c>
      <c r="L499" s="385">
        <v>0</v>
      </c>
      <c r="M499" s="295">
        <v>0</v>
      </c>
      <c r="N499" s="295">
        <v>0</v>
      </c>
      <c r="O499" s="295">
        <v>0</v>
      </c>
      <c r="P499" s="385">
        <v>0</v>
      </c>
    </row>
    <row r="500" spans="4:19" x14ac:dyDescent="0.25">
      <c r="D500" s="52"/>
      <c r="E500" s="52"/>
      <c r="J500" s="384"/>
      <c r="K500" s="384"/>
      <c r="L500" s="384"/>
      <c r="M500" s="294"/>
      <c r="N500" s="294"/>
      <c r="O500" s="294"/>
      <c r="P500" s="384"/>
      <c r="Q500" s="52"/>
      <c r="R500" s="52"/>
      <c r="S500" s="52"/>
    </row>
    <row r="501" spans="4:19" x14ac:dyDescent="0.25">
      <c r="D501" s="52"/>
      <c r="E501" s="52" t="str">
        <f>"LDNO HV tariff forecast "&amp; 'ARP_User control'!G34</f>
        <v>LDNO HV tariff forecast 2027/28</v>
      </c>
      <c r="J501" s="384"/>
      <c r="K501" s="384"/>
      <c r="L501" s="384"/>
      <c r="M501" s="294"/>
      <c r="N501" s="294"/>
      <c r="O501" s="294"/>
      <c r="P501" s="384"/>
      <c r="Q501" s="52"/>
      <c r="R501" s="52"/>
      <c r="S501" s="52"/>
    </row>
    <row r="502" spans="4:19" x14ac:dyDescent="0.25">
      <c r="F502" s="80" t="s">
        <v>1001</v>
      </c>
      <c r="G502" s="80"/>
      <c r="H502" s="80" t="s">
        <v>147</v>
      </c>
      <c r="I502" s="80"/>
      <c r="J502" s="382">
        <v>3.7610000000000001</v>
      </c>
      <c r="K502" s="382">
        <v>0.435</v>
      </c>
      <c r="L502" s="382">
        <v>8.0000000000000002E-3</v>
      </c>
      <c r="M502" s="291">
        <v>5.51</v>
      </c>
      <c r="N502" s="291">
        <v>0</v>
      </c>
      <c r="O502" s="291">
        <v>0</v>
      </c>
      <c r="P502" s="382">
        <v>0</v>
      </c>
    </row>
    <row r="503" spans="4:19" x14ac:dyDescent="0.25">
      <c r="F503" t="s">
        <v>926</v>
      </c>
      <c r="H503" t="s">
        <v>147</v>
      </c>
      <c r="J503" s="397">
        <v>3.7610000000000001</v>
      </c>
      <c r="K503" s="397">
        <v>0.435</v>
      </c>
      <c r="L503" s="397">
        <v>8.0000000000000002E-3</v>
      </c>
      <c r="M503" s="398">
        <v>0</v>
      </c>
      <c r="N503" s="398">
        <v>0</v>
      </c>
      <c r="O503" s="398">
        <v>0</v>
      </c>
      <c r="P503" s="397">
        <v>0</v>
      </c>
    </row>
    <row r="504" spans="4:19" x14ac:dyDescent="0.25">
      <c r="F504" t="s">
        <v>1002</v>
      </c>
      <c r="H504" t="s">
        <v>147</v>
      </c>
      <c r="J504" s="397">
        <v>4.54</v>
      </c>
      <c r="K504" s="397">
        <v>0.52500000000000002</v>
      </c>
      <c r="L504" s="397">
        <v>8.9999999999999993E-3</v>
      </c>
      <c r="M504" s="398">
        <v>0.47</v>
      </c>
      <c r="N504" s="398">
        <v>0</v>
      </c>
      <c r="O504" s="398">
        <v>0</v>
      </c>
      <c r="P504" s="397">
        <v>0</v>
      </c>
    </row>
    <row r="505" spans="4:19" x14ac:dyDescent="0.25">
      <c r="F505" t="s">
        <v>1003</v>
      </c>
      <c r="H505" t="s">
        <v>147</v>
      </c>
      <c r="J505" s="397">
        <v>4.54</v>
      </c>
      <c r="K505" s="397">
        <v>0.52500000000000002</v>
      </c>
      <c r="L505" s="397">
        <v>8.9999999999999993E-3</v>
      </c>
      <c r="M505" s="398">
        <v>6.84</v>
      </c>
      <c r="N505" s="398">
        <v>0</v>
      </c>
      <c r="O505" s="398">
        <v>0</v>
      </c>
      <c r="P505" s="397">
        <v>0</v>
      </c>
    </row>
    <row r="506" spans="4:19" x14ac:dyDescent="0.25">
      <c r="F506" t="s">
        <v>1004</v>
      </c>
      <c r="H506" t="s">
        <v>147</v>
      </c>
      <c r="J506" s="397">
        <v>4.54</v>
      </c>
      <c r="K506" s="397">
        <v>0.52500000000000002</v>
      </c>
      <c r="L506" s="397">
        <v>8.9999999999999993E-3</v>
      </c>
      <c r="M506" s="398">
        <v>15.1</v>
      </c>
      <c r="N506" s="398">
        <v>0</v>
      </c>
      <c r="O506" s="398">
        <v>0</v>
      </c>
      <c r="P506" s="397">
        <v>0</v>
      </c>
    </row>
    <row r="507" spans="4:19" x14ac:dyDescent="0.25">
      <c r="F507" t="s">
        <v>1005</v>
      </c>
      <c r="H507" t="s">
        <v>147</v>
      </c>
      <c r="J507" s="397">
        <v>4.54</v>
      </c>
      <c r="K507" s="397">
        <v>0.52500000000000002</v>
      </c>
      <c r="L507" s="397">
        <v>8.9999999999999993E-3</v>
      </c>
      <c r="M507" s="398">
        <v>32.07</v>
      </c>
      <c r="N507" s="398">
        <v>0</v>
      </c>
      <c r="O507" s="398">
        <v>0</v>
      </c>
      <c r="P507" s="397">
        <v>0</v>
      </c>
    </row>
    <row r="508" spans="4:19" x14ac:dyDescent="0.25">
      <c r="F508" t="s">
        <v>1006</v>
      </c>
      <c r="H508" t="s">
        <v>147</v>
      </c>
      <c r="J508" s="397">
        <v>4.54</v>
      </c>
      <c r="K508" s="397">
        <v>0.52500000000000002</v>
      </c>
      <c r="L508" s="397">
        <v>8.9999999999999993E-3</v>
      </c>
      <c r="M508" s="398">
        <v>93.37</v>
      </c>
      <c r="N508" s="398">
        <v>0</v>
      </c>
      <c r="O508" s="398">
        <v>0</v>
      </c>
      <c r="P508" s="397">
        <v>0</v>
      </c>
    </row>
    <row r="509" spans="4:19" x14ac:dyDescent="0.25">
      <c r="F509" t="s">
        <v>928</v>
      </c>
      <c r="H509" t="s">
        <v>147</v>
      </c>
      <c r="J509" s="397">
        <v>4.54</v>
      </c>
      <c r="K509" s="397">
        <v>0.52500000000000002</v>
      </c>
      <c r="L509" s="397">
        <v>8.9999999999999993E-3</v>
      </c>
      <c r="M509" s="398">
        <v>0</v>
      </c>
      <c r="N509" s="398">
        <v>0</v>
      </c>
      <c r="O509" s="398">
        <v>0</v>
      </c>
      <c r="P509" s="397">
        <v>0</v>
      </c>
    </row>
    <row r="510" spans="4:19" x14ac:dyDescent="0.25">
      <c r="F510" t="s">
        <v>1007</v>
      </c>
      <c r="H510" t="s">
        <v>147</v>
      </c>
      <c r="J510" s="397">
        <v>3.27</v>
      </c>
      <c r="K510" s="397">
        <v>0.35699999999999998</v>
      </c>
      <c r="L510" s="397">
        <v>6.0000000000000001E-3</v>
      </c>
      <c r="M510" s="398">
        <v>0</v>
      </c>
      <c r="N510" s="398">
        <v>1.41</v>
      </c>
      <c r="O510" s="398">
        <v>1.94</v>
      </c>
      <c r="P510" s="397">
        <v>6.8000000000000005E-2</v>
      </c>
    </row>
    <row r="511" spans="4:19" x14ac:dyDescent="0.25">
      <c r="F511" t="s">
        <v>1008</v>
      </c>
      <c r="H511" t="s">
        <v>147</v>
      </c>
      <c r="J511" s="397">
        <v>3.27</v>
      </c>
      <c r="K511" s="397">
        <v>0.35699999999999998</v>
      </c>
      <c r="L511" s="397">
        <v>6.0000000000000001E-3</v>
      </c>
      <c r="M511" s="398">
        <v>172.53</v>
      </c>
      <c r="N511" s="398">
        <v>1.41</v>
      </c>
      <c r="O511" s="398">
        <v>1.94</v>
      </c>
      <c r="P511" s="397">
        <v>6.8000000000000005E-2</v>
      </c>
    </row>
    <row r="512" spans="4:19" x14ac:dyDescent="0.25">
      <c r="F512" t="s">
        <v>1009</v>
      </c>
      <c r="H512" t="s">
        <v>147</v>
      </c>
      <c r="J512" s="397">
        <v>3.27</v>
      </c>
      <c r="K512" s="397">
        <v>0.35699999999999998</v>
      </c>
      <c r="L512" s="397">
        <v>6.0000000000000001E-3</v>
      </c>
      <c r="M512" s="398">
        <v>301.49</v>
      </c>
      <c r="N512" s="398">
        <v>1.41</v>
      </c>
      <c r="O512" s="398">
        <v>1.94</v>
      </c>
      <c r="P512" s="397">
        <v>6.8000000000000005E-2</v>
      </c>
    </row>
    <row r="513" spans="6:16" x14ac:dyDescent="0.25">
      <c r="F513" t="s">
        <v>1010</v>
      </c>
      <c r="H513" t="s">
        <v>147</v>
      </c>
      <c r="J513" s="397">
        <v>3.27</v>
      </c>
      <c r="K513" s="397">
        <v>0.35699999999999998</v>
      </c>
      <c r="L513" s="397">
        <v>6.0000000000000001E-3</v>
      </c>
      <c r="M513" s="398">
        <v>508.39</v>
      </c>
      <c r="N513" s="398">
        <v>1.41</v>
      </c>
      <c r="O513" s="398">
        <v>1.94</v>
      </c>
      <c r="P513" s="397">
        <v>6.8000000000000005E-2</v>
      </c>
    </row>
    <row r="514" spans="6:16" x14ac:dyDescent="0.25">
      <c r="F514" t="s">
        <v>1011</v>
      </c>
      <c r="H514" t="s">
        <v>147</v>
      </c>
      <c r="J514" s="397">
        <v>3.27</v>
      </c>
      <c r="K514" s="397">
        <v>0.35699999999999998</v>
      </c>
      <c r="L514" s="397">
        <v>6.0000000000000001E-3</v>
      </c>
      <c r="M514" s="398">
        <v>1106.99</v>
      </c>
      <c r="N514" s="398">
        <v>1.41</v>
      </c>
      <c r="O514" s="398">
        <v>1.94</v>
      </c>
      <c r="P514" s="397">
        <v>6.8000000000000005E-2</v>
      </c>
    </row>
    <row r="515" spans="6:16" x14ac:dyDescent="0.25">
      <c r="F515" t="s">
        <v>1012</v>
      </c>
      <c r="H515" t="s">
        <v>147</v>
      </c>
      <c r="J515" s="397">
        <v>3.1389999999999998</v>
      </c>
      <c r="K515" s="397">
        <v>0.28299999999999997</v>
      </c>
      <c r="L515" s="397">
        <v>4.0000000000000001E-3</v>
      </c>
      <c r="M515" s="398">
        <v>0</v>
      </c>
      <c r="N515" s="398">
        <v>4.24</v>
      </c>
      <c r="O515" s="398">
        <v>4.75</v>
      </c>
      <c r="P515" s="397">
        <v>5.7000000000000002E-2</v>
      </c>
    </row>
    <row r="516" spans="6:16" x14ac:dyDescent="0.25">
      <c r="F516" t="s">
        <v>1013</v>
      </c>
      <c r="H516" t="s">
        <v>147</v>
      </c>
      <c r="J516" s="397">
        <v>3.1389999999999998</v>
      </c>
      <c r="K516" s="397">
        <v>0.28299999999999997</v>
      </c>
      <c r="L516" s="397">
        <v>4.0000000000000001E-3</v>
      </c>
      <c r="M516" s="398">
        <v>291.04000000000002</v>
      </c>
      <c r="N516" s="398">
        <v>4.24</v>
      </c>
      <c r="O516" s="398">
        <v>4.75</v>
      </c>
      <c r="P516" s="397">
        <v>5.7000000000000002E-2</v>
      </c>
    </row>
    <row r="517" spans="6:16" x14ac:dyDescent="0.25">
      <c r="F517" t="s">
        <v>1014</v>
      </c>
      <c r="H517" t="s">
        <v>147</v>
      </c>
      <c r="J517" s="397">
        <v>3.1389999999999998</v>
      </c>
      <c r="K517" s="397">
        <v>0.28299999999999997</v>
      </c>
      <c r="L517" s="397">
        <v>4.0000000000000001E-3</v>
      </c>
      <c r="M517" s="398">
        <v>508.59</v>
      </c>
      <c r="N517" s="398">
        <v>4.24</v>
      </c>
      <c r="O517" s="398">
        <v>4.75</v>
      </c>
      <c r="P517" s="397">
        <v>5.7000000000000002E-2</v>
      </c>
    </row>
    <row r="518" spans="6:16" x14ac:dyDescent="0.25">
      <c r="F518" t="s">
        <v>1015</v>
      </c>
      <c r="H518" t="s">
        <v>147</v>
      </c>
      <c r="J518" s="397">
        <v>3.1389999999999998</v>
      </c>
      <c r="K518" s="397">
        <v>0.28299999999999997</v>
      </c>
      <c r="L518" s="397">
        <v>4.0000000000000001E-3</v>
      </c>
      <c r="M518" s="398">
        <v>857.61</v>
      </c>
      <c r="N518" s="398">
        <v>4.24</v>
      </c>
      <c r="O518" s="398">
        <v>4.75</v>
      </c>
      <c r="P518" s="397">
        <v>5.7000000000000002E-2</v>
      </c>
    </row>
    <row r="519" spans="6:16" x14ac:dyDescent="0.25">
      <c r="F519" t="s">
        <v>1016</v>
      </c>
      <c r="H519" t="s">
        <v>147</v>
      </c>
      <c r="J519" s="397">
        <v>3.1389999999999998</v>
      </c>
      <c r="K519" s="397">
        <v>0.28299999999999997</v>
      </c>
      <c r="L519" s="397">
        <v>4.0000000000000001E-3</v>
      </c>
      <c r="M519" s="398">
        <v>1867.4</v>
      </c>
      <c r="N519" s="398">
        <v>4.24</v>
      </c>
      <c r="O519" s="398">
        <v>4.75</v>
      </c>
      <c r="P519" s="397">
        <v>5.7000000000000002E-2</v>
      </c>
    </row>
    <row r="520" spans="6:16" x14ac:dyDescent="0.25">
      <c r="F520" t="s">
        <v>1017</v>
      </c>
      <c r="H520" t="s">
        <v>147</v>
      </c>
      <c r="J520" s="397">
        <v>2.4790000000000001</v>
      </c>
      <c r="K520" s="397">
        <v>0.19700000000000001</v>
      </c>
      <c r="L520" s="397">
        <v>3.0000000000000001E-3</v>
      </c>
      <c r="M520" s="398">
        <v>0</v>
      </c>
      <c r="N520" s="398">
        <v>5.41</v>
      </c>
      <c r="O520" s="398">
        <v>6.48</v>
      </c>
      <c r="P520" s="397">
        <v>4.1000000000000002E-2</v>
      </c>
    </row>
    <row r="521" spans="6:16" x14ac:dyDescent="0.25">
      <c r="F521" t="s">
        <v>1018</v>
      </c>
      <c r="H521" t="s">
        <v>147</v>
      </c>
      <c r="J521" s="397">
        <v>2.4790000000000001</v>
      </c>
      <c r="K521" s="397">
        <v>0.19700000000000001</v>
      </c>
      <c r="L521" s="397">
        <v>3.0000000000000001E-3</v>
      </c>
      <c r="M521" s="398">
        <v>1669.04</v>
      </c>
      <c r="N521" s="398">
        <v>5.41</v>
      </c>
      <c r="O521" s="398">
        <v>6.48</v>
      </c>
      <c r="P521" s="397">
        <v>4.1000000000000002E-2</v>
      </c>
    </row>
    <row r="522" spans="6:16" x14ac:dyDescent="0.25">
      <c r="F522" t="s">
        <v>1019</v>
      </c>
      <c r="H522" t="s">
        <v>147</v>
      </c>
      <c r="J522" s="397">
        <v>2.4790000000000001</v>
      </c>
      <c r="K522" s="397">
        <v>0.19700000000000001</v>
      </c>
      <c r="L522" s="397">
        <v>3.0000000000000001E-3</v>
      </c>
      <c r="M522" s="398">
        <v>5060.92</v>
      </c>
      <c r="N522" s="398">
        <v>5.41</v>
      </c>
      <c r="O522" s="398">
        <v>6.48</v>
      </c>
      <c r="P522" s="397">
        <v>4.1000000000000002E-2</v>
      </c>
    </row>
    <row r="523" spans="6:16" x14ac:dyDescent="0.25">
      <c r="F523" t="s">
        <v>1020</v>
      </c>
      <c r="H523" t="s">
        <v>147</v>
      </c>
      <c r="J523" s="397">
        <v>2.4790000000000001</v>
      </c>
      <c r="K523" s="397">
        <v>0.19700000000000001</v>
      </c>
      <c r="L523" s="397">
        <v>3.0000000000000001E-3</v>
      </c>
      <c r="M523" s="398">
        <v>10316.57</v>
      </c>
      <c r="N523" s="398">
        <v>5.41</v>
      </c>
      <c r="O523" s="398">
        <v>6.48</v>
      </c>
      <c r="P523" s="397">
        <v>4.1000000000000002E-2</v>
      </c>
    </row>
    <row r="524" spans="6:16" x14ac:dyDescent="0.25">
      <c r="F524" t="s">
        <v>1021</v>
      </c>
      <c r="H524" t="s">
        <v>147</v>
      </c>
      <c r="J524" s="397">
        <v>2.4790000000000001</v>
      </c>
      <c r="K524" s="397">
        <v>0.19700000000000001</v>
      </c>
      <c r="L524" s="397">
        <v>3.0000000000000001E-3</v>
      </c>
      <c r="M524" s="398">
        <v>27362.639999999999</v>
      </c>
      <c r="N524" s="398">
        <v>5.41</v>
      </c>
      <c r="O524" s="398">
        <v>6.48</v>
      </c>
      <c r="P524" s="397">
        <v>4.1000000000000002E-2</v>
      </c>
    </row>
    <row r="525" spans="6:16" x14ac:dyDescent="0.25">
      <c r="F525" t="s">
        <v>932</v>
      </c>
      <c r="H525" t="s">
        <v>147</v>
      </c>
      <c r="J525" s="397">
        <v>10.837999999999999</v>
      </c>
      <c r="K525" s="397">
        <v>1.0489999999999999</v>
      </c>
      <c r="L525" s="397">
        <v>0.63</v>
      </c>
      <c r="M525" s="398">
        <v>0</v>
      </c>
      <c r="N525" s="398">
        <v>0</v>
      </c>
      <c r="O525" s="398">
        <v>0</v>
      </c>
      <c r="P525" s="397">
        <v>0</v>
      </c>
    </row>
    <row r="526" spans="6:16" x14ac:dyDescent="0.25">
      <c r="F526" t="s">
        <v>933</v>
      </c>
      <c r="H526" t="s">
        <v>147</v>
      </c>
      <c r="J526" s="397">
        <v>-7.5190000000000001</v>
      </c>
      <c r="K526" s="397">
        <v>-0.86899999999999999</v>
      </c>
      <c r="L526" s="397">
        <v>-1.6E-2</v>
      </c>
      <c r="M526" s="398">
        <v>0</v>
      </c>
      <c r="N526" s="398">
        <v>0</v>
      </c>
      <c r="O526" s="398">
        <v>0</v>
      </c>
      <c r="P526" s="397">
        <v>0</v>
      </c>
    </row>
    <row r="527" spans="6:16" x14ac:dyDescent="0.25">
      <c r="F527" t="s">
        <v>934</v>
      </c>
      <c r="H527" t="s">
        <v>147</v>
      </c>
      <c r="J527" s="397">
        <v>-6.532</v>
      </c>
      <c r="K527" s="397">
        <v>-0.73399999999999999</v>
      </c>
      <c r="L527" s="397">
        <v>-1.2999999999999999E-2</v>
      </c>
      <c r="M527" s="398">
        <v>0</v>
      </c>
      <c r="N527" s="398">
        <v>0</v>
      </c>
      <c r="O527" s="398">
        <v>0</v>
      </c>
      <c r="P527" s="397">
        <v>0</v>
      </c>
    </row>
    <row r="528" spans="6:16" x14ac:dyDescent="0.25">
      <c r="F528" t="s">
        <v>935</v>
      </c>
      <c r="H528" t="s">
        <v>147</v>
      </c>
      <c r="J528" s="397">
        <v>-7.5190000000000001</v>
      </c>
      <c r="K528" s="397">
        <v>-0.86899999999999999</v>
      </c>
      <c r="L528" s="397">
        <v>-1.6E-2</v>
      </c>
      <c r="M528" s="398">
        <v>0</v>
      </c>
      <c r="N528" s="398">
        <v>0</v>
      </c>
      <c r="O528" s="398">
        <v>0</v>
      </c>
      <c r="P528" s="397">
        <v>0.158</v>
      </c>
    </row>
    <row r="529" spans="3:19" x14ac:dyDescent="0.25">
      <c r="F529" t="s">
        <v>936</v>
      </c>
      <c r="H529" t="s">
        <v>147</v>
      </c>
      <c r="J529" s="399">
        <v>0</v>
      </c>
      <c r="K529" s="399">
        <v>0</v>
      </c>
      <c r="L529" s="399">
        <v>0</v>
      </c>
      <c r="M529" s="400">
        <v>0</v>
      </c>
      <c r="N529" s="400">
        <v>0</v>
      </c>
      <c r="O529" s="400">
        <v>0</v>
      </c>
      <c r="P529" s="399">
        <v>0</v>
      </c>
    </row>
    <row r="530" spans="3:19" x14ac:dyDescent="0.25">
      <c r="F530" t="s">
        <v>937</v>
      </c>
      <c r="H530" t="s">
        <v>147</v>
      </c>
      <c r="J530" s="397">
        <v>-6.532</v>
      </c>
      <c r="K530" s="397">
        <v>-0.73399999999999999</v>
      </c>
      <c r="L530" s="397">
        <v>-1.2999999999999999E-2</v>
      </c>
      <c r="M530" s="398">
        <v>0</v>
      </c>
      <c r="N530" s="398">
        <v>0</v>
      </c>
      <c r="O530" s="398">
        <v>0</v>
      </c>
      <c r="P530" s="397">
        <v>0.13600000000000001</v>
      </c>
    </row>
    <row r="531" spans="3:19" x14ac:dyDescent="0.25">
      <c r="F531" t="s">
        <v>938</v>
      </c>
      <c r="H531" t="s">
        <v>147</v>
      </c>
      <c r="J531" s="399">
        <v>0</v>
      </c>
      <c r="K531" s="399">
        <v>0</v>
      </c>
      <c r="L531" s="399">
        <v>0</v>
      </c>
      <c r="M531" s="400">
        <v>0</v>
      </c>
      <c r="N531" s="400">
        <v>0</v>
      </c>
      <c r="O531" s="400">
        <v>0</v>
      </c>
      <c r="P531" s="399">
        <v>0</v>
      </c>
    </row>
    <row r="532" spans="3:19" x14ac:dyDescent="0.25">
      <c r="F532" t="s">
        <v>939</v>
      </c>
      <c r="H532" t="s">
        <v>147</v>
      </c>
      <c r="J532" s="397">
        <v>-3.996</v>
      </c>
      <c r="K532" s="397">
        <v>-0.35799999999999998</v>
      </c>
      <c r="L532" s="397">
        <v>-5.0000000000000001E-3</v>
      </c>
      <c r="M532" s="398">
        <v>0</v>
      </c>
      <c r="N532" s="398">
        <v>0</v>
      </c>
      <c r="O532" s="398">
        <v>0</v>
      </c>
      <c r="P532" s="397">
        <v>0.112</v>
      </c>
    </row>
    <row r="533" spans="3:19" x14ac:dyDescent="0.25">
      <c r="F533" s="17" t="s">
        <v>940</v>
      </c>
      <c r="G533" s="17"/>
      <c r="H533" s="17" t="s">
        <v>147</v>
      </c>
      <c r="I533" s="17"/>
      <c r="J533" s="385">
        <v>0</v>
      </c>
      <c r="K533" s="385">
        <v>0</v>
      </c>
      <c r="L533" s="385">
        <v>0</v>
      </c>
      <c r="M533" s="295">
        <v>0</v>
      </c>
      <c r="N533" s="295">
        <v>0</v>
      </c>
      <c r="O533" s="295">
        <v>0</v>
      </c>
      <c r="P533" s="385">
        <v>0</v>
      </c>
    </row>
    <row r="534" spans="3:19" x14ac:dyDescent="0.25">
      <c r="D534" s="52"/>
      <c r="E534" s="52"/>
      <c r="F534" s="52"/>
      <c r="G534" s="52"/>
      <c r="H534" s="52"/>
      <c r="I534" s="52"/>
      <c r="J534" s="386"/>
      <c r="K534" s="386"/>
      <c r="L534" s="386"/>
      <c r="M534" s="185"/>
      <c r="N534" s="185"/>
      <c r="O534" s="185"/>
      <c r="P534" s="386"/>
      <c r="Q534" s="52"/>
      <c r="R534" s="52"/>
      <c r="S534" s="52"/>
    </row>
    <row r="535" spans="3:19" x14ac:dyDescent="0.25">
      <c r="C535" s="5" t="str">
        <f ca="1">INDEX('Version control'!$H$36:$H$62,MATCH($A$1,'Version control'!$F$36:$F$62,0),1)&amp;"-F: Tariff results for charging year " &amp; 'ARP_User control'!G35</f>
        <v>Output 501-F: Tariff results for charging year 2028/29</v>
      </c>
      <c r="D535" s="5"/>
      <c r="E535" s="5"/>
      <c r="F535" s="5"/>
      <c r="G535" s="5"/>
      <c r="H535" s="5"/>
      <c r="I535" s="5"/>
      <c r="J535" s="387"/>
      <c r="K535" s="387"/>
      <c r="L535" s="387"/>
      <c r="M535" s="5"/>
      <c r="N535" s="5"/>
      <c r="O535" s="5"/>
      <c r="P535" s="387"/>
      <c r="Q535" s="5"/>
      <c r="R535" s="5"/>
    </row>
    <row r="536" spans="3:19" x14ac:dyDescent="0.25">
      <c r="D536"/>
      <c r="E536"/>
      <c r="J536" s="388"/>
      <c r="K536" s="388"/>
      <c r="L536" s="388"/>
      <c r="M536" s="183"/>
      <c r="N536" s="183"/>
      <c r="O536" s="183"/>
      <c r="P536" s="388"/>
    </row>
    <row r="537" spans="3:19" x14ac:dyDescent="0.25">
      <c r="D537" s="52"/>
      <c r="E537" s="52" t="str">
        <f>"All the way tariff forecast "&amp; 'ARP_User control'!G35</f>
        <v>All the way tariff forecast 2028/29</v>
      </c>
      <c r="J537" s="388"/>
      <c r="K537" s="388"/>
      <c r="L537" s="388"/>
      <c r="M537" s="183"/>
      <c r="N537" s="183"/>
      <c r="O537" s="183"/>
      <c r="P537" s="388"/>
    </row>
    <row r="538" spans="3:19" x14ac:dyDescent="0.25">
      <c r="C538" s="76"/>
      <c r="F538" s="80" t="s">
        <v>1001</v>
      </c>
      <c r="G538" s="80"/>
      <c r="H538" s="80" t="s">
        <v>261</v>
      </c>
      <c r="I538" s="80"/>
      <c r="J538" s="382">
        <v>9.7799999999999994</v>
      </c>
      <c r="K538" s="382">
        <v>1.1279999999999999</v>
      </c>
      <c r="L538" s="382">
        <v>0.02</v>
      </c>
      <c r="M538" s="291">
        <v>14.28</v>
      </c>
      <c r="N538" s="291">
        <v>0</v>
      </c>
      <c r="O538" s="291">
        <v>0</v>
      </c>
      <c r="P538" s="382">
        <v>0</v>
      </c>
    </row>
    <row r="539" spans="3:19" x14ac:dyDescent="0.25">
      <c r="C539" s="76"/>
      <c r="F539" t="s">
        <v>926</v>
      </c>
      <c r="H539" t="s">
        <v>261</v>
      </c>
      <c r="J539" s="397">
        <v>9.7799999999999994</v>
      </c>
      <c r="K539" s="397">
        <v>1.1279999999999999</v>
      </c>
      <c r="L539" s="397">
        <v>0.02</v>
      </c>
      <c r="M539" s="398">
        <v>0</v>
      </c>
      <c r="N539" s="398">
        <v>0</v>
      </c>
      <c r="O539" s="398">
        <v>0</v>
      </c>
      <c r="P539" s="397">
        <v>0</v>
      </c>
    </row>
    <row r="540" spans="3:19" x14ac:dyDescent="0.25">
      <c r="C540" s="76"/>
      <c r="F540" t="s">
        <v>1002</v>
      </c>
      <c r="H540" t="s">
        <v>261</v>
      </c>
      <c r="J540" s="397">
        <v>11.805</v>
      </c>
      <c r="K540" s="397">
        <v>1.361</v>
      </c>
      <c r="L540" s="397">
        <v>2.4E-2</v>
      </c>
      <c r="M540" s="398">
        <v>1.23</v>
      </c>
      <c r="N540" s="398">
        <v>0</v>
      </c>
      <c r="O540" s="398">
        <v>0</v>
      </c>
      <c r="P540" s="397">
        <v>0</v>
      </c>
    </row>
    <row r="541" spans="3:19" x14ac:dyDescent="0.25">
      <c r="C541" s="76"/>
      <c r="F541" t="s">
        <v>1003</v>
      </c>
      <c r="H541" t="s">
        <v>261</v>
      </c>
      <c r="J541" s="397">
        <v>11.805</v>
      </c>
      <c r="K541" s="397">
        <v>1.361</v>
      </c>
      <c r="L541" s="397">
        <v>2.4E-2</v>
      </c>
      <c r="M541" s="398">
        <v>17.73</v>
      </c>
      <c r="N541" s="398">
        <v>0</v>
      </c>
      <c r="O541" s="398">
        <v>0</v>
      </c>
      <c r="P541" s="397">
        <v>0</v>
      </c>
    </row>
    <row r="542" spans="3:19" x14ac:dyDescent="0.25">
      <c r="C542" s="76"/>
      <c r="F542" t="s">
        <v>1004</v>
      </c>
      <c r="H542" t="s">
        <v>261</v>
      </c>
      <c r="J542" s="397">
        <v>11.805</v>
      </c>
      <c r="K542" s="397">
        <v>1.361</v>
      </c>
      <c r="L542" s="397">
        <v>2.4E-2</v>
      </c>
      <c r="M542" s="398">
        <v>39.15</v>
      </c>
      <c r="N542" s="398">
        <v>0</v>
      </c>
      <c r="O542" s="398">
        <v>0</v>
      </c>
      <c r="P542" s="397">
        <v>0</v>
      </c>
    </row>
    <row r="543" spans="3:19" x14ac:dyDescent="0.25">
      <c r="C543" s="76"/>
      <c r="F543" t="s">
        <v>1005</v>
      </c>
      <c r="H543" t="s">
        <v>261</v>
      </c>
      <c r="J543" s="397">
        <v>11.805</v>
      </c>
      <c r="K543" s="397">
        <v>1.361</v>
      </c>
      <c r="L543" s="397">
        <v>2.4E-2</v>
      </c>
      <c r="M543" s="398">
        <v>83.13</v>
      </c>
      <c r="N543" s="398">
        <v>0</v>
      </c>
      <c r="O543" s="398">
        <v>0</v>
      </c>
      <c r="P543" s="397">
        <v>0</v>
      </c>
    </row>
    <row r="544" spans="3:19" x14ac:dyDescent="0.25">
      <c r="C544" s="76"/>
      <c r="F544" t="s">
        <v>1006</v>
      </c>
      <c r="H544" t="s">
        <v>261</v>
      </c>
      <c r="J544" s="397">
        <v>11.805</v>
      </c>
      <c r="K544" s="397">
        <v>1.361</v>
      </c>
      <c r="L544" s="397">
        <v>2.4E-2</v>
      </c>
      <c r="M544" s="398">
        <v>242.01</v>
      </c>
      <c r="N544" s="398">
        <v>0</v>
      </c>
      <c r="O544" s="398">
        <v>0</v>
      </c>
      <c r="P544" s="397">
        <v>0</v>
      </c>
    </row>
    <row r="545" spans="3:16" x14ac:dyDescent="0.25">
      <c r="C545" s="76"/>
      <c r="F545" t="s">
        <v>928</v>
      </c>
      <c r="H545" t="s">
        <v>261</v>
      </c>
      <c r="J545" s="397">
        <v>11.805</v>
      </c>
      <c r="K545" s="397">
        <v>1.361</v>
      </c>
      <c r="L545" s="397">
        <v>2.4E-2</v>
      </c>
      <c r="M545" s="398">
        <v>0</v>
      </c>
      <c r="N545" s="398">
        <v>0</v>
      </c>
      <c r="O545" s="398">
        <v>0</v>
      </c>
      <c r="P545" s="397">
        <v>0</v>
      </c>
    </row>
    <row r="546" spans="3:16" x14ac:dyDescent="0.25">
      <c r="C546" s="76"/>
      <c r="F546" t="s">
        <v>1007</v>
      </c>
      <c r="H546" t="s">
        <v>261</v>
      </c>
      <c r="J546" s="397">
        <v>8.5020000000000007</v>
      </c>
      <c r="K546" s="397">
        <v>0.92800000000000005</v>
      </c>
      <c r="L546" s="397">
        <v>1.6E-2</v>
      </c>
      <c r="M546" s="398">
        <v>0</v>
      </c>
      <c r="N546" s="398">
        <v>3.67</v>
      </c>
      <c r="O546" s="398">
        <v>5.0599999999999996</v>
      </c>
      <c r="P546" s="397">
        <v>0.17599999999999999</v>
      </c>
    </row>
    <row r="547" spans="3:16" x14ac:dyDescent="0.25">
      <c r="C547" s="76"/>
      <c r="F547" t="s">
        <v>1008</v>
      </c>
      <c r="H547" t="s">
        <v>261</v>
      </c>
      <c r="J547" s="397">
        <v>8.5020000000000007</v>
      </c>
      <c r="K547" s="397">
        <v>0.92800000000000005</v>
      </c>
      <c r="L547" s="397">
        <v>1.6E-2</v>
      </c>
      <c r="M547" s="398">
        <v>447.2</v>
      </c>
      <c r="N547" s="398">
        <v>3.67</v>
      </c>
      <c r="O547" s="398">
        <v>5.0599999999999996</v>
      </c>
      <c r="P547" s="397">
        <v>0.17599999999999999</v>
      </c>
    </row>
    <row r="548" spans="3:16" x14ac:dyDescent="0.25">
      <c r="C548" s="76"/>
      <c r="F548" t="s">
        <v>1009</v>
      </c>
      <c r="H548" t="s">
        <v>261</v>
      </c>
      <c r="J548" s="397">
        <v>8.5020000000000007</v>
      </c>
      <c r="K548" s="397">
        <v>0.92800000000000005</v>
      </c>
      <c r="L548" s="397">
        <v>1.6E-2</v>
      </c>
      <c r="M548" s="398">
        <v>781.46</v>
      </c>
      <c r="N548" s="398">
        <v>3.67</v>
      </c>
      <c r="O548" s="398">
        <v>5.0599999999999996</v>
      </c>
      <c r="P548" s="397">
        <v>0.17599999999999999</v>
      </c>
    </row>
    <row r="549" spans="3:16" x14ac:dyDescent="0.25">
      <c r="C549" s="76"/>
      <c r="F549" t="s">
        <v>1010</v>
      </c>
      <c r="H549" t="s">
        <v>261</v>
      </c>
      <c r="J549" s="397">
        <v>8.5020000000000007</v>
      </c>
      <c r="K549" s="397">
        <v>0.92800000000000005</v>
      </c>
      <c r="L549" s="397">
        <v>1.6E-2</v>
      </c>
      <c r="M549" s="398">
        <v>1317.75</v>
      </c>
      <c r="N549" s="398">
        <v>3.67</v>
      </c>
      <c r="O549" s="398">
        <v>5.0599999999999996</v>
      </c>
      <c r="P549" s="397">
        <v>0.17599999999999999</v>
      </c>
    </row>
    <row r="550" spans="3:16" x14ac:dyDescent="0.25">
      <c r="C550" s="76"/>
      <c r="F550" t="s">
        <v>1011</v>
      </c>
      <c r="H550" t="s">
        <v>261</v>
      </c>
      <c r="J550" s="397">
        <v>8.5020000000000007</v>
      </c>
      <c r="K550" s="397">
        <v>0.92800000000000005</v>
      </c>
      <c r="L550" s="397">
        <v>1.6E-2</v>
      </c>
      <c r="M550" s="398">
        <v>2869.31</v>
      </c>
      <c r="N550" s="398">
        <v>3.67</v>
      </c>
      <c r="O550" s="398">
        <v>5.0599999999999996</v>
      </c>
      <c r="P550" s="397">
        <v>0.17599999999999999</v>
      </c>
    </row>
    <row r="551" spans="3:16" x14ac:dyDescent="0.25">
      <c r="C551" s="76"/>
      <c r="F551" t="s">
        <v>1012</v>
      </c>
      <c r="H551" t="s">
        <v>261</v>
      </c>
      <c r="J551" s="397">
        <v>4.8390000000000004</v>
      </c>
      <c r="K551" s="397">
        <v>0.435</v>
      </c>
      <c r="L551" s="397">
        <v>7.0000000000000001E-3</v>
      </c>
      <c r="M551" s="398">
        <v>0</v>
      </c>
      <c r="N551" s="398">
        <v>6.53</v>
      </c>
      <c r="O551" s="398">
        <v>7.32</v>
      </c>
      <c r="P551" s="397">
        <v>8.6999999999999994E-2</v>
      </c>
    </row>
    <row r="552" spans="3:16" x14ac:dyDescent="0.25">
      <c r="C552" s="76"/>
      <c r="F552" t="s">
        <v>1013</v>
      </c>
      <c r="H552" t="s">
        <v>261</v>
      </c>
      <c r="J552" s="397">
        <v>4.8390000000000004</v>
      </c>
      <c r="K552" s="397">
        <v>0.435</v>
      </c>
      <c r="L552" s="397">
        <v>7.0000000000000001E-3</v>
      </c>
      <c r="M552" s="398">
        <v>447.2</v>
      </c>
      <c r="N552" s="398">
        <v>6.53</v>
      </c>
      <c r="O552" s="398">
        <v>7.32</v>
      </c>
      <c r="P552" s="397">
        <v>8.6999999999999994E-2</v>
      </c>
    </row>
    <row r="553" spans="3:16" x14ac:dyDescent="0.25">
      <c r="C553" s="76"/>
      <c r="F553" t="s">
        <v>1014</v>
      </c>
      <c r="H553" t="s">
        <v>261</v>
      </c>
      <c r="J553" s="397">
        <v>4.8390000000000004</v>
      </c>
      <c r="K553" s="397">
        <v>0.435</v>
      </c>
      <c r="L553" s="397">
        <v>7.0000000000000001E-3</v>
      </c>
      <c r="M553" s="398">
        <v>781.46</v>
      </c>
      <c r="N553" s="398">
        <v>6.53</v>
      </c>
      <c r="O553" s="398">
        <v>7.32</v>
      </c>
      <c r="P553" s="397">
        <v>8.6999999999999994E-2</v>
      </c>
    </row>
    <row r="554" spans="3:16" x14ac:dyDescent="0.25">
      <c r="C554" s="76"/>
      <c r="F554" t="s">
        <v>1015</v>
      </c>
      <c r="H554" t="s">
        <v>261</v>
      </c>
      <c r="J554" s="397">
        <v>4.8390000000000004</v>
      </c>
      <c r="K554" s="397">
        <v>0.435</v>
      </c>
      <c r="L554" s="397">
        <v>7.0000000000000001E-3</v>
      </c>
      <c r="M554" s="398">
        <v>1317.75</v>
      </c>
      <c r="N554" s="398">
        <v>6.53</v>
      </c>
      <c r="O554" s="398">
        <v>7.32</v>
      </c>
      <c r="P554" s="397">
        <v>8.6999999999999994E-2</v>
      </c>
    </row>
    <row r="555" spans="3:16" x14ac:dyDescent="0.25">
      <c r="C555" s="76"/>
      <c r="F555" t="s">
        <v>1016</v>
      </c>
      <c r="H555" t="s">
        <v>261</v>
      </c>
      <c r="J555" s="397">
        <v>4.8390000000000004</v>
      </c>
      <c r="K555" s="397">
        <v>0.435</v>
      </c>
      <c r="L555" s="397">
        <v>7.0000000000000001E-3</v>
      </c>
      <c r="M555" s="398">
        <v>2869.31</v>
      </c>
      <c r="N555" s="398">
        <v>6.53</v>
      </c>
      <c r="O555" s="398">
        <v>7.32</v>
      </c>
      <c r="P555" s="397">
        <v>8.6999999999999994E-2</v>
      </c>
    </row>
    <row r="556" spans="3:16" x14ac:dyDescent="0.25">
      <c r="C556" s="76"/>
      <c r="F556" t="s">
        <v>1017</v>
      </c>
      <c r="H556" t="s">
        <v>261</v>
      </c>
      <c r="J556" s="397">
        <v>3.33</v>
      </c>
      <c r="K556" s="397">
        <v>0.26400000000000001</v>
      </c>
      <c r="L556" s="397">
        <v>4.0000000000000001E-3</v>
      </c>
      <c r="M556" s="398">
        <v>0</v>
      </c>
      <c r="N556" s="398">
        <v>7.27</v>
      </c>
      <c r="O556" s="398">
        <v>8.6999999999999993</v>
      </c>
      <c r="P556" s="397">
        <v>5.5E-2</v>
      </c>
    </row>
    <row r="557" spans="3:16" x14ac:dyDescent="0.25">
      <c r="C557" s="76"/>
      <c r="F557" t="s">
        <v>1018</v>
      </c>
      <c r="H557" t="s">
        <v>261</v>
      </c>
      <c r="J557" s="397">
        <v>3.33</v>
      </c>
      <c r="K557" s="397">
        <v>0.26400000000000001</v>
      </c>
      <c r="L557" s="397">
        <v>4.0000000000000001E-3</v>
      </c>
      <c r="M557" s="398">
        <v>2235.21</v>
      </c>
      <c r="N557" s="398">
        <v>7.27</v>
      </c>
      <c r="O557" s="398">
        <v>8.6999999999999993</v>
      </c>
      <c r="P557" s="397">
        <v>5.5E-2</v>
      </c>
    </row>
    <row r="558" spans="3:16" x14ac:dyDescent="0.25">
      <c r="C558" s="76"/>
      <c r="F558" t="s">
        <v>1019</v>
      </c>
      <c r="H558" t="s">
        <v>261</v>
      </c>
      <c r="J558" s="397">
        <v>3.33</v>
      </c>
      <c r="K558" s="397">
        <v>0.26400000000000001</v>
      </c>
      <c r="L558" s="397">
        <v>4.0000000000000001E-3</v>
      </c>
      <c r="M558" s="398">
        <v>6777.67</v>
      </c>
      <c r="N558" s="398">
        <v>7.27</v>
      </c>
      <c r="O558" s="398">
        <v>8.6999999999999993</v>
      </c>
      <c r="P558" s="397">
        <v>5.5E-2</v>
      </c>
    </row>
    <row r="559" spans="3:16" x14ac:dyDescent="0.25">
      <c r="C559" s="76"/>
      <c r="F559" t="s">
        <v>1020</v>
      </c>
      <c r="H559" t="s">
        <v>261</v>
      </c>
      <c r="J559" s="397">
        <v>3.33</v>
      </c>
      <c r="K559" s="397">
        <v>0.26400000000000001</v>
      </c>
      <c r="L559" s="397">
        <v>4.0000000000000001E-3</v>
      </c>
      <c r="M559" s="398">
        <v>13816.13</v>
      </c>
      <c r="N559" s="398">
        <v>7.27</v>
      </c>
      <c r="O559" s="398">
        <v>8.6999999999999993</v>
      </c>
      <c r="P559" s="397">
        <v>5.5E-2</v>
      </c>
    </row>
    <row r="560" spans="3:16" x14ac:dyDescent="0.25">
      <c r="C560" s="76"/>
      <c r="F560" t="s">
        <v>1021</v>
      </c>
      <c r="H560" t="s">
        <v>261</v>
      </c>
      <c r="J560" s="397">
        <v>3.33</v>
      </c>
      <c r="K560" s="397">
        <v>0.26400000000000001</v>
      </c>
      <c r="L560" s="397">
        <v>4.0000000000000001E-3</v>
      </c>
      <c r="M560" s="398">
        <v>36644.51</v>
      </c>
      <c r="N560" s="398">
        <v>7.27</v>
      </c>
      <c r="O560" s="398">
        <v>8.6999999999999993</v>
      </c>
      <c r="P560" s="397">
        <v>5.5E-2</v>
      </c>
    </row>
    <row r="561" spans="3:16" x14ac:dyDescent="0.25">
      <c r="C561" s="76"/>
      <c r="F561" t="s">
        <v>932</v>
      </c>
      <c r="H561" t="s">
        <v>261</v>
      </c>
      <c r="J561" s="397">
        <v>28.172999999999998</v>
      </c>
      <c r="K561" s="397">
        <v>2.7120000000000002</v>
      </c>
      <c r="L561" s="397">
        <v>1.629</v>
      </c>
      <c r="M561" s="398">
        <v>0</v>
      </c>
      <c r="N561" s="398">
        <v>0</v>
      </c>
      <c r="O561" s="398">
        <v>0</v>
      </c>
      <c r="P561" s="397">
        <v>0</v>
      </c>
    </row>
    <row r="562" spans="3:16" x14ac:dyDescent="0.25">
      <c r="C562" s="76"/>
      <c r="F562" t="s">
        <v>933</v>
      </c>
      <c r="H562" t="s">
        <v>261</v>
      </c>
      <c r="J562" s="397">
        <v>-7.7220000000000004</v>
      </c>
      <c r="K562" s="397">
        <v>-0.89</v>
      </c>
      <c r="L562" s="397">
        <v>-1.6E-2</v>
      </c>
      <c r="M562" s="398">
        <v>0</v>
      </c>
      <c r="N562" s="398">
        <v>0</v>
      </c>
      <c r="O562" s="398">
        <v>0</v>
      </c>
      <c r="P562" s="397">
        <v>0</v>
      </c>
    </row>
    <row r="563" spans="3:16" x14ac:dyDescent="0.25">
      <c r="C563" s="76"/>
      <c r="F563" t="s">
        <v>934</v>
      </c>
      <c r="H563" t="s">
        <v>261</v>
      </c>
      <c r="J563" s="397">
        <v>-6.7080000000000002</v>
      </c>
      <c r="K563" s="397">
        <v>-0.752</v>
      </c>
      <c r="L563" s="397">
        <v>-1.2999999999999999E-2</v>
      </c>
      <c r="M563" s="398">
        <v>0</v>
      </c>
      <c r="N563" s="398">
        <v>0</v>
      </c>
      <c r="O563" s="398">
        <v>0</v>
      </c>
      <c r="P563" s="397">
        <v>0</v>
      </c>
    </row>
    <row r="564" spans="3:16" x14ac:dyDescent="0.25">
      <c r="C564" s="76"/>
      <c r="F564" t="s">
        <v>935</v>
      </c>
      <c r="H564" t="s">
        <v>261</v>
      </c>
      <c r="J564" s="397">
        <v>-7.7220000000000004</v>
      </c>
      <c r="K564" s="397">
        <v>-0.89</v>
      </c>
      <c r="L564" s="397">
        <v>-1.6E-2</v>
      </c>
      <c r="M564" s="398">
        <v>0</v>
      </c>
      <c r="N564" s="398">
        <v>0</v>
      </c>
      <c r="O564" s="398">
        <v>0</v>
      </c>
      <c r="P564" s="397">
        <v>0.161</v>
      </c>
    </row>
    <row r="565" spans="3:16" x14ac:dyDescent="0.25">
      <c r="C565" s="76"/>
      <c r="F565" t="s">
        <v>936</v>
      </c>
      <c r="H565" t="s">
        <v>261</v>
      </c>
      <c r="J565" s="397">
        <v>-7.7220000000000004</v>
      </c>
      <c r="K565" s="397">
        <v>-0.89</v>
      </c>
      <c r="L565" s="397">
        <v>-1.6E-2</v>
      </c>
      <c r="M565" s="398">
        <v>0</v>
      </c>
      <c r="N565" s="398">
        <v>0</v>
      </c>
      <c r="O565" s="398">
        <v>0</v>
      </c>
      <c r="P565" s="397">
        <v>0</v>
      </c>
    </row>
    <row r="566" spans="3:16" x14ac:dyDescent="0.25">
      <c r="C566" s="76"/>
      <c r="F566" t="s">
        <v>937</v>
      </c>
      <c r="H566" t="s">
        <v>261</v>
      </c>
      <c r="J566" s="397">
        <v>-6.7080000000000002</v>
      </c>
      <c r="K566" s="397">
        <v>-0.752</v>
      </c>
      <c r="L566" s="397">
        <v>-1.2999999999999999E-2</v>
      </c>
      <c r="M566" s="398">
        <v>0</v>
      </c>
      <c r="N566" s="398">
        <v>0</v>
      </c>
      <c r="O566" s="398">
        <v>0</v>
      </c>
      <c r="P566" s="397">
        <v>0.13900000000000001</v>
      </c>
    </row>
    <row r="567" spans="3:16" x14ac:dyDescent="0.25">
      <c r="C567" s="76"/>
      <c r="F567" t="s">
        <v>938</v>
      </c>
      <c r="H567" t="s">
        <v>261</v>
      </c>
      <c r="J567" s="397">
        <v>-6.7080000000000002</v>
      </c>
      <c r="K567" s="397">
        <v>-0.752</v>
      </c>
      <c r="L567" s="397">
        <v>-1.2999999999999999E-2</v>
      </c>
      <c r="M567" s="398">
        <v>0</v>
      </c>
      <c r="N567" s="398">
        <v>0</v>
      </c>
      <c r="O567" s="398">
        <v>0</v>
      </c>
      <c r="P567" s="397">
        <v>0</v>
      </c>
    </row>
    <row r="568" spans="3:16" x14ac:dyDescent="0.25">
      <c r="C568" s="76"/>
      <c r="F568" t="s">
        <v>939</v>
      </c>
      <c r="H568" t="s">
        <v>261</v>
      </c>
      <c r="J568" s="397">
        <v>-4.1040000000000001</v>
      </c>
      <c r="K568" s="397">
        <v>-0.36699999999999999</v>
      </c>
      <c r="L568" s="397">
        <v>-6.0000000000000001E-3</v>
      </c>
      <c r="M568" s="398">
        <v>0</v>
      </c>
      <c r="N568" s="398">
        <v>0</v>
      </c>
      <c r="O568" s="398">
        <v>0</v>
      </c>
      <c r="P568" s="397">
        <v>0.114</v>
      </c>
    </row>
    <row r="569" spans="3:16" x14ac:dyDescent="0.25">
      <c r="C569" s="76"/>
      <c r="F569" s="17" t="s">
        <v>940</v>
      </c>
      <c r="G569" s="17"/>
      <c r="H569" s="17" t="s">
        <v>261</v>
      </c>
      <c r="I569" s="17"/>
      <c r="J569" s="383">
        <v>-4.1040000000000001</v>
      </c>
      <c r="K569" s="383">
        <v>-0.36699999999999999</v>
      </c>
      <c r="L569" s="383">
        <v>-6.0000000000000001E-3</v>
      </c>
      <c r="M569" s="293">
        <v>0</v>
      </c>
      <c r="N569" s="293">
        <v>0</v>
      </c>
      <c r="O569" s="293">
        <v>0</v>
      </c>
      <c r="P569" s="383">
        <v>0</v>
      </c>
    </row>
    <row r="570" spans="3:16" x14ac:dyDescent="0.25">
      <c r="F570" s="84"/>
      <c r="J570" s="294"/>
      <c r="K570" s="294"/>
      <c r="L570" s="294"/>
      <c r="M570" s="294"/>
      <c r="N570" s="294"/>
      <c r="O570" s="294"/>
      <c r="P570" s="384"/>
    </row>
    <row r="571" spans="3:16" x14ac:dyDescent="0.25">
      <c r="D571" s="52"/>
      <c r="E571" s="52" t="str">
        <f>"LDNO LV tariff forecast "&amp; 'ARP_User control'!G35</f>
        <v>LDNO LV tariff forecast 2028/29</v>
      </c>
      <c r="F571" s="84"/>
      <c r="J571" s="294"/>
      <c r="K571" s="294"/>
      <c r="L571" s="294"/>
      <c r="M571" s="294"/>
      <c r="N571" s="294"/>
      <c r="O571" s="294"/>
      <c r="P571" s="384"/>
    </row>
    <row r="572" spans="3:16" x14ac:dyDescent="0.25">
      <c r="C572" s="76"/>
      <c r="F572" s="80" t="s">
        <v>1001</v>
      </c>
      <c r="G572" s="80"/>
      <c r="H572" s="80" t="s">
        <v>146</v>
      </c>
      <c r="I572" s="80"/>
      <c r="J572" s="382">
        <v>5.8070000000000004</v>
      </c>
      <c r="K572" s="382">
        <v>0.67</v>
      </c>
      <c r="L572" s="382">
        <v>1.2E-2</v>
      </c>
      <c r="M572" s="291">
        <v>8.48</v>
      </c>
      <c r="N572" s="291">
        <v>0</v>
      </c>
      <c r="O572" s="291">
        <v>0</v>
      </c>
      <c r="P572" s="382">
        <v>0</v>
      </c>
    </row>
    <row r="573" spans="3:16" x14ac:dyDescent="0.25">
      <c r="C573" s="76"/>
      <c r="F573" t="s">
        <v>926</v>
      </c>
      <c r="H573" t="s">
        <v>146</v>
      </c>
      <c r="J573" s="397">
        <v>5.8070000000000004</v>
      </c>
      <c r="K573" s="397">
        <v>0.67</v>
      </c>
      <c r="L573" s="397">
        <v>1.2E-2</v>
      </c>
      <c r="M573" s="398">
        <v>0</v>
      </c>
      <c r="N573" s="398">
        <v>0</v>
      </c>
      <c r="O573" s="398">
        <v>0</v>
      </c>
      <c r="P573" s="397">
        <v>0</v>
      </c>
    </row>
    <row r="574" spans="3:16" x14ac:dyDescent="0.25">
      <c r="C574" s="76"/>
      <c r="F574" t="s">
        <v>1002</v>
      </c>
      <c r="H574" t="s">
        <v>146</v>
      </c>
      <c r="J574" s="397">
        <v>7.0090000000000003</v>
      </c>
      <c r="K574" s="397">
        <v>0.80800000000000005</v>
      </c>
      <c r="L574" s="397">
        <v>1.4E-2</v>
      </c>
      <c r="M574" s="398">
        <v>0.73</v>
      </c>
      <c r="N574" s="398">
        <v>0</v>
      </c>
      <c r="O574" s="398">
        <v>0</v>
      </c>
      <c r="P574" s="397">
        <v>0</v>
      </c>
    </row>
    <row r="575" spans="3:16" x14ac:dyDescent="0.25">
      <c r="C575" s="76"/>
      <c r="F575" t="s">
        <v>1003</v>
      </c>
      <c r="H575" t="s">
        <v>146</v>
      </c>
      <c r="J575" s="397">
        <v>7.0090000000000003</v>
      </c>
      <c r="K575" s="397">
        <v>0.80800000000000005</v>
      </c>
      <c r="L575" s="397">
        <v>1.4E-2</v>
      </c>
      <c r="M575" s="398">
        <v>10.53</v>
      </c>
      <c r="N575" s="398">
        <v>0</v>
      </c>
      <c r="O575" s="398">
        <v>0</v>
      </c>
      <c r="P575" s="397">
        <v>0</v>
      </c>
    </row>
    <row r="576" spans="3:16" x14ac:dyDescent="0.25">
      <c r="C576" s="76"/>
      <c r="F576" t="s">
        <v>1004</v>
      </c>
      <c r="H576" t="s">
        <v>146</v>
      </c>
      <c r="J576" s="397">
        <v>7.0090000000000003</v>
      </c>
      <c r="K576" s="397">
        <v>0.80800000000000005</v>
      </c>
      <c r="L576" s="397">
        <v>1.4E-2</v>
      </c>
      <c r="M576" s="398">
        <v>23.25</v>
      </c>
      <c r="N576" s="398">
        <v>0</v>
      </c>
      <c r="O576" s="398">
        <v>0</v>
      </c>
      <c r="P576" s="397">
        <v>0</v>
      </c>
    </row>
    <row r="577" spans="3:16" x14ac:dyDescent="0.25">
      <c r="C577" s="76"/>
      <c r="F577" t="s">
        <v>1005</v>
      </c>
      <c r="H577" t="s">
        <v>146</v>
      </c>
      <c r="J577" s="397">
        <v>7.0090000000000003</v>
      </c>
      <c r="K577" s="397">
        <v>0.80800000000000005</v>
      </c>
      <c r="L577" s="397">
        <v>1.4E-2</v>
      </c>
      <c r="M577" s="398">
        <v>49.36</v>
      </c>
      <c r="N577" s="398">
        <v>0</v>
      </c>
      <c r="O577" s="398">
        <v>0</v>
      </c>
      <c r="P577" s="397">
        <v>0</v>
      </c>
    </row>
    <row r="578" spans="3:16" x14ac:dyDescent="0.25">
      <c r="C578" s="76"/>
      <c r="F578" t="s">
        <v>1006</v>
      </c>
      <c r="H578" t="s">
        <v>146</v>
      </c>
      <c r="J578" s="397">
        <v>7.0090000000000003</v>
      </c>
      <c r="K578" s="397">
        <v>0.80800000000000005</v>
      </c>
      <c r="L578" s="397">
        <v>1.4E-2</v>
      </c>
      <c r="M578" s="398">
        <v>143.69999999999999</v>
      </c>
      <c r="N578" s="398">
        <v>0</v>
      </c>
      <c r="O578" s="398">
        <v>0</v>
      </c>
      <c r="P578" s="397">
        <v>0</v>
      </c>
    </row>
    <row r="579" spans="3:16" x14ac:dyDescent="0.25">
      <c r="C579" s="76"/>
      <c r="F579" t="s">
        <v>928</v>
      </c>
      <c r="H579" t="s">
        <v>146</v>
      </c>
      <c r="J579" s="397">
        <v>7.0090000000000003</v>
      </c>
      <c r="K579" s="397">
        <v>0.80800000000000005</v>
      </c>
      <c r="L579" s="397">
        <v>1.4E-2</v>
      </c>
      <c r="M579" s="398">
        <v>0</v>
      </c>
      <c r="N579" s="398">
        <v>0</v>
      </c>
      <c r="O579" s="398">
        <v>0</v>
      </c>
      <c r="P579" s="397">
        <v>0</v>
      </c>
    </row>
    <row r="580" spans="3:16" x14ac:dyDescent="0.25">
      <c r="C580" s="76"/>
      <c r="F580" t="s">
        <v>1007</v>
      </c>
      <c r="H580" t="s">
        <v>146</v>
      </c>
      <c r="J580" s="397">
        <v>5.048</v>
      </c>
      <c r="K580" s="397">
        <v>0.55100000000000005</v>
      </c>
      <c r="L580" s="397">
        <v>0.01</v>
      </c>
      <c r="M580" s="398">
        <v>0</v>
      </c>
      <c r="N580" s="398">
        <v>2.1800000000000002</v>
      </c>
      <c r="O580" s="398">
        <v>3</v>
      </c>
      <c r="P580" s="397">
        <v>0.104</v>
      </c>
    </row>
    <row r="581" spans="3:16" x14ac:dyDescent="0.25">
      <c r="C581" s="76"/>
      <c r="F581" t="s">
        <v>1008</v>
      </c>
      <c r="H581" t="s">
        <v>146</v>
      </c>
      <c r="J581" s="397">
        <v>5.048</v>
      </c>
      <c r="K581" s="397">
        <v>0.55100000000000005</v>
      </c>
      <c r="L581" s="397">
        <v>0.01</v>
      </c>
      <c r="M581" s="398">
        <v>265.52999999999997</v>
      </c>
      <c r="N581" s="398">
        <v>2.1800000000000002</v>
      </c>
      <c r="O581" s="398">
        <v>3</v>
      </c>
      <c r="P581" s="397">
        <v>0.104</v>
      </c>
    </row>
    <row r="582" spans="3:16" x14ac:dyDescent="0.25">
      <c r="C582" s="76"/>
      <c r="F582" t="s">
        <v>1009</v>
      </c>
      <c r="H582" t="s">
        <v>146</v>
      </c>
      <c r="J582" s="397">
        <v>5.048</v>
      </c>
      <c r="K582" s="397">
        <v>0.55100000000000005</v>
      </c>
      <c r="L582" s="397">
        <v>0.01</v>
      </c>
      <c r="M582" s="398">
        <v>464</v>
      </c>
      <c r="N582" s="398">
        <v>2.1800000000000002</v>
      </c>
      <c r="O582" s="398">
        <v>3</v>
      </c>
      <c r="P582" s="397">
        <v>0.104</v>
      </c>
    </row>
    <row r="583" spans="3:16" x14ac:dyDescent="0.25">
      <c r="C583" s="76"/>
      <c r="F583" t="s">
        <v>1010</v>
      </c>
      <c r="H583" t="s">
        <v>146</v>
      </c>
      <c r="J583" s="397">
        <v>5.048</v>
      </c>
      <c r="K583" s="397">
        <v>0.55100000000000005</v>
      </c>
      <c r="L583" s="397">
        <v>0.01</v>
      </c>
      <c r="M583" s="398">
        <v>782.42</v>
      </c>
      <c r="N583" s="398">
        <v>2.1800000000000002</v>
      </c>
      <c r="O583" s="398">
        <v>3</v>
      </c>
      <c r="P583" s="397">
        <v>0.104</v>
      </c>
    </row>
    <row r="584" spans="3:16" x14ac:dyDescent="0.25">
      <c r="C584" s="76"/>
      <c r="F584" t="s">
        <v>1011</v>
      </c>
      <c r="H584" t="s">
        <v>146</v>
      </c>
      <c r="J584" s="397">
        <v>5.048</v>
      </c>
      <c r="K584" s="397">
        <v>0.55100000000000005</v>
      </c>
      <c r="L584" s="397">
        <v>0.01</v>
      </c>
      <c r="M584" s="398">
        <v>1703.67</v>
      </c>
      <c r="N584" s="398">
        <v>2.1800000000000002</v>
      </c>
      <c r="O584" s="398">
        <v>3</v>
      </c>
      <c r="P584" s="397">
        <v>0.104</v>
      </c>
    </row>
    <row r="585" spans="3:16" x14ac:dyDescent="0.25">
      <c r="C585" s="76"/>
      <c r="F585" t="s">
        <v>1012</v>
      </c>
      <c r="H585" t="s">
        <v>146</v>
      </c>
      <c r="J585" s="399">
        <v>0</v>
      </c>
      <c r="K585" s="399">
        <v>0</v>
      </c>
      <c r="L585" s="399">
        <v>0</v>
      </c>
      <c r="M585" s="400">
        <v>0</v>
      </c>
      <c r="N585" s="400">
        <v>0</v>
      </c>
      <c r="O585" s="400">
        <v>0</v>
      </c>
      <c r="P585" s="399">
        <v>0</v>
      </c>
    </row>
    <row r="586" spans="3:16" x14ac:dyDescent="0.25">
      <c r="C586" s="76"/>
      <c r="F586" t="s">
        <v>1013</v>
      </c>
      <c r="H586" t="s">
        <v>146</v>
      </c>
      <c r="J586" s="399">
        <v>0</v>
      </c>
      <c r="K586" s="399">
        <v>0</v>
      </c>
      <c r="L586" s="399">
        <v>0</v>
      </c>
      <c r="M586" s="400">
        <v>0</v>
      </c>
      <c r="N586" s="400">
        <v>0</v>
      </c>
      <c r="O586" s="400">
        <v>0</v>
      </c>
      <c r="P586" s="399">
        <v>0</v>
      </c>
    </row>
    <row r="587" spans="3:16" x14ac:dyDescent="0.25">
      <c r="C587" s="76"/>
      <c r="F587" t="s">
        <v>1014</v>
      </c>
      <c r="H587" t="s">
        <v>146</v>
      </c>
      <c r="J587" s="399">
        <v>0</v>
      </c>
      <c r="K587" s="399">
        <v>0</v>
      </c>
      <c r="L587" s="399">
        <v>0</v>
      </c>
      <c r="M587" s="400">
        <v>0</v>
      </c>
      <c r="N587" s="400">
        <v>0</v>
      </c>
      <c r="O587" s="400">
        <v>0</v>
      </c>
      <c r="P587" s="399">
        <v>0</v>
      </c>
    </row>
    <row r="588" spans="3:16" x14ac:dyDescent="0.25">
      <c r="C588" s="76"/>
      <c r="F588" t="s">
        <v>1015</v>
      </c>
      <c r="H588" t="s">
        <v>146</v>
      </c>
      <c r="J588" s="399">
        <v>0</v>
      </c>
      <c r="K588" s="399">
        <v>0</v>
      </c>
      <c r="L588" s="399">
        <v>0</v>
      </c>
      <c r="M588" s="400">
        <v>0</v>
      </c>
      <c r="N588" s="400">
        <v>0</v>
      </c>
      <c r="O588" s="400">
        <v>0</v>
      </c>
      <c r="P588" s="399">
        <v>0</v>
      </c>
    </row>
    <row r="589" spans="3:16" x14ac:dyDescent="0.25">
      <c r="C589" s="76"/>
      <c r="F589" t="s">
        <v>1016</v>
      </c>
      <c r="H589" t="s">
        <v>146</v>
      </c>
      <c r="J589" s="399">
        <v>0</v>
      </c>
      <c r="K589" s="399">
        <v>0</v>
      </c>
      <c r="L589" s="399">
        <v>0</v>
      </c>
      <c r="M589" s="400">
        <v>0</v>
      </c>
      <c r="N589" s="400">
        <v>0</v>
      </c>
      <c r="O589" s="400">
        <v>0</v>
      </c>
      <c r="P589" s="399">
        <v>0</v>
      </c>
    </row>
    <row r="590" spans="3:16" x14ac:dyDescent="0.25">
      <c r="C590" s="76"/>
      <c r="F590" t="s">
        <v>1017</v>
      </c>
      <c r="H590" t="s">
        <v>146</v>
      </c>
      <c r="J590" s="399">
        <v>0</v>
      </c>
      <c r="K590" s="399">
        <v>0</v>
      </c>
      <c r="L590" s="399">
        <v>0</v>
      </c>
      <c r="M590" s="400">
        <v>0</v>
      </c>
      <c r="N590" s="400">
        <v>0</v>
      </c>
      <c r="O590" s="400">
        <v>0</v>
      </c>
      <c r="P590" s="399">
        <v>0</v>
      </c>
    </row>
    <row r="591" spans="3:16" x14ac:dyDescent="0.25">
      <c r="C591" s="76"/>
      <c r="F591" t="s">
        <v>1018</v>
      </c>
      <c r="H591" t="s">
        <v>146</v>
      </c>
      <c r="J591" s="399">
        <v>0</v>
      </c>
      <c r="K591" s="399">
        <v>0</v>
      </c>
      <c r="L591" s="399">
        <v>0</v>
      </c>
      <c r="M591" s="400">
        <v>0</v>
      </c>
      <c r="N591" s="400">
        <v>0</v>
      </c>
      <c r="O591" s="400">
        <v>0</v>
      </c>
      <c r="P591" s="399">
        <v>0</v>
      </c>
    </row>
    <row r="592" spans="3:16" x14ac:dyDescent="0.25">
      <c r="C592" s="76"/>
      <c r="F592" t="s">
        <v>1019</v>
      </c>
      <c r="H592" t="s">
        <v>146</v>
      </c>
      <c r="J592" s="399">
        <v>0</v>
      </c>
      <c r="K592" s="399">
        <v>0</v>
      </c>
      <c r="L592" s="399">
        <v>0</v>
      </c>
      <c r="M592" s="400">
        <v>0</v>
      </c>
      <c r="N592" s="400">
        <v>0</v>
      </c>
      <c r="O592" s="400">
        <v>0</v>
      </c>
      <c r="P592" s="399">
        <v>0</v>
      </c>
    </row>
    <row r="593" spans="3:19" x14ac:dyDescent="0.25">
      <c r="C593" s="76"/>
      <c r="F593" t="s">
        <v>1020</v>
      </c>
      <c r="H593" t="s">
        <v>146</v>
      </c>
      <c r="J593" s="399">
        <v>0</v>
      </c>
      <c r="K593" s="399">
        <v>0</v>
      </c>
      <c r="L593" s="399">
        <v>0</v>
      </c>
      <c r="M593" s="400">
        <v>0</v>
      </c>
      <c r="N593" s="400">
        <v>0</v>
      </c>
      <c r="O593" s="400">
        <v>0</v>
      </c>
      <c r="P593" s="399">
        <v>0</v>
      </c>
    </row>
    <row r="594" spans="3:19" x14ac:dyDescent="0.25">
      <c r="C594" s="76"/>
      <c r="F594" t="s">
        <v>1021</v>
      </c>
      <c r="H594" t="s">
        <v>146</v>
      </c>
      <c r="J594" s="399">
        <v>0</v>
      </c>
      <c r="K594" s="399">
        <v>0</v>
      </c>
      <c r="L594" s="399">
        <v>0</v>
      </c>
      <c r="M594" s="400">
        <v>0</v>
      </c>
      <c r="N594" s="400">
        <v>0</v>
      </c>
      <c r="O594" s="400">
        <v>0</v>
      </c>
      <c r="P594" s="399">
        <v>0</v>
      </c>
    </row>
    <row r="595" spans="3:19" x14ac:dyDescent="0.25">
      <c r="C595" s="76"/>
      <c r="F595" t="s">
        <v>932</v>
      </c>
      <c r="H595" t="s">
        <v>146</v>
      </c>
      <c r="J595" s="397">
        <v>16.728000000000002</v>
      </c>
      <c r="K595" s="397">
        <v>1.61</v>
      </c>
      <c r="L595" s="397">
        <v>0.96699999999999997</v>
      </c>
      <c r="M595" s="398">
        <v>0</v>
      </c>
      <c r="N595" s="398">
        <v>0</v>
      </c>
      <c r="O595" s="398">
        <v>0</v>
      </c>
      <c r="P595" s="397">
        <v>0</v>
      </c>
    </row>
    <row r="596" spans="3:19" x14ac:dyDescent="0.25">
      <c r="C596" s="76"/>
      <c r="F596" t="s">
        <v>933</v>
      </c>
      <c r="H596" t="s">
        <v>146</v>
      </c>
      <c r="J596" s="397">
        <v>-7.7220000000000004</v>
      </c>
      <c r="K596" s="397">
        <v>-0.89</v>
      </c>
      <c r="L596" s="397">
        <v>-1.6E-2</v>
      </c>
      <c r="M596" s="398">
        <v>0</v>
      </c>
      <c r="N596" s="398">
        <v>0</v>
      </c>
      <c r="O596" s="398">
        <v>0</v>
      </c>
      <c r="P596" s="397">
        <v>0</v>
      </c>
    </row>
    <row r="597" spans="3:19" x14ac:dyDescent="0.25">
      <c r="C597" s="76"/>
      <c r="F597" t="s">
        <v>934</v>
      </c>
      <c r="H597" t="s">
        <v>146</v>
      </c>
      <c r="J597" s="399">
        <v>0</v>
      </c>
      <c r="K597" s="399">
        <v>0</v>
      </c>
      <c r="L597" s="399">
        <v>0</v>
      </c>
      <c r="M597" s="400">
        <v>0</v>
      </c>
      <c r="N597" s="400">
        <v>0</v>
      </c>
      <c r="O597" s="400">
        <v>0</v>
      </c>
      <c r="P597" s="399">
        <v>0</v>
      </c>
    </row>
    <row r="598" spans="3:19" x14ac:dyDescent="0.25">
      <c r="C598" s="76"/>
      <c r="F598" t="s">
        <v>935</v>
      </c>
      <c r="H598" t="s">
        <v>146</v>
      </c>
      <c r="J598" s="397">
        <v>-7.7220000000000004</v>
      </c>
      <c r="K598" s="397">
        <v>-0.89</v>
      </c>
      <c r="L598" s="397">
        <v>-1.6E-2</v>
      </c>
      <c r="M598" s="398">
        <v>0</v>
      </c>
      <c r="N598" s="398">
        <v>0</v>
      </c>
      <c r="O598" s="398">
        <v>0</v>
      </c>
      <c r="P598" s="397">
        <v>0.161</v>
      </c>
    </row>
    <row r="599" spans="3:19" x14ac:dyDescent="0.25">
      <c r="C599" s="76"/>
      <c r="F599" t="s">
        <v>936</v>
      </c>
      <c r="H599" t="s">
        <v>146</v>
      </c>
      <c r="J599" s="399">
        <v>0</v>
      </c>
      <c r="K599" s="399">
        <v>0</v>
      </c>
      <c r="L599" s="399">
        <v>0</v>
      </c>
      <c r="M599" s="400">
        <v>0</v>
      </c>
      <c r="N599" s="400">
        <v>0</v>
      </c>
      <c r="O599" s="400">
        <v>0</v>
      </c>
      <c r="P599" s="399">
        <v>0</v>
      </c>
    </row>
    <row r="600" spans="3:19" x14ac:dyDescent="0.25">
      <c r="C600" s="76"/>
      <c r="F600" t="s">
        <v>937</v>
      </c>
      <c r="H600" t="s">
        <v>146</v>
      </c>
      <c r="J600" s="399">
        <v>0</v>
      </c>
      <c r="K600" s="399">
        <v>0</v>
      </c>
      <c r="L600" s="399">
        <v>0</v>
      </c>
      <c r="M600" s="400">
        <v>0</v>
      </c>
      <c r="N600" s="400">
        <v>0</v>
      </c>
      <c r="O600" s="400">
        <v>0</v>
      </c>
      <c r="P600" s="399">
        <v>0</v>
      </c>
    </row>
    <row r="601" spans="3:19" x14ac:dyDescent="0.25">
      <c r="C601" s="76"/>
      <c r="F601" t="s">
        <v>938</v>
      </c>
      <c r="H601" t="s">
        <v>146</v>
      </c>
      <c r="J601" s="399">
        <v>0</v>
      </c>
      <c r="K601" s="399">
        <v>0</v>
      </c>
      <c r="L601" s="399">
        <v>0</v>
      </c>
      <c r="M601" s="400">
        <v>0</v>
      </c>
      <c r="N601" s="400">
        <v>0</v>
      </c>
      <c r="O601" s="400">
        <v>0</v>
      </c>
      <c r="P601" s="399">
        <v>0</v>
      </c>
    </row>
    <row r="602" spans="3:19" x14ac:dyDescent="0.25">
      <c r="C602" s="76"/>
      <c r="F602" t="s">
        <v>939</v>
      </c>
      <c r="H602" t="s">
        <v>146</v>
      </c>
      <c r="J602" s="399">
        <v>0</v>
      </c>
      <c r="K602" s="399">
        <v>0</v>
      </c>
      <c r="L602" s="399">
        <v>0</v>
      </c>
      <c r="M602" s="400">
        <v>0</v>
      </c>
      <c r="N602" s="400">
        <v>0</v>
      </c>
      <c r="O602" s="400">
        <v>0</v>
      </c>
      <c r="P602" s="399">
        <v>0</v>
      </c>
    </row>
    <row r="603" spans="3:19" x14ac:dyDescent="0.25">
      <c r="C603" s="76"/>
      <c r="F603" s="17" t="s">
        <v>940</v>
      </c>
      <c r="G603" s="17"/>
      <c r="H603" s="17" t="s">
        <v>146</v>
      </c>
      <c r="I603" s="17"/>
      <c r="J603" s="385">
        <v>0</v>
      </c>
      <c r="K603" s="385">
        <v>0</v>
      </c>
      <c r="L603" s="385">
        <v>0</v>
      </c>
      <c r="M603" s="295">
        <v>0</v>
      </c>
      <c r="N603" s="295">
        <v>0</v>
      </c>
      <c r="O603" s="295">
        <v>0</v>
      </c>
      <c r="P603" s="385">
        <v>0</v>
      </c>
    </row>
    <row r="604" spans="3:19" x14ac:dyDescent="0.25">
      <c r="C604" s="52"/>
      <c r="D604" s="52"/>
      <c r="E604" s="52"/>
      <c r="J604" s="384"/>
      <c r="K604" s="384"/>
      <c r="L604" s="384"/>
      <c r="M604" s="294"/>
      <c r="N604" s="294"/>
      <c r="O604" s="294"/>
      <c r="P604" s="384"/>
      <c r="Q604" s="52"/>
      <c r="R604" s="52"/>
      <c r="S604" s="52"/>
    </row>
    <row r="605" spans="3:19" x14ac:dyDescent="0.25">
      <c r="C605" s="52"/>
      <c r="D605" s="52"/>
      <c r="E605" s="52" t="str">
        <f>"LDNO HV tariff forecast "&amp; 'ARP_User control'!G35</f>
        <v>LDNO HV tariff forecast 2028/29</v>
      </c>
      <c r="J605" s="384"/>
      <c r="K605" s="384"/>
      <c r="L605" s="384"/>
      <c r="M605" s="294"/>
      <c r="N605" s="294"/>
      <c r="O605" s="294"/>
      <c r="P605" s="384"/>
      <c r="Q605" s="52"/>
      <c r="R605" s="52"/>
      <c r="S605" s="52"/>
    </row>
    <row r="606" spans="3:19" x14ac:dyDescent="0.25">
      <c r="C606" s="76"/>
      <c r="F606" s="80" t="s">
        <v>1001</v>
      </c>
      <c r="G606" s="80"/>
      <c r="H606" s="80" t="s">
        <v>147</v>
      </c>
      <c r="I606" s="80"/>
      <c r="J606" s="382">
        <v>3.8439999999999999</v>
      </c>
      <c r="K606" s="382">
        <v>0.443</v>
      </c>
      <c r="L606" s="382">
        <v>8.0000000000000002E-3</v>
      </c>
      <c r="M606" s="291">
        <v>5.61</v>
      </c>
      <c r="N606" s="291">
        <v>0</v>
      </c>
      <c r="O606" s="291">
        <v>0</v>
      </c>
      <c r="P606" s="382">
        <v>0</v>
      </c>
    </row>
    <row r="607" spans="3:19" x14ac:dyDescent="0.25">
      <c r="C607" s="76"/>
      <c r="F607" t="s">
        <v>926</v>
      </c>
      <c r="H607" t="s">
        <v>147</v>
      </c>
      <c r="J607" s="397">
        <v>3.8439999999999999</v>
      </c>
      <c r="K607" s="397">
        <v>0.443</v>
      </c>
      <c r="L607" s="397">
        <v>8.0000000000000002E-3</v>
      </c>
      <c r="M607" s="398">
        <v>0</v>
      </c>
      <c r="N607" s="398">
        <v>0</v>
      </c>
      <c r="O607" s="398">
        <v>0</v>
      </c>
      <c r="P607" s="397">
        <v>0</v>
      </c>
    </row>
    <row r="608" spans="3:19" x14ac:dyDescent="0.25">
      <c r="C608" s="76"/>
      <c r="F608" t="s">
        <v>1002</v>
      </c>
      <c r="H608" t="s">
        <v>147</v>
      </c>
      <c r="J608" s="397">
        <v>4.6390000000000002</v>
      </c>
      <c r="K608" s="397">
        <v>0.53500000000000003</v>
      </c>
      <c r="L608" s="397">
        <v>0.01</v>
      </c>
      <c r="M608" s="398">
        <v>0.48</v>
      </c>
      <c r="N608" s="398">
        <v>0</v>
      </c>
      <c r="O608" s="398">
        <v>0</v>
      </c>
      <c r="P608" s="397">
        <v>0</v>
      </c>
    </row>
    <row r="609" spans="3:16" x14ac:dyDescent="0.25">
      <c r="C609" s="76"/>
      <c r="F609" t="s">
        <v>1003</v>
      </c>
      <c r="H609" t="s">
        <v>147</v>
      </c>
      <c r="J609" s="397">
        <v>4.6390000000000002</v>
      </c>
      <c r="K609" s="397">
        <v>0.53500000000000003</v>
      </c>
      <c r="L609" s="397">
        <v>0.01</v>
      </c>
      <c r="M609" s="398">
        <v>6.97</v>
      </c>
      <c r="N609" s="398">
        <v>0</v>
      </c>
      <c r="O609" s="398">
        <v>0</v>
      </c>
      <c r="P609" s="397">
        <v>0</v>
      </c>
    </row>
    <row r="610" spans="3:16" x14ac:dyDescent="0.25">
      <c r="C610" s="76"/>
      <c r="F610" t="s">
        <v>1004</v>
      </c>
      <c r="H610" t="s">
        <v>147</v>
      </c>
      <c r="J610" s="397">
        <v>4.6390000000000002</v>
      </c>
      <c r="K610" s="397">
        <v>0.53500000000000003</v>
      </c>
      <c r="L610" s="397">
        <v>0.01</v>
      </c>
      <c r="M610" s="398">
        <v>15.39</v>
      </c>
      <c r="N610" s="398">
        <v>0</v>
      </c>
      <c r="O610" s="398">
        <v>0</v>
      </c>
      <c r="P610" s="397">
        <v>0</v>
      </c>
    </row>
    <row r="611" spans="3:16" x14ac:dyDescent="0.25">
      <c r="C611" s="76"/>
      <c r="F611" t="s">
        <v>1005</v>
      </c>
      <c r="H611" t="s">
        <v>147</v>
      </c>
      <c r="J611" s="397">
        <v>4.6390000000000002</v>
      </c>
      <c r="K611" s="397">
        <v>0.53500000000000003</v>
      </c>
      <c r="L611" s="397">
        <v>0.01</v>
      </c>
      <c r="M611" s="398">
        <v>32.67</v>
      </c>
      <c r="N611" s="398">
        <v>0</v>
      </c>
      <c r="O611" s="398">
        <v>0</v>
      </c>
      <c r="P611" s="397">
        <v>0</v>
      </c>
    </row>
    <row r="612" spans="3:16" x14ac:dyDescent="0.25">
      <c r="C612" s="76"/>
      <c r="F612" t="s">
        <v>1006</v>
      </c>
      <c r="H612" t="s">
        <v>147</v>
      </c>
      <c r="J612" s="397">
        <v>4.6390000000000002</v>
      </c>
      <c r="K612" s="397">
        <v>0.53500000000000003</v>
      </c>
      <c r="L612" s="397">
        <v>0.01</v>
      </c>
      <c r="M612" s="398">
        <v>95.11</v>
      </c>
      <c r="N612" s="398">
        <v>0</v>
      </c>
      <c r="O612" s="398">
        <v>0</v>
      </c>
      <c r="P612" s="397">
        <v>0</v>
      </c>
    </row>
    <row r="613" spans="3:16" x14ac:dyDescent="0.25">
      <c r="C613" s="76"/>
      <c r="F613" t="s">
        <v>928</v>
      </c>
      <c r="H613" t="s">
        <v>147</v>
      </c>
      <c r="J613" s="397">
        <v>4.6390000000000002</v>
      </c>
      <c r="K613" s="397">
        <v>0.53500000000000003</v>
      </c>
      <c r="L613" s="397">
        <v>0.01</v>
      </c>
      <c r="M613" s="398">
        <v>0</v>
      </c>
      <c r="N613" s="398">
        <v>0</v>
      </c>
      <c r="O613" s="398">
        <v>0</v>
      </c>
      <c r="P613" s="397">
        <v>0</v>
      </c>
    </row>
    <row r="614" spans="3:16" x14ac:dyDescent="0.25">
      <c r="C614" s="76"/>
      <c r="F614" t="s">
        <v>1007</v>
      </c>
      <c r="H614" t="s">
        <v>147</v>
      </c>
      <c r="J614" s="397">
        <v>3.3410000000000002</v>
      </c>
      <c r="K614" s="397">
        <v>0.36499999999999999</v>
      </c>
      <c r="L614" s="397">
        <v>6.0000000000000001E-3</v>
      </c>
      <c r="M614" s="398">
        <v>0</v>
      </c>
      <c r="N614" s="398">
        <v>1.44</v>
      </c>
      <c r="O614" s="398">
        <v>1.99</v>
      </c>
      <c r="P614" s="397">
        <v>6.9000000000000006E-2</v>
      </c>
    </row>
    <row r="615" spans="3:16" x14ac:dyDescent="0.25">
      <c r="C615" s="76"/>
      <c r="F615" t="s">
        <v>1008</v>
      </c>
      <c r="H615" t="s">
        <v>147</v>
      </c>
      <c r="J615" s="397">
        <v>3.3410000000000002</v>
      </c>
      <c r="K615" s="397">
        <v>0.36499999999999999</v>
      </c>
      <c r="L615" s="397">
        <v>6.0000000000000001E-3</v>
      </c>
      <c r="M615" s="398">
        <v>175.75</v>
      </c>
      <c r="N615" s="398">
        <v>1.44</v>
      </c>
      <c r="O615" s="398">
        <v>1.99</v>
      </c>
      <c r="P615" s="397">
        <v>6.9000000000000006E-2</v>
      </c>
    </row>
    <row r="616" spans="3:16" x14ac:dyDescent="0.25">
      <c r="C616" s="76"/>
      <c r="F616" t="s">
        <v>1009</v>
      </c>
      <c r="H616" t="s">
        <v>147</v>
      </c>
      <c r="J616" s="397">
        <v>3.3410000000000002</v>
      </c>
      <c r="K616" s="397">
        <v>0.36499999999999999</v>
      </c>
      <c r="L616" s="397">
        <v>6.0000000000000001E-3</v>
      </c>
      <c r="M616" s="398">
        <v>307.12</v>
      </c>
      <c r="N616" s="398">
        <v>1.44</v>
      </c>
      <c r="O616" s="398">
        <v>1.99</v>
      </c>
      <c r="P616" s="397">
        <v>6.9000000000000006E-2</v>
      </c>
    </row>
    <row r="617" spans="3:16" x14ac:dyDescent="0.25">
      <c r="C617" s="76"/>
      <c r="F617" t="s">
        <v>1010</v>
      </c>
      <c r="H617" t="s">
        <v>147</v>
      </c>
      <c r="J617" s="397">
        <v>3.3410000000000002</v>
      </c>
      <c r="K617" s="397">
        <v>0.36499999999999999</v>
      </c>
      <c r="L617" s="397">
        <v>6.0000000000000001E-3</v>
      </c>
      <c r="M617" s="398">
        <v>517.88</v>
      </c>
      <c r="N617" s="398">
        <v>1.44</v>
      </c>
      <c r="O617" s="398">
        <v>1.99</v>
      </c>
      <c r="P617" s="397">
        <v>6.9000000000000006E-2</v>
      </c>
    </row>
    <row r="618" spans="3:16" x14ac:dyDescent="0.25">
      <c r="C618" s="76"/>
      <c r="F618" t="s">
        <v>1011</v>
      </c>
      <c r="H618" t="s">
        <v>147</v>
      </c>
      <c r="J618" s="397">
        <v>3.3410000000000002</v>
      </c>
      <c r="K618" s="397">
        <v>0.36499999999999999</v>
      </c>
      <c r="L618" s="397">
        <v>6.0000000000000001E-3</v>
      </c>
      <c r="M618" s="398">
        <v>1127.6500000000001</v>
      </c>
      <c r="N618" s="398">
        <v>1.44</v>
      </c>
      <c r="O618" s="398">
        <v>1.99</v>
      </c>
      <c r="P618" s="397">
        <v>6.9000000000000006E-2</v>
      </c>
    </row>
    <row r="619" spans="3:16" x14ac:dyDescent="0.25">
      <c r="C619" s="76"/>
      <c r="F619" t="s">
        <v>1012</v>
      </c>
      <c r="H619" t="s">
        <v>147</v>
      </c>
      <c r="J619" s="397">
        <v>3.2080000000000002</v>
      </c>
      <c r="K619" s="397">
        <v>0.28799999999999998</v>
      </c>
      <c r="L619" s="397">
        <v>4.0000000000000001E-3</v>
      </c>
      <c r="M619" s="398">
        <v>0</v>
      </c>
      <c r="N619" s="398">
        <v>4.33</v>
      </c>
      <c r="O619" s="398">
        <v>4.8499999999999996</v>
      </c>
      <c r="P619" s="397">
        <v>5.8000000000000003E-2</v>
      </c>
    </row>
    <row r="620" spans="3:16" x14ac:dyDescent="0.25">
      <c r="C620" s="76"/>
      <c r="F620" t="s">
        <v>1013</v>
      </c>
      <c r="H620" t="s">
        <v>147</v>
      </c>
      <c r="J620" s="397">
        <v>3.2080000000000002</v>
      </c>
      <c r="K620" s="397">
        <v>0.28799999999999998</v>
      </c>
      <c r="L620" s="397">
        <v>4.0000000000000001E-3</v>
      </c>
      <c r="M620" s="398">
        <v>296.47000000000003</v>
      </c>
      <c r="N620" s="398">
        <v>4.33</v>
      </c>
      <c r="O620" s="398">
        <v>4.8499999999999996</v>
      </c>
      <c r="P620" s="397">
        <v>5.8000000000000003E-2</v>
      </c>
    </row>
    <row r="621" spans="3:16" x14ac:dyDescent="0.25">
      <c r="C621" s="76"/>
      <c r="F621" t="s">
        <v>1014</v>
      </c>
      <c r="H621" t="s">
        <v>147</v>
      </c>
      <c r="J621" s="397">
        <v>3.2080000000000002</v>
      </c>
      <c r="K621" s="397">
        <v>0.28799999999999998</v>
      </c>
      <c r="L621" s="397">
        <v>4.0000000000000001E-3</v>
      </c>
      <c r="M621" s="398">
        <v>518.08000000000004</v>
      </c>
      <c r="N621" s="398">
        <v>4.33</v>
      </c>
      <c r="O621" s="398">
        <v>4.8499999999999996</v>
      </c>
      <c r="P621" s="397">
        <v>5.8000000000000003E-2</v>
      </c>
    </row>
    <row r="622" spans="3:16" x14ac:dyDescent="0.25">
      <c r="C622" s="76"/>
      <c r="F622" t="s">
        <v>1015</v>
      </c>
      <c r="H622" t="s">
        <v>147</v>
      </c>
      <c r="J622" s="397">
        <v>3.2080000000000002</v>
      </c>
      <c r="K622" s="397">
        <v>0.28799999999999998</v>
      </c>
      <c r="L622" s="397">
        <v>4.0000000000000001E-3</v>
      </c>
      <c r="M622" s="398">
        <v>873.62</v>
      </c>
      <c r="N622" s="398">
        <v>4.33</v>
      </c>
      <c r="O622" s="398">
        <v>4.8499999999999996</v>
      </c>
      <c r="P622" s="397">
        <v>5.8000000000000003E-2</v>
      </c>
    </row>
    <row r="623" spans="3:16" x14ac:dyDescent="0.25">
      <c r="C623" s="76"/>
      <c r="F623" t="s">
        <v>1016</v>
      </c>
      <c r="H623" t="s">
        <v>147</v>
      </c>
      <c r="J623" s="397">
        <v>3.2080000000000002</v>
      </c>
      <c r="K623" s="397">
        <v>0.28799999999999998</v>
      </c>
      <c r="L623" s="397">
        <v>4.0000000000000001E-3</v>
      </c>
      <c r="M623" s="398">
        <v>1902.24</v>
      </c>
      <c r="N623" s="398">
        <v>4.33</v>
      </c>
      <c r="O623" s="398">
        <v>4.8499999999999996</v>
      </c>
      <c r="P623" s="397">
        <v>5.8000000000000003E-2</v>
      </c>
    </row>
    <row r="624" spans="3:16" x14ac:dyDescent="0.25">
      <c r="C624" s="76"/>
      <c r="F624" t="s">
        <v>1017</v>
      </c>
      <c r="H624" t="s">
        <v>147</v>
      </c>
      <c r="J624" s="397">
        <v>2.5329999999999999</v>
      </c>
      <c r="K624" s="397">
        <v>0.20100000000000001</v>
      </c>
      <c r="L624" s="397">
        <v>3.0000000000000001E-3</v>
      </c>
      <c r="M624" s="398">
        <v>0</v>
      </c>
      <c r="N624" s="398">
        <v>5.53</v>
      </c>
      <c r="O624" s="398">
        <v>6.62</v>
      </c>
      <c r="P624" s="397">
        <v>4.2000000000000003E-2</v>
      </c>
    </row>
    <row r="625" spans="2:19" x14ac:dyDescent="0.25">
      <c r="C625" s="76"/>
      <c r="F625" t="s">
        <v>1018</v>
      </c>
      <c r="H625" t="s">
        <v>147</v>
      </c>
      <c r="J625" s="397">
        <v>2.5329999999999999</v>
      </c>
      <c r="K625" s="397">
        <v>0.20100000000000001</v>
      </c>
      <c r="L625" s="397">
        <v>3.0000000000000001E-3</v>
      </c>
      <c r="M625" s="398">
        <v>1700.19</v>
      </c>
      <c r="N625" s="398">
        <v>5.53</v>
      </c>
      <c r="O625" s="398">
        <v>6.62</v>
      </c>
      <c r="P625" s="397">
        <v>4.2000000000000003E-2</v>
      </c>
    </row>
    <row r="626" spans="2:19" x14ac:dyDescent="0.25">
      <c r="C626" s="76"/>
      <c r="F626" t="s">
        <v>1019</v>
      </c>
      <c r="H626" t="s">
        <v>147</v>
      </c>
      <c r="J626" s="397">
        <v>2.5329999999999999</v>
      </c>
      <c r="K626" s="397">
        <v>0.20100000000000001</v>
      </c>
      <c r="L626" s="397">
        <v>3.0000000000000001E-3</v>
      </c>
      <c r="M626" s="398">
        <v>5155.3500000000004</v>
      </c>
      <c r="N626" s="398">
        <v>5.53</v>
      </c>
      <c r="O626" s="398">
        <v>6.62</v>
      </c>
      <c r="P626" s="397">
        <v>4.2000000000000003E-2</v>
      </c>
    </row>
    <row r="627" spans="2:19" x14ac:dyDescent="0.25">
      <c r="C627" s="76"/>
      <c r="F627" t="s">
        <v>1020</v>
      </c>
      <c r="H627" t="s">
        <v>147</v>
      </c>
      <c r="J627" s="397">
        <v>2.5329999999999999</v>
      </c>
      <c r="K627" s="397">
        <v>0.20100000000000001</v>
      </c>
      <c r="L627" s="397">
        <v>3.0000000000000001E-3</v>
      </c>
      <c r="M627" s="398">
        <v>10509.07</v>
      </c>
      <c r="N627" s="398">
        <v>5.53</v>
      </c>
      <c r="O627" s="398">
        <v>6.62</v>
      </c>
      <c r="P627" s="397">
        <v>4.2000000000000003E-2</v>
      </c>
    </row>
    <row r="628" spans="2:19" x14ac:dyDescent="0.25">
      <c r="C628" s="76"/>
      <c r="F628" t="s">
        <v>1021</v>
      </c>
      <c r="H628" t="s">
        <v>147</v>
      </c>
      <c r="J628" s="397">
        <v>2.5329999999999999</v>
      </c>
      <c r="K628" s="397">
        <v>0.20100000000000001</v>
      </c>
      <c r="L628" s="397">
        <v>3.0000000000000001E-3</v>
      </c>
      <c r="M628" s="398">
        <v>27873.21</v>
      </c>
      <c r="N628" s="398">
        <v>5.53</v>
      </c>
      <c r="O628" s="398">
        <v>6.62</v>
      </c>
      <c r="P628" s="397">
        <v>4.2000000000000003E-2</v>
      </c>
    </row>
    <row r="629" spans="2:19" x14ac:dyDescent="0.25">
      <c r="C629" s="76"/>
      <c r="F629" t="s">
        <v>932</v>
      </c>
      <c r="H629" t="s">
        <v>147</v>
      </c>
      <c r="J629" s="397">
        <v>11.071999999999999</v>
      </c>
      <c r="K629" s="397">
        <v>1.0660000000000001</v>
      </c>
      <c r="L629" s="397">
        <v>0.64</v>
      </c>
      <c r="M629" s="398">
        <v>0</v>
      </c>
      <c r="N629" s="398">
        <v>0</v>
      </c>
      <c r="O629" s="398">
        <v>0</v>
      </c>
      <c r="P629" s="397">
        <v>0</v>
      </c>
    </row>
    <row r="630" spans="2:19" x14ac:dyDescent="0.25">
      <c r="C630" s="76"/>
      <c r="F630" t="s">
        <v>933</v>
      </c>
      <c r="H630" t="s">
        <v>147</v>
      </c>
      <c r="J630" s="397">
        <v>-7.7220000000000004</v>
      </c>
      <c r="K630" s="397">
        <v>-0.89</v>
      </c>
      <c r="L630" s="397">
        <v>-1.6E-2</v>
      </c>
      <c r="M630" s="398">
        <v>0</v>
      </c>
      <c r="N630" s="398">
        <v>0</v>
      </c>
      <c r="O630" s="398">
        <v>0</v>
      </c>
      <c r="P630" s="397">
        <v>0</v>
      </c>
    </row>
    <row r="631" spans="2:19" x14ac:dyDescent="0.25">
      <c r="C631" s="76"/>
      <c r="F631" t="s">
        <v>934</v>
      </c>
      <c r="H631" t="s">
        <v>147</v>
      </c>
      <c r="J631" s="397">
        <v>-6.7080000000000002</v>
      </c>
      <c r="K631" s="397">
        <v>-0.752</v>
      </c>
      <c r="L631" s="397">
        <v>-1.2999999999999999E-2</v>
      </c>
      <c r="M631" s="398">
        <v>0</v>
      </c>
      <c r="N631" s="398">
        <v>0</v>
      </c>
      <c r="O631" s="398">
        <v>0</v>
      </c>
      <c r="P631" s="397">
        <v>0</v>
      </c>
    </row>
    <row r="632" spans="2:19" x14ac:dyDescent="0.25">
      <c r="C632" s="76"/>
      <c r="F632" t="s">
        <v>935</v>
      </c>
      <c r="H632" t="s">
        <v>147</v>
      </c>
      <c r="J632" s="397">
        <v>-7.7220000000000004</v>
      </c>
      <c r="K632" s="397">
        <v>-0.89</v>
      </c>
      <c r="L632" s="397">
        <v>-1.6E-2</v>
      </c>
      <c r="M632" s="398">
        <v>0</v>
      </c>
      <c r="N632" s="398">
        <v>0</v>
      </c>
      <c r="O632" s="398">
        <v>0</v>
      </c>
      <c r="P632" s="397">
        <v>0.161</v>
      </c>
    </row>
    <row r="633" spans="2:19" x14ac:dyDescent="0.25">
      <c r="C633" s="76"/>
      <c r="F633" t="s">
        <v>936</v>
      </c>
      <c r="H633" t="s">
        <v>147</v>
      </c>
      <c r="J633" s="399">
        <v>0</v>
      </c>
      <c r="K633" s="399">
        <v>0</v>
      </c>
      <c r="L633" s="399">
        <v>0</v>
      </c>
      <c r="M633" s="400">
        <v>0</v>
      </c>
      <c r="N633" s="400">
        <v>0</v>
      </c>
      <c r="O633" s="400">
        <v>0</v>
      </c>
      <c r="P633" s="399">
        <v>0</v>
      </c>
    </row>
    <row r="634" spans="2:19" x14ac:dyDescent="0.25">
      <c r="C634" s="76"/>
      <c r="F634" t="s">
        <v>937</v>
      </c>
      <c r="H634" t="s">
        <v>147</v>
      </c>
      <c r="J634" s="397">
        <v>-6.7080000000000002</v>
      </c>
      <c r="K634" s="397">
        <v>-0.752</v>
      </c>
      <c r="L634" s="397">
        <v>-1.2999999999999999E-2</v>
      </c>
      <c r="M634" s="398">
        <v>0</v>
      </c>
      <c r="N634" s="398">
        <v>0</v>
      </c>
      <c r="O634" s="398">
        <v>0</v>
      </c>
      <c r="P634" s="397">
        <v>0.13900000000000001</v>
      </c>
    </row>
    <row r="635" spans="2:19" x14ac:dyDescent="0.25">
      <c r="C635" s="76"/>
      <c r="F635" t="s">
        <v>938</v>
      </c>
      <c r="H635" t="s">
        <v>147</v>
      </c>
      <c r="J635" s="399">
        <v>0</v>
      </c>
      <c r="K635" s="399">
        <v>0</v>
      </c>
      <c r="L635" s="399">
        <v>0</v>
      </c>
      <c r="M635" s="400">
        <v>0</v>
      </c>
      <c r="N635" s="400">
        <v>0</v>
      </c>
      <c r="O635" s="400">
        <v>0</v>
      </c>
      <c r="P635" s="399">
        <v>0</v>
      </c>
    </row>
    <row r="636" spans="2:19" x14ac:dyDescent="0.25">
      <c r="C636" s="76"/>
      <c r="F636" t="s">
        <v>939</v>
      </c>
      <c r="H636" t="s">
        <v>147</v>
      </c>
      <c r="J636" s="397">
        <v>-4.1040000000000001</v>
      </c>
      <c r="K636" s="397">
        <v>-0.36699999999999999</v>
      </c>
      <c r="L636" s="397">
        <v>-6.0000000000000001E-3</v>
      </c>
      <c r="M636" s="398">
        <v>0</v>
      </c>
      <c r="N636" s="398">
        <v>0</v>
      </c>
      <c r="O636" s="398">
        <v>0</v>
      </c>
      <c r="P636" s="397">
        <v>0.114</v>
      </c>
    </row>
    <row r="637" spans="2:19" x14ac:dyDescent="0.25">
      <c r="C637" s="76"/>
      <c r="F637" s="17" t="s">
        <v>940</v>
      </c>
      <c r="G637" s="17"/>
      <c r="H637" s="17" t="s">
        <v>147</v>
      </c>
      <c r="I637" s="17"/>
      <c r="J637" s="385">
        <v>0</v>
      </c>
      <c r="K637" s="385">
        <v>0</v>
      </c>
      <c r="L637" s="385">
        <v>0</v>
      </c>
      <c r="M637" s="295">
        <v>0</v>
      </c>
      <c r="N637" s="295">
        <v>0</v>
      </c>
      <c r="O637" s="295">
        <v>0</v>
      </c>
      <c r="P637" s="385">
        <v>0</v>
      </c>
    </row>
    <row r="638" spans="2:19" x14ac:dyDescent="0.25"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185"/>
      <c r="N638" s="185"/>
      <c r="O638" s="185"/>
      <c r="P638" s="52"/>
      <c r="Q638" s="52"/>
      <c r="R638" s="52"/>
      <c r="S638" s="52"/>
    </row>
    <row r="639" spans="2:19" x14ac:dyDescent="0.25">
      <c r="B639" s="82" t="s">
        <v>109</v>
      </c>
      <c r="C639" s="82"/>
      <c r="D639" s="82"/>
      <c r="E639" s="82"/>
      <c r="F639" s="82"/>
      <c r="G639" s="82"/>
      <c r="H639" s="82"/>
      <c r="I639" s="82"/>
      <c r="J639" s="82"/>
      <c r="K639" s="82"/>
      <c r="L639" s="64"/>
      <c r="M639" s="186"/>
      <c r="N639" s="186"/>
      <c r="O639" s="186"/>
      <c r="P639" s="64"/>
      <c r="Q639" s="64"/>
      <c r="R639" s="64"/>
    </row>
    <row r="640" spans="2:19" x14ac:dyDescent="0.25">
      <c r="M640" s="184"/>
      <c r="N640" s="184"/>
      <c r="O640" s="184"/>
    </row>
    <row r="641" spans="2:18" x14ac:dyDescent="0.25">
      <c r="D641"/>
      <c r="E641" t="s">
        <v>415</v>
      </c>
      <c r="G641" s="46" t="s">
        <v>588</v>
      </c>
      <c r="H641" s="263">
        <f t="array" ref="H641">SUM(IF(ISERROR(J18:P117), 1))</f>
        <v>0</v>
      </c>
      <c r="M641" s="184"/>
      <c r="N641" s="184"/>
      <c r="O641" s="184"/>
    </row>
    <row r="642" spans="2:18" x14ac:dyDescent="0.25">
      <c r="M642" s="184"/>
      <c r="N642" s="184"/>
      <c r="O642" s="184"/>
    </row>
    <row r="643" spans="2:18" x14ac:dyDescent="0.25">
      <c r="B643" s="82" t="s">
        <v>110</v>
      </c>
      <c r="C643" s="82"/>
      <c r="D643" s="82"/>
      <c r="E643" s="82"/>
      <c r="F643" s="82"/>
      <c r="G643" s="82"/>
      <c r="H643" s="82"/>
      <c r="I643" s="82"/>
      <c r="J643" s="82"/>
      <c r="K643" s="82"/>
      <c r="L643" s="64"/>
      <c r="M643" s="186"/>
      <c r="N643" s="186"/>
      <c r="O643" s="186"/>
      <c r="P643" s="64"/>
      <c r="Q643" s="64"/>
      <c r="R643" s="64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P30" sqref="P30"/>
    </sheetView>
  </sheetViews>
  <sheetFormatPr defaultColWidth="0" defaultRowHeight="15" x14ac:dyDescent="0.25"/>
  <cols>
    <col min="1" max="3" width="2.5703125" customWidth="1"/>
    <col min="4" max="5" width="2.5703125" style="84" customWidth="1"/>
    <col min="6" max="6" width="59.5703125" customWidth="1"/>
    <col min="7" max="8" width="20.5703125" customWidth="1"/>
    <col min="9" max="9" width="2.42578125" customWidth="1"/>
    <col min="10" max="10" width="17" customWidth="1"/>
    <col min="11" max="11" width="2.42578125" customWidth="1"/>
    <col min="12" max="16" width="17" customWidth="1"/>
    <col min="17" max="17" width="2.42578125" customWidth="1"/>
    <col min="18" max="18" width="50.5703125" customWidth="1"/>
    <col min="19" max="19" width="2.42578125" customWidth="1"/>
    <col min="20" max="27" width="0" hidden="1" customWidth="1"/>
    <col min="28" max="28" width="24.5703125" hidden="1" customWidth="1"/>
    <col min="29" max="29" width="3.5703125" hidden="1" customWidth="1"/>
    <col min="30" max="30" width="15.42578125" hidden="1" customWidth="1"/>
    <col min="31" max="284" width="24.5703125" hidden="1" customWidth="1"/>
    <col min="285" max="16384" width="8.5703125" hidden="1"/>
  </cols>
  <sheetData>
    <row r="1" spans="1:44" s="8" customFormat="1" x14ac:dyDescent="0.25">
      <c r="A1" s="8" t="str">
        <f ca="1">MID(CELL("filename",A1),FIND("]",CELL("filename",A1))+1,255)</f>
        <v>Typical bills</v>
      </c>
    </row>
    <row r="2" spans="1:44" s="8" customFormat="1" x14ac:dyDescent="0.25">
      <c r="A2" s="8" t="str">
        <f>Cover!D21&amp;" - "&amp;Cover!D23</f>
        <v>SP Distribution - One</v>
      </c>
    </row>
    <row r="3" spans="1:44" s="43" customFormat="1" x14ac:dyDescent="0.25">
      <c r="A3" s="43" t="str">
        <f>Cover!D2&amp;" - "&amp;Cover!D8&amp;" v"&amp;Cover!D10&amp;" - "&amp;Cover!D19</f>
        <v>ARP model - Release for charge setting v7 - 2024/25</v>
      </c>
    </row>
    <row r="4" spans="1:44" x14ac:dyDescent="0.25">
      <c r="A4" s="194" t="str">
        <f>H121 &amp; IF(H121 = 1, " issue", " issues") &amp;" identified in checks on this sheet"</f>
        <v>0 issues identified in checks on this sheet</v>
      </c>
      <c r="B4" s="91"/>
      <c r="C4" s="91"/>
      <c r="D4" s="91"/>
      <c r="E4" s="91"/>
      <c r="F4" s="91"/>
      <c r="G4" s="91"/>
      <c r="H4" s="59"/>
      <c r="I4" s="59"/>
      <c r="J4" s="91"/>
    </row>
    <row r="5" spans="1:44" ht="30" x14ac:dyDescent="0.25">
      <c r="B5" s="112" t="s">
        <v>451</v>
      </c>
      <c r="C5" s="7"/>
      <c r="D5" s="7"/>
      <c r="E5" s="7"/>
      <c r="F5" s="7"/>
      <c r="G5" s="1" t="s">
        <v>91</v>
      </c>
      <c r="H5" s="1" t="s">
        <v>534</v>
      </c>
      <c r="J5" s="130" t="str">
        <f>"Live results (" &amp; charging_year_selected &amp; ")"</f>
        <v>Live results (2024/25)</v>
      </c>
      <c r="L5" s="130" t="str">
        <f t="array" ref="L5:P5">TRANSPOSE('ARP_User control'!G31:G35)</f>
        <v>2024/25</v>
      </c>
      <c r="M5" s="130" t="str">
        <v>2025/26</v>
      </c>
      <c r="N5" s="130" t="str">
        <v>2026/27</v>
      </c>
      <c r="O5" s="130" t="str">
        <v>2027/28</v>
      </c>
      <c r="P5" s="130" t="str">
        <v>2028/29</v>
      </c>
      <c r="R5" s="1" t="s">
        <v>93</v>
      </c>
    </row>
    <row r="7" spans="1:44" x14ac:dyDescent="0.25">
      <c r="B7" s="82" t="s">
        <v>90</v>
      </c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</row>
    <row r="9" spans="1:44" x14ac:dyDescent="0.25">
      <c r="C9" s="73" t="s">
        <v>487</v>
      </c>
    </row>
    <row r="10" spans="1:44" x14ac:dyDescent="0.25">
      <c r="C10" s="73" t="s">
        <v>488</v>
      </c>
    </row>
    <row r="11" spans="1:44" x14ac:dyDescent="0.25">
      <c r="C11" s="73" t="s">
        <v>508</v>
      </c>
    </row>
    <row r="13" spans="1:44" x14ac:dyDescent="0.25">
      <c r="B13" s="82" t="s">
        <v>483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</row>
    <row r="15" spans="1:44" x14ac:dyDescent="0.25">
      <c r="C15" s="5" t="str">
        <f ca="1">INDEX('Version control'!$H$36:$H$62,MATCH($A$1,'Version control'!$F$36:$F$62,0),1)&amp;"-A: Typical bill results"</f>
        <v>Output 502-A: Typical bill results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</row>
    <row r="16" spans="1:44" x14ac:dyDescent="0.25">
      <c r="D16"/>
      <c r="E16"/>
    </row>
    <row r="17" spans="3:18" x14ac:dyDescent="0.25">
      <c r="E17" s="52" t="s">
        <v>484</v>
      </c>
      <c r="F17" s="52"/>
      <c r="I17" t="s">
        <v>359</v>
      </c>
      <c r="R17" t="s">
        <v>754</v>
      </c>
    </row>
    <row r="18" spans="3:18" x14ac:dyDescent="0.25">
      <c r="C18" s="84"/>
      <c r="F18" s="80" t="s">
        <v>1001</v>
      </c>
      <c r="G18" s="80" t="s">
        <v>107</v>
      </c>
      <c r="H18" s="80" t="s">
        <v>261</v>
      </c>
      <c r="I18" s="80"/>
      <c r="J18" s="242">
        <f t="array" ref="J18:J49">TRANSPOSE('Net revenue summary'!J140:AO140)</f>
        <v>135.55606841872589</v>
      </c>
      <c r="K18" s="243"/>
      <c r="L18" s="291">
        <v>135.55606841872589</v>
      </c>
      <c r="M18" s="291">
        <v>100.1265262383471</v>
      </c>
      <c r="N18" s="291">
        <v>100.72505708837328</v>
      </c>
      <c r="O18" s="291">
        <v>101.27484632827029</v>
      </c>
      <c r="P18" s="291">
        <v>103.14562137739863</v>
      </c>
    </row>
    <row r="19" spans="3:18" x14ac:dyDescent="0.25">
      <c r="C19" s="84"/>
      <c r="F19" t="s">
        <v>926</v>
      </c>
      <c r="G19" t="s">
        <v>107</v>
      </c>
      <c r="H19" t="s">
        <v>261</v>
      </c>
      <c r="J19" s="401">
        <v>2.7160972826702352</v>
      </c>
      <c r="K19" s="244"/>
      <c r="L19" s="292">
        <v>2.7160972826702352</v>
      </c>
      <c r="M19" s="292">
        <v>3.0740924052092935</v>
      </c>
      <c r="N19" s="292">
        <v>3.0891994960780389</v>
      </c>
      <c r="O19" s="292">
        <v>3.1527653724312383</v>
      </c>
      <c r="P19" s="292">
        <v>3.2095140619337141</v>
      </c>
    </row>
    <row r="20" spans="3:18" x14ac:dyDescent="0.25">
      <c r="C20" s="84"/>
      <c r="F20" t="s">
        <v>1002</v>
      </c>
      <c r="G20" t="s">
        <v>107</v>
      </c>
      <c r="H20" t="s">
        <v>261</v>
      </c>
      <c r="J20" s="401">
        <v>69.603734685083595</v>
      </c>
      <c r="K20" s="244"/>
      <c r="L20" s="292">
        <v>69.603734685083595</v>
      </c>
      <c r="M20" s="292">
        <v>56.979295259246904</v>
      </c>
      <c r="N20" s="292">
        <v>57.303842394371863</v>
      </c>
      <c r="O20" s="292">
        <v>58.265432151737556</v>
      </c>
      <c r="P20" s="292">
        <v>59.491015533565864</v>
      </c>
    </row>
    <row r="21" spans="3:18" x14ac:dyDescent="0.25">
      <c r="C21" s="84"/>
      <c r="F21" t="s">
        <v>1003</v>
      </c>
      <c r="G21" t="s">
        <v>107</v>
      </c>
      <c r="H21" t="s">
        <v>261</v>
      </c>
      <c r="J21" s="401">
        <v>173.03319299379029</v>
      </c>
      <c r="K21" s="244"/>
      <c r="L21" s="292">
        <v>173.03319299379029</v>
      </c>
      <c r="M21" s="292">
        <v>128.28558723340907</v>
      </c>
      <c r="N21" s="292">
        <v>129.07697951027117</v>
      </c>
      <c r="O21" s="292">
        <v>129.77892867276705</v>
      </c>
      <c r="P21" s="292">
        <v>132.19342422829195</v>
      </c>
    </row>
    <row r="22" spans="3:18" x14ac:dyDescent="0.25">
      <c r="C22" s="84"/>
      <c r="F22" t="s">
        <v>1004</v>
      </c>
      <c r="G22" t="s">
        <v>107</v>
      </c>
      <c r="H22" t="s">
        <v>261</v>
      </c>
      <c r="J22" s="401">
        <v>367.66777922119996</v>
      </c>
      <c r="K22" s="244"/>
      <c r="L22" s="292">
        <v>367.66777922119996</v>
      </c>
      <c r="M22" s="292">
        <v>289.18953082004651</v>
      </c>
      <c r="N22" s="292">
        <v>290.95016647032583</v>
      </c>
      <c r="O22" s="292">
        <v>292.45394936892029</v>
      </c>
      <c r="P22" s="292">
        <v>297.8762704261386</v>
      </c>
    </row>
    <row r="23" spans="3:18" x14ac:dyDescent="0.25">
      <c r="C23" s="84"/>
      <c r="F23" t="s">
        <v>1005</v>
      </c>
      <c r="G23" t="s">
        <v>107</v>
      </c>
      <c r="H23" t="s">
        <v>261</v>
      </c>
      <c r="J23" s="401">
        <v>767.76498102995595</v>
      </c>
      <c r="K23" s="244"/>
      <c r="L23" s="292">
        <v>767.76498102995595</v>
      </c>
      <c r="M23" s="292">
        <v>619.99283814634123</v>
      </c>
      <c r="N23" s="292">
        <v>623.79217793193357</v>
      </c>
      <c r="O23" s="292">
        <v>626.95705670493089</v>
      </c>
      <c r="P23" s="292">
        <v>638.60002063851505</v>
      </c>
    </row>
    <row r="24" spans="3:18" x14ac:dyDescent="0.25">
      <c r="C24" s="84"/>
      <c r="F24" t="s">
        <v>1006</v>
      </c>
      <c r="G24" t="s">
        <v>107</v>
      </c>
      <c r="H24" t="s">
        <v>261</v>
      </c>
      <c r="J24" s="401">
        <v>2212.0000456181542</v>
      </c>
      <c r="K24" s="244"/>
      <c r="L24" s="292">
        <v>2212.0000456181542</v>
      </c>
      <c r="M24" s="292">
        <v>1813.8347573376641</v>
      </c>
      <c r="N24" s="292">
        <v>1824.9052236854468</v>
      </c>
      <c r="O24" s="292">
        <v>1834.1067097102948</v>
      </c>
      <c r="P24" s="292">
        <v>1868.1352737088177</v>
      </c>
    </row>
    <row r="25" spans="3:18" x14ac:dyDescent="0.25">
      <c r="C25" s="84"/>
      <c r="F25" t="s">
        <v>928</v>
      </c>
      <c r="G25" t="s">
        <v>107</v>
      </c>
      <c r="H25" t="s">
        <v>261</v>
      </c>
      <c r="J25" s="401">
        <v>30.937643698857705</v>
      </c>
      <c r="K25" s="244"/>
      <c r="L25" s="292">
        <v>30.937643698857705</v>
      </c>
      <c r="M25" s="292">
        <v>34.999283365378297</v>
      </c>
      <c r="N25" s="292">
        <v>35.181428883739727</v>
      </c>
      <c r="O25" s="292">
        <v>35.804131687975996</v>
      </c>
      <c r="P25" s="292">
        <v>36.502470903799242</v>
      </c>
    </row>
    <row r="26" spans="3:18" x14ac:dyDescent="0.25">
      <c r="C26" s="84"/>
      <c r="F26" t="s">
        <v>1007</v>
      </c>
      <c r="G26" t="s">
        <v>107</v>
      </c>
      <c r="H26" t="s">
        <v>261</v>
      </c>
      <c r="J26" s="401">
        <v>675.32689169039452</v>
      </c>
      <c r="K26" s="244"/>
      <c r="L26" s="292">
        <v>675.32689169039452</v>
      </c>
      <c r="M26" s="292">
        <v>696.36380368360631</v>
      </c>
      <c r="N26" s="292">
        <v>700.35986729441515</v>
      </c>
      <c r="O26" s="292">
        <v>712.20808507518836</v>
      </c>
      <c r="P26" s="292">
        <v>726.25848355290327</v>
      </c>
    </row>
    <row r="27" spans="3:18" x14ac:dyDescent="0.25">
      <c r="C27" s="84"/>
      <c r="F27" t="s">
        <v>1008</v>
      </c>
      <c r="G27" t="s">
        <v>107</v>
      </c>
      <c r="H27" t="s">
        <v>261</v>
      </c>
      <c r="J27" s="401">
        <v>4384.0274677785419</v>
      </c>
      <c r="K27" s="244"/>
      <c r="L27" s="292">
        <v>4384.0274677785419</v>
      </c>
      <c r="M27" s="292">
        <v>3656.0808280608148</v>
      </c>
      <c r="N27" s="292">
        <v>3679.0012609548235</v>
      </c>
      <c r="O27" s="292">
        <v>3700.4949601448302</v>
      </c>
      <c r="P27" s="292">
        <v>3769.5085084573566</v>
      </c>
    </row>
    <row r="28" spans="3:18" x14ac:dyDescent="0.25">
      <c r="C28" s="84"/>
      <c r="F28" t="s">
        <v>1009</v>
      </c>
      <c r="G28" t="s">
        <v>107</v>
      </c>
      <c r="H28" t="s">
        <v>261</v>
      </c>
      <c r="J28" s="401">
        <v>7700.728721726854</v>
      </c>
      <c r="K28" s="244"/>
      <c r="L28" s="292">
        <v>7700.728721726854</v>
      </c>
      <c r="M28" s="292">
        <v>6518.6624716541646</v>
      </c>
      <c r="N28" s="292">
        <v>6559.4421601107233</v>
      </c>
      <c r="O28" s="292">
        <v>6599.0790215432708</v>
      </c>
      <c r="P28" s="292">
        <v>6722.2027003183439</v>
      </c>
    </row>
    <row r="29" spans="3:18" x14ac:dyDescent="0.25">
      <c r="C29" s="84"/>
      <c r="F29" t="s">
        <v>1010</v>
      </c>
      <c r="G29" t="s">
        <v>107</v>
      </c>
      <c r="H29" t="s">
        <v>261</v>
      </c>
      <c r="J29" s="401">
        <v>12814.251622745127</v>
      </c>
      <c r="K29" s="244"/>
      <c r="L29" s="292">
        <v>12814.251622745127</v>
      </c>
      <c r="M29" s="292">
        <v>10865.486936119583</v>
      </c>
      <c r="N29" s="292">
        <v>10933.499017099955</v>
      </c>
      <c r="O29" s="292">
        <v>10998.176010445615</v>
      </c>
      <c r="P29" s="292">
        <v>11203.106703232432</v>
      </c>
    </row>
    <row r="30" spans="3:18" x14ac:dyDescent="0.25">
      <c r="C30" s="84"/>
      <c r="F30" t="s">
        <v>1011</v>
      </c>
      <c r="G30" t="s">
        <v>107</v>
      </c>
      <c r="H30" t="s">
        <v>261</v>
      </c>
      <c r="J30" s="401">
        <v>26992.129205512596</v>
      </c>
      <c r="K30" s="244"/>
      <c r="L30" s="292">
        <v>26992.129205512596</v>
      </c>
      <c r="M30" s="292">
        <v>22736.086374256483</v>
      </c>
      <c r="N30" s="292">
        <v>22878.727813203459</v>
      </c>
      <c r="O30" s="292">
        <v>23004.490403442342</v>
      </c>
      <c r="P30" s="292">
        <v>23430.962018106107</v>
      </c>
    </row>
    <row r="31" spans="3:18" x14ac:dyDescent="0.25">
      <c r="C31" s="84"/>
      <c r="F31" t="s">
        <v>1012</v>
      </c>
      <c r="G31" t="s">
        <v>107</v>
      </c>
      <c r="H31" t="s">
        <v>261</v>
      </c>
      <c r="J31" s="401">
        <v>310.91044345110066</v>
      </c>
      <c r="K31" s="244"/>
      <c r="L31" s="292">
        <v>310.91044345110066</v>
      </c>
      <c r="M31" s="292">
        <v>319.46051040952887</v>
      </c>
      <c r="N31" s="292">
        <v>321.39668957757908</v>
      </c>
      <c r="O31" s="292">
        <v>327.33846436402814</v>
      </c>
      <c r="P31" s="292">
        <v>333.67997884354708</v>
      </c>
    </row>
    <row r="32" spans="3:18" x14ac:dyDescent="0.25">
      <c r="C32" s="84"/>
      <c r="F32" t="s">
        <v>1013</v>
      </c>
      <c r="G32" t="s">
        <v>107</v>
      </c>
      <c r="H32" t="s">
        <v>261</v>
      </c>
      <c r="J32" s="401">
        <v>4990.4381317015814</v>
      </c>
      <c r="K32" s="244"/>
      <c r="L32" s="292">
        <v>4990.4381317015814</v>
      </c>
      <c r="M32" s="292">
        <v>4377.3267834175676</v>
      </c>
      <c r="N32" s="292">
        <v>4404.1957164077794</v>
      </c>
      <c r="O32" s="292">
        <v>4442.0965911686235</v>
      </c>
      <c r="P32" s="292">
        <v>4524.7030767154665</v>
      </c>
    </row>
    <row r="33" spans="3:16" x14ac:dyDescent="0.25">
      <c r="C33" s="84"/>
      <c r="F33" t="s">
        <v>1014</v>
      </c>
      <c r="G33" t="s">
        <v>107</v>
      </c>
      <c r="H33" t="s">
        <v>261</v>
      </c>
      <c r="J33" s="401">
        <v>8679.0909387050742</v>
      </c>
      <c r="K33" s="244"/>
      <c r="L33" s="292">
        <v>8679.0909387050742</v>
      </c>
      <c r="M33" s="292">
        <v>7645.108773451735</v>
      </c>
      <c r="N33" s="292">
        <v>7693.064672673212</v>
      </c>
      <c r="O33" s="292">
        <v>7759.734024582729</v>
      </c>
      <c r="P33" s="292">
        <v>7903.5468108636369</v>
      </c>
    </row>
    <row r="34" spans="3:16" x14ac:dyDescent="0.25">
      <c r="C34" s="84"/>
      <c r="F34" t="s">
        <v>1015</v>
      </c>
      <c r="G34" t="s">
        <v>107</v>
      </c>
      <c r="H34" t="s">
        <v>261</v>
      </c>
      <c r="J34" s="401">
        <v>14316.347407302635</v>
      </c>
      <c r="K34" s="244"/>
      <c r="L34" s="292">
        <v>14316.347407302635</v>
      </c>
      <c r="M34" s="292">
        <v>12535.61746871389</v>
      </c>
      <c r="N34" s="292">
        <v>12613.875977775237</v>
      </c>
      <c r="O34" s="292">
        <v>12718.919558986488</v>
      </c>
      <c r="P34" s="292">
        <v>12955.505681522724</v>
      </c>
    </row>
    <row r="35" spans="3:16" x14ac:dyDescent="0.25">
      <c r="C35" s="84"/>
      <c r="F35" t="s">
        <v>1016</v>
      </c>
      <c r="G35" t="s">
        <v>107</v>
      </c>
      <c r="H35" t="s">
        <v>261</v>
      </c>
      <c r="J35" s="401">
        <v>32214.53687327329</v>
      </c>
      <c r="K35" s="244"/>
      <c r="L35" s="292">
        <v>32214.53687327329</v>
      </c>
      <c r="M35" s="292">
        <v>28551.026028244079</v>
      </c>
      <c r="N35" s="292">
        <v>28729.849795660415</v>
      </c>
      <c r="O35" s="292">
        <v>28982.656779779798</v>
      </c>
      <c r="P35" s="292">
        <v>29521.728330449718</v>
      </c>
    </row>
    <row r="36" spans="3:16" x14ac:dyDescent="0.25">
      <c r="C36" s="84"/>
      <c r="F36" t="s">
        <v>1017</v>
      </c>
      <c r="G36" t="s">
        <v>107</v>
      </c>
      <c r="H36" t="s">
        <v>261</v>
      </c>
      <c r="J36" s="401">
        <v>1967.0735993280352</v>
      </c>
      <c r="K36" s="244"/>
      <c r="L36" s="292">
        <v>1967.0735993280352</v>
      </c>
      <c r="M36" s="292">
        <v>1740.918070187184</v>
      </c>
      <c r="N36" s="292">
        <v>1750.9866640016921</v>
      </c>
      <c r="O36" s="292">
        <v>1783.2961138950293</v>
      </c>
      <c r="P36" s="292">
        <v>1818.3562630794079</v>
      </c>
    </row>
    <row r="37" spans="3:16" x14ac:dyDescent="0.25">
      <c r="C37" s="84"/>
      <c r="F37" t="s">
        <v>1018</v>
      </c>
      <c r="G37" t="s">
        <v>107</v>
      </c>
      <c r="H37" t="s">
        <v>261</v>
      </c>
      <c r="J37" s="401">
        <v>19769.532235201837</v>
      </c>
      <c r="K37" s="244"/>
      <c r="L37" s="292">
        <v>19769.532235201837</v>
      </c>
      <c r="M37" s="292">
        <v>15754.934069127923</v>
      </c>
      <c r="N37" s="292">
        <v>15854.801987132905</v>
      </c>
      <c r="O37" s="292">
        <v>15933.015591313902</v>
      </c>
      <c r="P37" s="292">
        <v>16218.763005734709</v>
      </c>
    </row>
    <row r="38" spans="3:16" x14ac:dyDescent="0.25">
      <c r="C38" s="84"/>
      <c r="F38" t="s">
        <v>1019</v>
      </c>
      <c r="G38" t="s">
        <v>107</v>
      </c>
      <c r="H38" t="s">
        <v>261</v>
      </c>
      <c r="J38" s="401">
        <v>59489.501267723288</v>
      </c>
      <c r="K38" s="244"/>
      <c r="L38" s="292">
        <v>59489.501267723288</v>
      </c>
      <c r="M38" s="292">
        <v>48382.712180538299</v>
      </c>
      <c r="N38" s="292">
        <v>48688.997255782546</v>
      </c>
      <c r="O38" s="292">
        <v>48936.078333188976</v>
      </c>
      <c r="P38" s="292">
        <v>49816.87253326051</v>
      </c>
    </row>
    <row r="39" spans="3:16" x14ac:dyDescent="0.25">
      <c r="C39" s="84"/>
      <c r="F39" t="s">
        <v>1020</v>
      </c>
      <c r="G39" t="s">
        <v>107</v>
      </c>
      <c r="H39" t="s">
        <v>261</v>
      </c>
      <c r="J39" s="401">
        <v>119703.29898207929</v>
      </c>
      <c r="K39" s="244"/>
      <c r="L39" s="292">
        <v>119703.29898207929</v>
      </c>
      <c r="M39" s="292">
        <v>97362.452344477308</v>
      </c>
      <c r="N39" s="292">
        <v>97979.59686678907</v>
      </c>
      <c r="O39" s="292">
        <v>98459.498947134882</v>
      </c>
      <c r="P39" s="292">
        <v>100229.60970917018</v>
      </c>
    </row>
    <row r="40" spans="3:16" x14ac:dyDescent="0.25">
      <c r="C40" s="84"/>
      <c r="F40" t="s">
        <v>1021</v>
      </c>
      <c r="G40" t="s">
        <v>107</v>
      </c>
      <c r="H40" t="s">
        <v>261</v>
      </c>
      <c r="J40" s="401">
        <v>313453.3953051329</v>
      </c>
      <c r="K40" s="244"/>
      <c r="L40" s="292">
        <v>313453.3953051329</v>
      </c>
      <c r="M40" s="292">
        <v>254421.20129923036</v>
      </c>
      <c r="N40" s="292">
        <v>256035.67544103478</v>
      </c>
      <c r="O40" s="292">
        <v>257237.21996991779</v>
      </c>
      <c r="P40" s="292">
        <v>261855.34904858505</v>
      </c>
    </row>
    <row r="41" spans="3:16" x14ac:dyDescent="0.25">
      <c r="C41" s="84"/>
      <c r="F41" t="s">
        <v>932</v>
      </c>
      <c r="G41" t="s">
        <v>107</v>
      </c>
      <c r="H41" t="s">
        <v>261</v>
      </c>
      <c r="J41" s="401">
        <v>2009.3886927574381</v>
      </c>
      <c r="K41" s="244"/>
      <c r="L41" s="292">
        <v>2009.3886927574381</v>
      </c>
      <c r="M41" s="292">
        <v>1476.9098378134263</v>
      </c>
      <c r="N41" s="292">
        <v>1486.1520782693831</v>
      </c>
      <c r="O41" s="292">
        <v>1495.7722093197797</v>
      </c>
      <c r="P41" s="292">
        <v>1523.1172084221109</v>
      </c>
    </row>
    <row r="42" spans="3:16" x14ac:dyDescent="0.25">
      <c r="C42" s="84"/>
      <c r="F42" t="s">
        <v>933</v>
      </c>
      <c r="G42" t="s">
        <v>107</v>
      </c>
      <c r="H42" t="s">
        <v>261</v>
      </c>
      <c r="J42" s="401">
        <v>-92.065406486515968</v>
      </c>
      <c r="K42" s="244"/>
      <c r="L42" s="292">
        <v>-92.065406486515968</v>
      </c>
      <c r="M42" s="292">
        <v>-104.13729395502729</v>
      </c>
      <c r="N42" s="292">
        <v>-104.72868996510364</v>
      </c>
      <c r="O42" s="292">
        <v>-106.33320281015773</v>
      </c>
      <c r="P42" s="292">
        <v>-109.06587993292743</v>
      </c>
    </row>
    <row r="43" spans="3:16" x14ac:dyDescent="0.25">
      <c r="C43" s="84"/>
      <c r="F43" t="s">
        <v>934</v>
      </c>
      <c r="G43" t="s">
        <v>107</v>
      </c>
      <c r="H43" t="s">
        <v>261</v>
      </c>
      <c r="J43" s="401">
        <v>-243.90892000000002</v>
      </c>
      <c r="K43" s="244"/>
      <c r="L43" s="292">
        <v>-243.90892000000002</v>
      </c>
      <c r="M43" s="292">
        <v>-275.16798499999999</v>
      </c>
      <c r="N43" s="292">
        <v>-276.70225499999998</v>
      </c>
      <c r="O43" s="292">
        <v>-280.86363750000004</v>
      </c>
      <c r="P43" s="292">
        <v>-288.17287249999998</v>
      </c>
    </row>
    <row r="44" spans="3:16" x14ac:dyDescent="0.25">
      <c r="C44" s="84"/>
      <c r="F44" t="s">
        <v>935</v>
      </c>
      <c r="G44" t="s">
        <v>107</v>
      </c>
      <c r="H44" t="s">
        <v>261</v>
      </c>
      <c r="J44" s="401">
        <v>-1161.8517129233871</v>
      </c>
      <c r="K44" s="244"/>
      <c r="L44" s="292">
        <v>-1161.8517129233871</v>
      </c>
      <c r="M44" s="292">
        <v>-1313.4267050604838</v>
      </c>
      <c r="N44" s="292">
        <v>-1320.921357580645</v>
      </c>
      <c r="O44" s="292">
        <v>-1341.3169813508064</v>
      </c>
      <c r="P44" s="292">
        <v>-1376.0956451612903</v>
      </c>
    </row>
    <row r="45" spans="3:16" x14ac:dyDescent="0.25">
      <c r="C45" s="84"/>
      <c r="F45" t="s">
        <v>936</v>
      </c>
      <c r="G45" t="s">
        <v>107</v>
      </c>
      <c r="H45" t="s">
        <v>261</v>
      </c>
      <c r="J45" s="401">
        <v>0</v>
      </c>
      <c r="K45" s="244"/>
      <c r="L45" s="292">
        <v>0</v>
      </c>
      <c r="M45" s="292">
        <v>0</v>
      </c>
      <c r="N45" s="292">
        <v>0</v>
      </c>
      <c r="O45" s="292">
        <v>0</v>
      </c>
      <c r="P45" s="292">
        <v>0</v>
      </c>
    </row>
    <row r="46" spans="3:16" x14ac:dyDescent="0.25">
      <c r="C46" s="84"/>
      <c r="F46" t="s">
        <v>937</v>
      </c>
      <c r="G46" t="s">
        <v>107</v>
      </c>
      <c r="H46" t="s">
        <v>261</v>
      </c>
      <c r="J46" s="401">
        <v>-600.40385666666668</v>
      </c>
      <c r="K46" s="244"/>
      <c r="L46" s="292">
        <v>-600.40385666666668</v>
      </c>
      <c r="M46" s="292">
        <v>-677.32536000000005</v>
      </c>
      <c r="N46" s="292">
        <v>-681.05390777777768</v>
      </c>
      <c r="O46" s="292">
        <v>-691.29879777777785</v>
      </c>
      <c r="P46" s="292">
        <v>-709.31729000000007</v>
      </c>
    </row>
    <row r="47" spans="3:16" x14ac:dyDescent="0.25">
      <c r="C47" s="84"/>
      <c r="F47" t="s">
        <v>938</v>
      </c>
      <c r="G47" t="s">
        <v>107</v>
      </c>
      <c r="H47" t="s">
        <v>261</v>
      </c>
      <c r="J47" s="401">
        <v>0</v>
      </c>
      <c r="K47" s="244"/>
      <c r="L47" s="292">
        <v>0</v>
      </c>
      <c r="M47" s="292">
        <v>0</v>
      </c>
      <c r="N47" s="292">
        <v>0</v>
      </c>
      <c r="O47" s="292">
        <v>0</v>
      </c>
      <c r="P47" s="292">
        <v>0</v>
      </c>
    </row>
    <row r="48" spans="3:16" x14ac:dyDescent="0.25">
      <c r="C48" s="84"/>
      <c r="F48" t="s">
        <v>939</v>
      </c>
      <c r="G48" t="s">
        <v>107</v>
      </c>
      <c r="H48" t="s">
        <v>261</v>
      </c>
      <c r="J48" s="401">
        <v>-20764.068305095778</v>
      </c>
      <c r="K48" s="244"/>
      <c r="L48" s="292">
        <v>-20764.068305095778</v>
      </c>
      <c r="M48" s="292">
        <v>-23524.990137509576</v>
      </c>
      <c r="N48" s="292">
        <v>-23656.924505210725</v>
      </c>
      <c r="O48" s="292">
        <v>-24026.293572643677</v>
      </c>
      <c r="P48" s="292">
        <v>-24681.566374904214</v>
      </c>
    </row>
    <row r="49" spans="3:18" x14ac:dyDescent="0.25">
      <c r="C49" s="84"/>
      <c r="F49" s="17" t="s">
        <v>940</v>
      </c>
      <c r="G49" s="17" t="s">
        <v>107</v>
      </c>
      <c r="H49" s="17" t="s">
        <v>261</v>
      </c>
      <c r="I49" s="17"/>
      <c r="J49" s="245">
        <v>0</v>
      </c>
      <c r="K49" s="246"/>
      <c r="L49" s="293">
        <v>0</v>
      </c>
      <c r="M49" s="293">
        <v>0</v>
      </c>
      <c r="N49" s="293">
        <v>0</v>
      </c>
      <c r="O49" s="293">
        <v>0</v>
      </c>
      <c r="P49" s="293">
        <v>0</v>
      </c>
    </row>
    <row r="50" spans="3:18" x14ac:dyDescent="0.25">
      <c r="D50"/>
      <c r="E50"/>
      <c r="J50" s="244"/>
      <c r="K50" s="244"/>
      <c r="L50" s="294"/>
      <c r="M50" s="294"/>
      <c r="N50" s="294"/>
      <c r="O50" s="294"/>
      <c r="P50" s="294"/>
    </row>
    <row r="51" spans="3:18" x14ac:dyDescent="0.25">
      <c r="E51" s="52" t="s">
        <v>485</v>
      </c>
      <c r="F51" s="52"/>
      <c r="I51" t="s">
        <v>359</v>
      </c>
      <c r="J51" s="244"/>
      <c r="K51" s="244"/>
      <c r="L51" s="294"/>
      <c r="M51" s="294"/>
      <c r="N51" s="294"/>
      <c r="O51" s="294"/>
      <c r="P51" s="294"/>
      <c r="R51" t="s">
        <v>754</v>
      </c>
    </row>
    <row r="52" spans="3:18" x14ac:dyDescent="0.25">
      <c r="C52" s="76"/>
      <c r="F52" s="80" t="s">
        <v>1001</v>
      </c>
      <c r="G52" s="80" t="s">
        <v>107</v>
      </c>
      <c r="H52" s="80" t="s">
        <v>146</v>
      </c>
      <c r="I52" s="80"/>
      <c r="J52" s="242">
        <f t="array" ref="J52:J83">TRANSPOSE('Net revenue summary'!J141:AO141)</f>
        <v>80.615274175134473</v>
      </c>
      <c r="K52" s="243"/>
      <c r="L52" s="291">
        <v>80.615274175134473</v>
      </c>
      <c r="M52" s="291">
        <v>58.80194025375863</v>
      </c>
      <c r="N52" s="291">
        <v>59.158308613678045</v>
      </c>
      <c r="O52" s="291">
        <v>59.450676667799321</v>
      </c>
      <c r="P52" s="291">
        <v>60.568242419884506</v>
      </c>
    </row>
    <row r="53" spans="3:18" x14ac:dyDescent="0.25">
      <c r="C53" s="76"/>
      <c r="F53" t="s">
        <v>926</v>
      </c>
      <c r="G53" t="s">
        <v>107</v>
      </c>
      <c r="H53" t="s">
        <v>146</v>
      </c>
      <c r="J53" s="401">
        <v>4.4028763934426234</v>
      </c>
      <c r="K53" s="244"/>
      <c r="L53" s="398">
        <v>4.4028763934426234</v>
      </c>
      <c r="M53" s="398">
        <v>4.9768655737704917</v>
      </c>
      <c r="N53" s="398">
        <v>5.0310790163934431</v>
      </c>
      <c r="O53" s="398">
        <v>5.1099201639344267</v>
      </c>
      <c r="P53" s="398">
        <v>5.2084731147540984</v>
      </c>
    </row>
    <row r="54" spans="3:18" x14ac:dyDescent="0.25">
      <c r="C54" s="76"/>
      <c r="F54" t="s">
        <v>1002</v>
      </c>
      <c r="G54" t="s">
        <v>107</v>
      </c>
      <c r="H54" t="s">
        <v>146</v>
      </c>
      <c r="J54" s="401">
        <v>0</v>
      </c>
      <c r="K54" s="244"/>
      <c r="L54" s="398">
        <v>0</v>
      </c>
      <c r="M54" s="398">
        <v>0</v>
      </c>
      <c r="N54" s="398">
        <v>0</v>
      </c>
      <c r="O54" s="398">
        <v>0</v>
      </c>
      <c r="P54" s="398">
        <v>0</v>
      </c>
    </row>
    <row r="55" spans="3:18" x14ac:dyDescent="0.25">
      <c r="C55" s="76"/>
      <c r="F55" t="s">
        <v>1003</v>
      </c>
      <c r="G55" t="s">
        <v>107</v>
      </c>
      <c r="H55" t="s">
        <v>146</v>
      </c>
      <c r="J55" s="401">
        <v>95.608375459340792</v>
      </c>
      <c r="K55" s="244"/>
      <c r="L55" s="398">
        <v>95.608375459340792</v>
      </c>
      <c r="M55" s="398">
        <v>67.598422957331636</v>
      </c>
      <c r="N55" s="398">
        <v>68.027899735033813</v>
      </c>
      <c r="O55" s="398">
        <v>68.290442058183828</v>
      </c>
      <c r="P55" s="398">
        <v>69.549705832303914</v>
      </c>
    </row>
    <row r="56" spans="3:18" x14ac:dyDescent="0.25">
      <c r="C56" s="76"/>
      <c r="F56" t="s">
        <v>1004</v>
      </c>
      <c r="G56" t="s">
        <v>107</v>
      </c>
      <c r="H56" t="s">
        <v>146</v>
      </c>
      <c r="J56" s="401">
        <v>213.58713506009408</v>
      </c>
      <c r="K56" s="244"/>
      <c r="L56" s="398">
        <v>213.58713506009408</v>
      </c>
      <c r="M56" s="398">
        <v>165.85314493818626</v>
      </c>
      <c r="N56" s="398">
        <v>166.91752735589853</v>
      </c>
      <c r="O56" s="398">
        <v>167.68947512022649</v>
      </c>
      <c r="P56" s="398">
        <v>170.77740199297602</v>
      </c>
    </row>
    <row r="57" spans="3:18" x14ac:dyDescent="0.25">
      <c r="C57" s="76"/>
      <c r="F57" t="s">
        <v>1005</v>
      </c>
      <c r="G57" t="s">
        <v>107</v>
      </c>
      <c r="H57" t="s">
        <v>146</v>
      </c>
      <c r="J57" s="401">
        <v>385.18677688613951</v>
      </c>
      <c r="K57" s="244"/>
      <c r="L57" s="398">
        <v>385.18677688613951</v>
      </c>
      <c r="M57" s="398">
        <v>287.68773108871545</v>
      </c>
      <c r="N57" s="398">
        <v>289.49900070574705</v>
      </c>
      <c r="O57" s="398">
        <v>290.03490126050309</v>
      </c>
      <c r="P57" s="398">
        <v>295.21077120682912</v>
      </c>
    </row>
    <row r="58" spans="3:18" x14ac:dyDescent="0.25">
      <c r="C58" s="76"/>
      <c r="F58" t="s">
        <v>1006</v>
      </c>
      <c r="G58" t="s">
        <v>107</v>
      </c>
      <c r="H58" t="s">
        <v>146</v>
      </c>
      <c r="J58" s="401">
        <v>1118.8941778723552</v>
      </c>
      <c r="K58" s="244"/>
      <c r="L58" s="398">
        <v>1118.8941778723552</v>
      </c>
      <c r="M58" s="398">
        <v>856.50476280814428</v>
      </c>
      <c r="N58" s="398">
        <v>861.99166192670134</v>
      </c>
      <c r="O58" s="398">
        <v>863.70530167574611</v>
      </c>
      <c r="P58" s="398">
        <v>879.14034290890606</v>
      </c>
    </row>
    <row r="59" spans="3:18" x14ac:dyDescent="0.25">
      <c r="C59" s="76"/>
      <c r="F59" t="s">
        <v>928</v>
      </c>
      <c r="G59" t="s">
        <v>107</v>
      </c>
      <c r="H59" t="s">
        <v>146</v>
      </c>
      <c r="J59" s="401">
        <v>0</v>
      </c>
      <c r="K59" s="244"/>
      <c r="L59" s="398">
        <v>0</v>
      </c>
      <c r="M59" s="398">
        <v>0</v>
      </c>
      <c r="N59" s="398">
        <v>0</v>
      </c>
      <c r="O59" s="398">
        <v>0</v>
      </c>
      <c r="P59" s="398">
        <v>0</v>
      </c>
    </row>
    <row r="60" spans="3:18" x14ac:dyDescent="0.25">
      <c r="C60" s="76"/>
      <c r="F60" t="s">
        <v>1007</v>
      </c>
      <c r="G60" t="s">
        <v>107</v>
      </c>
      <c r="H60" t="s">
        <v>146</v>
      </c>
      <c r="J60" s="401">
        <v>0</v>
      </c>
      <c r="K60" s="244"/>
      <c r="L60" s="398">
        <v>0</v>
      </c>
      <c r="M60" s="398">
        <v>0</v>
      </c>
      <c r="N60" s="398">
        <v>0</v>
      </c>
      <c r="O60" s="398">
        <v>0</v>
      </c>
      <c r="P60" s="398">
        <v>0</v>
      </c>
    </row>
    <row r="61" spans="3:18" x14ac:dyDescent="0.25">
      <c r="C61" s="76"/>
      <c r="F61" t="s">
        <v>1008</v>
      </c>
      <c r="G61" t="s">
        <v>107</v>
      </c>
      <c r="H61" t="s">
        <v>146</v>
      </c>
      <c r="J61" s="401">
        <v>2268.0518320257424</v>
      </c>
      <c r="K61" s="244"/>
      <c r="L61" s="398">
        <v>2268.0518320257424</v>
      </c>
      <c r="M61" s="398">
        <v>1789.1546234401078</v>
      </c>
      <c r="N61" s="398">
        <v>1799.9883327074633</v>
      </c>
      <c r="O61" s="398">
        <v>1806.8035290677974</v>
      </c>
      <c r="P61" s="398">
        <v>1840.1175548256629</v>
      </c>
    </row>
    <row r="62" spans="3:18" x14ac:dyDescent="0.25">
      <c r="C62" s="76"/>
      <c r="F62" t="s">
        <v>1009</v>
      </c>
      <c r="G62" t="s">
        <v>107</v>
      </c>
      <c r="H62" t="s">
        <v>146</v>
      </c>
      <c r="J62" s="401">
        <v>4216.7469699705489</v>
      </c>
      <c r="K62" s="244"/>
      <c r="L62" s="398">
        <v>4216.7469699705489</v>
      </c>
      <c r="M62" s="398">
        <v>3464.9799842251668</v>
      </c>
      <c r="N62" s="398">
        <v>3485.6689752808929</v>
      </c>
      <c r="O62" s="398">
        <v>3503.2705569845107</v>
      </c>
      <c r="P62" s="398">
        <v>3568.8091212519403</v>
      </c>
    </row>
    <row r="63" spans="3:18" x14ac:dyDescent="0.25">
      <c r="C63" s="76"/>
      <c r="F63" t="s">
        <v>1010</v>
      </c>
      <c r="G63" t="s">
        <v>107</v>
      </c>
      <c r="H63" t="s">
        <v>146</v>
      </c>
      <c r="J63" s="401">
        <v>7171.6842605965658</v>
      </c>
      <c r="K63" s="244"/>
      <c r="L63" s="398">
        <v>7171.6842605965658</v>
      </c>
      <c r="M63" s="398">
        <v>5955.3311059222106</v>
      </c>
      <c r="N63" s="398">
        <v>5990.7870761387121</v>
      </c>
      <c r="O63" s="398">
        <v>6022.3412557748761</v>
      </c>
      <c r="P63" s="398">
        <v>6135.2901017329532</v>
      </c>
    </row>
    <row r="64" spans="3:18" x14ac:dyDescent="0.25">
      <c r="C64" s="76"/>
      <c r="F64" t="s">
        <v>1011</v>
      </c>
      <c r="G64" t="s">
        <v>107</v>
      </c>
      <c r="H64" t="s">
        <v>146</v>
      </c>
      <c r="J64" s="401">
        <v>17517.050893584601</v>
      </c>
      <c r="K64" s="244"/>
      <c r="L64" s="398">
        <v>17517.050893584601</v>
      </c>
      <c r="M64" s="398">
        <v>15236.888679443326</v>
      </c>
      <c r="N64" s="398">
        <v>15325.851678363448</v>
      </c>
      <c r="O64" s="398">
        <v>15432.736714639634</v>
      </c>
      <c r="P64" s="398">
        <v>15728.055660474412</v>
      </c>
    </row>
    <row r="65" spans="3:16" x14ac:dyDescent="0.25">
      <c r="C65" s="76"/>
      <c r="F65" t="s">
        <v>1012</v>
      </c>
      <c r="G65" t="s">
        <v>107</v>
      </c>
      <c r="H65" t="s">
        <v>146</v>
      </c>
      <c r="J65" s="234">
        <v>0</v>
      </c>
      <c r="K65" s="244"/>
      <c r="L65" s="400">
        <v>0</v>
      </c>
      <c r="M65" s="400">
        <v>0</v>
      </c>
      <c r="N65" s="400">
        <v>0</v>
      </c>
      <c r="O65" s="400">
        <v>0</v>
      </c>
      <c r="P65" s="400">
        <v>0</v>
      </c>
    </row>
    <row r="66" spans="3:16" x14ac:dyDescent="0.25">
      <c r="C66" s="76"/>
      <c r="F66" t="s">
        <v>1013</v>
      </c>
      <c r="G66" t="s">
        <v>107</v>
      </c>
      <c r="H66" t="s">
        <v>146</v>
      </c>
      <c r="J66" s="234">
        <v>0</v>
      </c>
      <c r="K66" s="244"/>
      <c r="L66" s="400">
        <v>0</v>
      </c>
      <c r="M66" s="400">
        <v>0</v>
      </c>
      <c r="N66" s="400">
        <v>0</v>
      </c>
      <c r="O66" s="400">
        <v>0</v>
      </c>
      <c r="P66" s="400">
        <v>0</v>
      </c>
    </row>
    <row r="67" spans="3:16" x14ac:dyDescent="0.25">
      <c r="C67" s="76"/>
      <c r="F67" t="s">
        <v>1014</v>
      </c>
      <c r="G67" t="s">
        <v>107</v>
      </c>
      <c r="H67" t="s">
        <v>146</v>
      </c>
      <c r="J67" s="234">
        <v>0</v>
      </c>
      <c r="K67" s="244"/>
      <c r="L67" s="400">
        <v>0</v>
      </c>
      <c r="M67" s="400">
        <v>0</v>
      </c>
      <c r="N67" s="400">
        <v>0</v>
      </c>
      <c r="O67" s="400">
        <v>0</v>
      </c>
      <c r="P67" s="400">
        <v>0</v>
      </c>
    </row>
    <row r="68" spans="3:16" x14ac:dyDescent="0.25">
      <c r="C68" s="76"/>
      <c r="F68" t="s">
        <v>1015</v>
      </c>
      <c r="G68" t="s">
        <v>107</v>
      </c>
      <c r="H68" t="s">
        <v>146</v>
      </c>
      <c r="J68" s="234">
        <v>0</v>
      </c>
      <c r="K68" s="244"/>
      <c r="L68" s="400">
        <v>0</v>
      </c>
      <c r="M68" s="400">
        <v>0</v>
      </c>
      <c r="N68" s="400">
        <v>0</v>
      </c>
      <c r="O68" s="400">
        <v>0</v>
      </c>
      <c r="P68" s="400">
        <v>0</v>
      </c>
    </row>
    <row r="69" spans="3:16" x14ac:dyDescent="0.25">
      <c r="C69" s="76"/>
      <c r="F69" t="s">
        <v>1016</v>
      </c>
      <c r="G69" t="s">
        <v>107</v>
      </c>
      <c r="H69" t="s">
        <v>146</v>
      </c>
      <c r="J69" s="234">
        <v>0</v>
      </c>
      <c r="K69" s="244"/>
      <c r="L69" s="400">
        <v>0</v>
      </c>
      <c r="M69" s="400">
        <v>0</v>
      </c>
      <c r="N69" s="400">
        <v>0</v>
      </c>
      <c r="O69" s="400">
        <v>0</v>
      </c>
      <c r="P69" s="400">
        <v>0</v>
      </c>
    </row>
    <row r="70" spans="3:16" x14ac:dyDescent="0.25">
      <c r="C70" s="76"/>
      <c r="F70" t="s">
        <v>1017</v>
      </c>
      <c r="G70" t="s">
        <v>107</v>
      </c>
      <c r="H70" t="s">
        <v>146</v>
      </c>
      <c r="J70" s="234">
        <v>0</v>
      </c>
      <c r="K70" s="244"/>
      <c r="L70" s="400">
        <v>0</v>
      </c>
      <c r="M70" s="400">
        <v>0</v>
      </c>
      <c r="N70" s="400">
        <v>0</v>
      </c>
      <c r="O70" s="400">
        <v>0</v>
      </c>
      <c r="P70" s="400">
        <v>0</v>
      </c>
    </row>
    <row r="71" spans="3:16" x14ac:dyDescent="0.25">
      <c r="C71" s="76"/>
      <c r="F71" t="s">
        <v>1018</v>
      </c>
      <c r="G71" t="s">
        <v>107</v>
      </c>
      <c r="H71" t="s">
        <v>146</v>
      </c>
      <c r="J71" s="234">
        <v>0</v>
      </c>
      <c r="K71" s="244"/>
      <c r="L71" s="400">
        <v>0</v>
      </c>
      <c r="M71" s="400">
        <v>0</v>
      </c>
      <c r="N71" s="400">
        <v>0</v>
      </c>
      <c r="O71" s="400">
        <v>0</v>
      </c>
      <c r="P71" s="400">
        <v>0</v>
      </c>
    </row>
    <row r="72" spans="3:16" x14ac:dyDescent="0.25">
      <c r="C72" s="76"/>
      <c r="F72" t="s">
        <v>1019</v>
      </c>
      <c r="G72" t="s">
        <v>107</v>
      </c>
      <c r="H72" t="s">
        <v>146</v>
      </c>
      <c r="J72" s="234">
        <v>0</v>
      </c>
      <c r="K72" s="244"/>
      <c r="L72" s="400">
        <v>0</v>
      </c>
      <c r="M72" s="400">
        <v>0</v>
      </c>
      <c r="N72" s="400">
        <v>0</v>
      </c>
      <c r="O72" s="400">
        <v>0</v>
      </c>
      <c r="P72" s="400">
        <v>0</v>
      </c>
    </row>
    <row r="73" spans="3:16" x14ac:dyDescent="0.25">
      <c r="C73" s="76"/>
      <c r="F73" t="s">
        <v>1020</v>
      </c>
      <c r="G73" t="s">
        <v>107</v>
      </c>
      <c r="H73" t="s">
        <v>146</v>
      </c>
      <c r="J73" s="234">
        <v>0</v>
      </c>
      <c r="K73" s="244"/>
      <c r="L73" s="400">
        <v>0</v>
      </c>
      <c r="M73" s="400">
        <v>0</v>
      </c>
      <c r="N73" s="400">
        <v>0</v>
      </c>
      <c r="O73" s="400">
        <v>0</v>
      </c>
      <c r="P73" s="400">
        <v>0</v>
      </c>
    </row>
    <row r="74" spans="3:16" x14ac:dyDescent="0.25">
      <c r="C74" s="76"/>
      <c r="F74" t="s">
        <v>1021</v>
      </c>
      <c r="G74" t="s">
        <v>107</v>
      </c>
      <c r="H74" t="s">
        <v>146</v>
      </c>
      <c r="J74" s="234">
        <v>0</v>
      </c>
      <c r="K74" s="244"/>
      <c r="L74" s="400">
        <v>0</v>
      </c>
      <c r="M74" s="400">
        <v>0</v>
      </c>
      <c r="N74" s="400">
        <v>0</v>
      </c>
      <c r="O74" s="400">
        <v>0</v>
      </c>
      <c r="P74" s="400">
        <v>0</v>
      </c>
    </row>
    <row r="75" spans="3:16" x14ac:dyDescent="0.25">
      <c r="C75" s="76"/>
      <c r="F75" t="s">
        <v>932</v>
      </c>
      <c r="G75" t="s">
        <v>107</v>
      </c>
      <c r="H75" t="s">
        <v>146</v>
      </c>
      <c r="J75" s="401">
        <v>238.55822505963715</v>
      </c>
      <c r="K75" s="244"/>
      <c r="L75" s="398">
        <v>238.55822505963715</v>
      </c>
      <c r="M75" s="398">
        <v>174.45877180256363</v>
      </c>
      <c r="N75" s="398">
        <v>175.52988697316655</v>
      </c>
      <c r="O75" s="398">
        <v>176.87252195229655</v>
      </c>
      <c r="P75" s="398">
        <v>180.02868966232916</v>
      </c>
    </row>
    <row r="76" spans="3:16" x14ac:dyDescent="0.25">
      <c r="C76" s="76"/>
      <c r="F76" t="s">
        <v>933</v>
      </c>
      <c r="G76" t="s">
        <v>107</v>
      </c>
      <c r="H76" t="s">
        <v>146</v>
      </c>
      <c r="J76" s="401">
        <v>-228.56629161290326</v>
      </c>
      <c r="K76" s="244"/>
      <c r="L76" s="398">
        <v>-228.56629161290326</v>
      </c>
      <c r="M76" s="398">
        <v>-258.37528032258064</v>
      </c>
      <c r="N76" s="398">
        <v>-259.83496725806458</v>
      </c>
      <c r="O76" s="398">
        <v>-263.80375951612905</v>
      </c>
      <c r="P76" s="398">
        <v>-270.67055967741936</v>
      </c>
    </row>
    <row r="77" spans="3:16" x14ac:dyDescent="0.25">
      <c r="C77" s="76"/>
      <c r="F77" t="s">
        <v>934</v>
      </c>
      <c r="G77" t="s">
        <v>107</v>
      </c>
      <c r="H77" t="s">
        <v>146</v>
      </c>
      <c r="J77" s="234">
        <v>0</v>
      </c>
      <c r="K77" s="244"/>
      <c r="L77" s="400">
        <v>0</v>
      </c>
      <c r="M77" s="400">
        <v>0</v>
      </c>
      <c r="N77" s="400">
        <v>0</v>
      </c>
      <c r="O77" s="400">
        <v>0</v>
      </c>
      <c r="P77" s="400">
        <v>0</v>
      </c>
    </row>
    <row r="78" spans="3:16" x14ac:dyDescent="0.25">
      <c r="C78" s="76"/>
      <c r="F78" t="s">
        <v>935</v>
      </c>
      <c r="G78" t="s">
        <v>107</v>
      </c>
      <c r="H78" t="s">
        <v>146</v>
      </c>
      <c r="J78" s="401">
        <v>0</v>
      </c>
      <c r="K78" s="244"/>
      <c r="L78" s="398">
        <v>0</v>
      </c>
      <c r="M78" s="398">
        <v>0</v>
      </c>
      <c r="N78" s="398">
        <v>0</v>
      </c>
      <c r="O78" s="398">
        <v>0</v>
      </c>
      <c r="P78" s="398">
        <v>0</v>
      </c>
    </row>
    <row r="79" spans="3:16" x14ac:dyDescent="0.25">
      <c r="C79" s="76"/>
      <c r="F79" t="s">
        <v>936</v>
      </c>
      <c r="G79" t="s">
        <v>107</v>
      </c>
      <c r="H79" t="s">
        <v>146</v>
      </c>
      <c r="J79" s="234">
        <v>0</v>
      </c>
      <c r="K79" s="244"/>
      <c r="L79" s="400">
        <v>0</v>
      </c>
      <c r="M79" s="400">
        <v>0</v>
      </c>
      <c r="N79" s="400">
        <v>0</v>
      </c>
      <c r="O79" s="400">
        <v>0</v>
      </c>
      <c r="P79" s="400">
        <v>0</v>
      </c>
    </row>
    <row r="80" spans="3:16" x14ac:dyDescent="0.25">
      <c r="C80" s="76"/>
      <c r="F80" t="s">
        <v>937</v>
      </c>
      <c r="G80" t="s">
        <v>107</v>
      </c>
      <c r="H80" t="s">
        <v>146</v>
      </c>
      <c r="J80" s="234">
        <v>0</v>
      </c>
      <c r="K80" s="244"/>
      <c r="L80" s="400">
        <v>0</v>
      </c>
      <c r="M80" s="400">
        <v>0</v>
      </c>
      <c r="N80" s="400">
        <v>0</v>
      </c>
      <c r="O80" s="400">
        <v>0</v>
      </c>
      <c r="P80" s="400">
        <v>0</v>
      </c>
    </row>
    <row r="81" spans="3:18" x14ac:dyDescent="0.25">
      <c r="C81" s="76"/>
      <c r="F81" t="s">
        <v>938</v>
      </c>
      <c r="G81" t="s">
        <v>107</v>
      </c>
      <c r="H81" t="s">
        <v>146</v>
      </c>
      <c r="J81" s="234">
        <v>0</v>
      </c>
      <c r="K81" s="244"/>
      <c r="L81" s="400">
        <v>0</v>
      </c>
      <c r="M81" s="400">
        <v>0</v>
      </c>
      <c r="N81" s="400">
        <v>0</v>
      </c>
      <c r="O81" s="400">
        <v>0</v>
      </c>
      <c r="P81" s="400">
        <v>0</v>
      </c>
    </row>
    <row r="82" spans="3:18" x14ac:dyDescent="0.25">
      <c r="C82" s="76"/>
      <c r="F82" t="s">
        <v>939</v>
      </c>
      <c r="G82" t="s">
        <v>107</v>
      </c>
      <c r="H82" t="s">
        <v>146</v>
      </c>
      <c r="J82" s="234">
        <v>0</v>
      </c>
      <c r="K82" s="244"/>
      <c r="L82" s="400">
        <v>0</v>
      </c>
      <c r="M82" s="400">
        <v>0</v>
      </c>
      <c r="N82" s="400">
        <v>0</v>
      </c>
      <c r="O82" s="400">
        <v>0</v>
      </c>
      <c r="P82" s="400">
        <v>0</v>
      </c>
    </row>
    <row r="83" spans="3:18" x14ac:dyDescent="0.25">
      <c r="C83" s="76"/>
      <c r="F83" s="17" t="s">
        <v>940</v>
      </c>
      <c r="G83" s="17" t="s">
        <v>107</v>
      </c>
      <c r="H83" s="17" t="s">
        <v>146</v>
      </c>
      <c r="I83" s="17"/>
      <c r="J83" s="203">
        <v>0</v>
      </c>
      <c r="K83" s="246"/>
      <c r="L83" s="295">
        <v>0</v>
      </c>
      <c r="M83" s="295">
        <v>0</v>
      </c>
      <c r="N83" s="295">
        <v>0</v>
      </c>
      <c r="O83" s="295">
        <v>0</v>
      </c>
      <c r="P83" s="295">
        <v>0</v>
      </c>
    </row>
    <row r="84" spans="3:18" x14ac:dyDescent="0.25">
      <c r="E84"/>
      <c r="J84" s="244"/>
      <c r="K84" s="244"/>
      <c r="L84" s="294"/>
      <c r="M84" s="294"/>
      <c r="N84" s="294"/>
      <c r="O84" s="294"/>
      <c r="P84" s="294"/>
    </row>
    <row r="85" spans="3:18" x14ac:dyDescent="0.25">
      <c r="E85" s="52" t="s">
        <v>486</v>
      </c>
      <c r="F85" s="52"/>
      <c r="I85" t="s">
        <v>359</v>
      </c>
      <c r="J85" s="244"/>
      <c r="K85" s="244"/>
      <c r="L85" s="294"/>
      <c r="M85" s="294"/>
      <c r="N85" s="294"/>
      <c r="O85" s="294"/>
      <c r="P85" s="294"/>
      <c r="R85" t="s">
        <v>754</v>
      </c>
    </row>
    <row r="86" spans="3:18" x14ac:dyDescent="0.25">
      <c r="C86" s="76"/>
      <c r="F86" s="80" t="s">
        <v>1001</v>
      </c>
      <c r="G86" s="80" t="s">
        <v>107</v>
      </c>
      <c r="H86" s="80" t="s">
        <v>147</v>
      </c>
      <c r="I86" s="80"/>
      <c r="J86" s="242">
        <f t="array" ref="J86:J117">TRANSPOSE('Net revenue summary'!J142:AO142)</f>
        <v>55.02836717864318</v>
      </c>
      <c r="K86" s="243"/>
      <c r="L86" s="291">
        <v>55.02836717864318</v>
      </c>
      <c r="M86" s="291">
        <v>40.134471610335225</v>
      </c>
      <c r="N86" s="291">
        <v>40.347947801014435</v>
      </c>
      <c r="O86" s="291">
        <v>40.595500975551865</v>
      </c>
      <c r="P86" s="291">
        <v>41.332923476495608</v>
      </c>
    </row>
    <row r="87" spans="3:18" x14ac:dyDescent="0.25">
      <c r="C87" s="76"/>
      <c r="F87" t="s">
        <v>926</v>
      </c>
      <c r="G87" t="s">
        <v>107</v>
      </c>
      <c r="H87" t="s">
        <v>147</v>
      </c>
      <c r="J87" s="401">
        <v>0.94952728571428591</v>
      </c>
      <c r="K87" s="244"/>
      <c r="L87" s="292">
        <v>0.94952728571428591</v>
      </c>
      <c r="M87" s="292">
        <v>1.0785184285714289</v>
      </c>
      <c r="N87" s="292">
        <v>1.0822455714285715</v>
      </c>
      <c r="O87" s="292">
        <v>1.097154142857143</v>
      </c>
      <c r="P87" s="292">
        <v>1.1120627142857145</v>
      </c>
    </row>
    <row r="88" spans="3:18" x14ac:dyDescent="0.25">
      <c r="C88" s="76"/>
      <c r="F88" t="s">
        <v>1002</v>
      </c>
      <c r="G88" t="s">
        <v>107</v>
      </c>
      <c r="H88" t="s">
        <v>147</v>
      </c>
      <c r="J88" s="401">
        <v>0</v>
      </c>
      <c r="K88" s="244"/>
      <c r="L88" s="292">
        <v>0</v>
      </c>
      <c r="M88" s="292">
        <v>0</v>
      </c>
      <c r="N88" s="292">
        <v>0</v>
      </c>
      <c r="O88" s="292">
        <v>0</v>
      </c>
      <c r="P88" s="292">
        <v>0</v>
      </c>
    </row>
    <row r="89" spans="3:18" x14ac:dyDescent="0.25">
      <c r="C89" s="76"/>
      <c r="F89" t="s">
        <v>1003</v>
      </c>
      <c r="G89" t="s">
        <v>107</v>
      </c>
      <c r="H89" t="s">
        <v>147</v>
      </c>
      <c r="J89" s="401">
        <v>70.771668641374802</v>
      </c>
      <c r="K89" s="244"/>
      <c r="L89" s="292">
        <v>70.771668641374802</v>
      </c>
      <c r="M89" s="292">
        <v>52.776407493791844</v>
      </c>
      <c r="N89" s="292">
        <v>53.116700697933055</v>
      </c>
      <c r="O89" s="292">
        <v>53.431700855821383</v>
      </c>
      <c r="P89" s="292">
        <v>54.440460055923509</v>
      </c>
    </row>
    <row r="90" spans="3:18" x14ac:dyDescent="0.25">
      <c r="C90" s="76"/>
      <c r="F90" t="s">
        <v>1004</v>
      </c>
      <c r="G90" t="s">
        <v>107</v>
      </c>
      <c r="H90" t="s">
        <v>147</v>
      </c>
      <c r="J90" s="401">
        <v>139.27749345366735</v>
      </c>
      <c r="K90" s="244"/>
      <c r="L90" s="292">
        <v>139.27749345366735</v>
      </c>
      <c r="M90" s="292">
        <v>106.92604222174467</v>
      </c>
      <c r="N90" s="292">
        <v>107.62106925088462</v>
      </c>
      <c r="O90" s="292">
        <v>108.09067899151539</v>
      </c>
      <c r="P90" s="292">
        <v>110.11924605870998</v>
      </c>
    </row>
    <row r="91" spans="3:18" x14ac:dyDescent="0.25">
      <c r="C91" s="76"/>
      <c r="F91" t="s">
        <v>1005</v>
      </c>
      <c r="G91" t="s">
        <v>107</v>
      </c>
      <c r="H91" t="s">
        <v>147</v>
      </c>
      <c r="J91" s="401">
        <v>293.36174211336231</v>
      </c>
      <c r="K91" s="244"/>
      <c r="L91" s="292">
        <v>293.36174211336231</v>
      </c>
      <c r="M91" s="292">
        <v>233.40720735305982</v>
      </c>
      <c r="N91" s="292">
        <v>234.86916807708181</v>
      </c>
      <c r="O91" s="292">
        <v>235.96626244321851</v>
      </c>
      <c r="P91" s="292">
        <v>240.35232953087086</v>
      </c>
    </row>
    <row r="92" spans="3:18" x14ac:dyDescent="0.25">
      <c r="C92" s="76"/>
      <c r="F92" t="s">
        <v>1006</v>
      </c>
      <c r="G92" t="s">
        <v>107</v>
      </c>
      <c r="H92" t="s">
        <v>147</v>
      </c>
      <c r="J92" s="401">
        <v>806.32425865329867</v>
      </c>
      <c r="K92" s="244"/>
      <c r="L92" s="292">
        <v>806.32425865329867</v>
      </c>
      <c r="M92" s="292">
        <v>640.7435631917815</v>
      </c>
      <c r="N92" s="292">
        <v>644.77721534969317</v>
      </c>
      <c r="O92" s="292">
        <v>647.2526748869783</v>
      </c>
      <c r="P92" s="292">
        <v>659.15381363723986</v>
      </c>
    </row>
    <row r="93" spans="3:18" x14ac:dyDescent="0.25">
      <c r="C93" s="76"/>
      <c r="F93" t="s">
        <v>928</v>
      </c>
      <c r="G93" t="s">
        <v>107</v>
      </c>
      <c r="H93" t="s">
        <v>147</v>
      </c>
      <c r="J93" s="401">
        <v>0</v>
      </c>
      <c r="K93" s="244"/>
      <c r="L93" s="292">
        <v>0</v>
      </c>
      <c r="M93" s="292">
        <v>0</v>
      </c>
      <c r="N93" s="292">
        <v>0</v>
      </c>
      <c r="O93" s="292">
        <v>0</v>
      </c>
      <c r="P93" s="292">
        <v>0</v>
      </c>
    </row>
    <row r="94" spans="3:18" x14ac:dyDescent="0.25">
      <c r="C94" s="76"/>
      <c r="F94" t="s">
        <v>1007</v>
      </c>
      <c r="G94" t="s">
        <v>107</v>
      </c>
      <c r="H94" t="s">
        <v>147</v>
      </c>
      <c r="J94" s="401">
        <v>0</v>
      </c>
      <c r="K94" s="244"/>
      <c r="L94" s="292">
        <v>0</v>
      </c>
      <c r="M94" s="292">
        <v>0</v>
      </c>
      <c r="N94" s="292">
        <v>0</v>
      </c>
      <c r="O94" s="292">
        <v>0</v>
      </c>
      <c r="P94" s="292">
        <v>0</v>
      </c>
    </row>
    <row r="95" spans="3:18" x14ac:dyDescent="0.25">
      <c r="C95" s="76"/>
      <c r="F95" t="s">
        <v>1008</v>
      </c>
      <c r="G95" t="s">
        <v>107</v>
      </c>
      <c r="H95" t="s">
        <v>147</v>
      </c>
      <c r="J95" s="401">
        <v>1610.3296280320812</v>
      </c>
      <c r="K95" s="244"/>
      <c r="L95" s="292">
        <v>1610.3296280320812</v>
      </c>
      <c r="M95" s="292">
        <v>1307.6157906159599</v>
      </c>
      <c r="N95" s="292">
        <v>1316.1650265834301</v>
      </c>
      <c r="O95" s="292">
        <v>1322.504659459217</v>
      </c>
      <c r="P95" s="292">
        <v>1346.6392291392351</v>
      </c>
    </row>
    <row r="96" spans="3:18" x14ac:dyDescent="0.25">
      <c r="C96" s="76"/>
      <c r="F96" t="s">
        <v>1009</v>
      </c>
      <c r="G96" t="s">
        <v>107</v>
      </c>
      <c r="H96" t="s">
        <v>147</v>
      </c>
      <c r="J96" s="401">
        <v>2979.8183436311797</v>
      </c>
      <c r="K96" s="244"/>
      <c r="L96" s="292">
        <v>2979.8183436311797</v>
      </c>
      <c r="M96" s="292">
        <v>2506.4742107750108</v>
      </c>
      <c r="N96" s="292">
        <v>2522.7600326196093</v>
      </c>
      <c r="O96" s="292">
        <v>2537.4811942761412</v>
      </c>
      <c r="P96" s="292">
        <v>2584.2897662203322</v>
      </c>
    </row>
    <row r="97" spans="3:16" x14ac:dyDescent="0.25">
      <c r="C97" s="76"/>
      <c r="F97" t="s">
        <v>1010</v>
      </c>
      <c r="G97" t="s">
        <v>107</v>
      </c>
      <c r="H97" t="s">
        <v>147</v>
      </c>
      <c r="J97" s="401">
        <v>4897.7479254755217</v>
      </c>
      <c r="K97" s="244"/>
      <c r="L97" s="292">
        <v>4897.7479254755217</v>
      </c>
      <c r="M97" s="292">
        <v>4108.0384616842202</v>
      </c>
      <c r="N97" s="292">
        <v>4134.8046395561287</v>
      </c>
      <c r="O97" s="292">
        <v>4157.6588235752533</v>
      </c>
      <c r="P97" s="292">
        <v>4234.1030242079678</v>
      </c>
    </row>
    <row r="98" spans="3:16" x14ac:dyDescent="0.25">
      <c r="C98" s="76"/>
      <c r="F98" t="s">
        <v>1011</v>
      </c>
      <c r="G98" t="s">
        <v>107</v>
      </c>
      <c r="H98" t="s">
        <v>147</v>
      </c>
      <c r="J98" s="401">
        <v>11086.373852721033</v>
      </c>
      <c r="K98" s="244"/>
      <c r="L98" s="292">
        <v>11086.373852721033</v>
      </c>
      <c r="M98" s="292">
        <v>9478.8058827030891</v>
      </c>
      <c r="N98" s="292">
        <v>9540.4180261614583</v>
      </c>
      <c r="O98" s="292">
        <v>9598.9650026994277</v>
      </c>
      <c r="P98" s="292">
        <v>9776.5474443621806</v>
      </c>
    </row>
    <row r="99" spans="3:16" x14ac:dyDescent="0.25">
      <c r="C99" s="76"/>
      <c r="F99" t="s">
        <v>1012</v>
      </c>
      <c r="G99" t="s">
        <v>107</v>
      </c>
      <c r="H99" t="s">
        <v>147</v>
      </c>
      <c r="J99" s="401">
        <v>0</v>
      </c>
      <c r="K99" s="244"/>
      <c r="L99" s="292">
        <v>0</v>
      </c>
      <c r="M99" s="292">
        <v>0</v>
      </c>
      <c r="N99" s="292">
        <v>0</v>
      </c>
      <c r="O99" s="292">
        <v>0</v>
      </c>
      <c r="P99" s="292">
        <v>0</v>
      </c>
    </row>
    <row r="100" spans="3:16" x14ac:dyDescent="0.25">
      <c r="C100" s="76"/>
      <c r="F100" t="s">
        <v>1013</v>
      </c>
      <c r="G100" t="s">
        <v>107</v>
      </c>
      <c r="H100" t="s">
        <v>147</v>
      </c>
      <c r="J100" s="401">
        <v>0</v>
      </c>
      <c r="K100" s="244"/>
      <c r="L100" s="292">
        <v>0</v>
      </c>
      <c r="M100" s="292">
        <v>0</v>
      </c>
      <c r="N100" s="292">
        <v>0</v>
      </c>
      <c r="O100" s="292">
        <v>0</v>
      </c>
      <c r="P100" s="292">
        <v>0</v>
      </c>
    </row>
    <row r="101" spans="3:16" x14ac:dyDescent="0.25">
      <c r="C101" s="76"/>
      <c r="F101" t="s">
        <v>1014</v>
      </c>
      <c r="G101" t="s">
        <v>107</v>
      </c>
      <c r="H101" t="s">
        <v>147</v>
      </c>
      <c r="J101" s="401">
        <v>5022.4317727720627</v>
      </c>
      <c r="K101" s="244"/>
      <c r="L101" s="292">
        <v>5022.4317727720627</v>
      </c>
      <c r="M101" s="292">
        <v>4242.152100373517</v>
      </c>
      <c r="N101" s="292">
        <v>4266.4109672735622</v>
      </c>
      <c r="O101" s="292">
        <v>4297.0313399395764</v>
      </c>
      <c r="P101" s="292">
        <v>4373.1154707441647</v>
      </c>
    </row>
    <row r="102" spans="3:16" x14ac:dyDescent="0.25">
      <c r="C102" s="76"/>
      <c r="F102" t="s">
        <v>1015</v>
      </c>
      <c r="G102" t="s">
        <v>107</v>
      </c>
      <c r="H102" t="s">
        <v>147</v>
      </c>
      <c r="J102" s="401">
        <v>9243.121163979029</v>
      </c>
      <c r="K102" s="244"/>
      <c r="L102" s="292">
        <v>9243.121163979029</v>
      </c>
      <c r="M102" s="292">
        <v>8052.665214532487</v>
      </c>
      <c r="N102" s="292">
        <v>8097.9878173995558</v>
      </c>
      <c r="O102" s="292">
        <v>8166.4504633615088</v>
      </c>
      <c r="P102" s="292">
        <v>8312.3621852975866</v>
      </c>
    </row>
    <row r="103" spans="3:16" x14ac:dyDescent="0.25">
      <c r="C103" s="76"/>
      <c r="F103" t="s">
        <v>1016</v>
      </c>
      <c r="G103" t="s">
        <v>107</v>
      </c>
      <c r="H103" t="s">
        <v>147</v>
      </c>
      <c r="J103" s="401">
        <v>22404.705074847185</v>
      </c>
      <c r="K103" s="244"/>
      <c r="L103" s="292">
        <v>22404.705074847185</v>
      </c>
      <c r="M103" s="292">
        <v>20160.765325485219</v>
      </c>
      <c r="N103" s="292">
        <v>20272.33983735639</v>
      </c>
      <c r="O103" s="292">
        <v>20470.757708647216</v>
      </c>
      <c r="P103" s="292">
        <v>20839.761776383413</v>
      </c>
    </row>
    <row r="104" spans="3:16" x14ac:dyDescent="0.25">
      <c r="C104" s="76"/>
      <c r="F104" t="s">
        <v>1017</v>
      </c>
      <c r="G104" t="s">
        <v>107</v>
      </c>
      <c r="H104" t="s">
        <v>147</v>
      </c>
      <c r="J104" s="401">
        <v>0</v>
      </c>
      <c r="K104" s="244"/>
      <c r="L104" s="292">
        <v>0</v>
      </c>
      <c r="M104" s="292">
        <v>0</v>
      </c>
      <c r="N104" s="292">
        <v>0</v>
      </c>
      <c r="O104" s="292">
        <v>0</v>
      </c>
      <c r="P104" s="292">
        <v>0</v>
      </c>
    </row>
    <row r="105" spans="3:16" x14ac:dyDescent="0.25">
      <c r="C105" s="76"/>
      <c r="F105" t="s">
        <v>1018</v>
      </c>
      <c r="G105" t="s">
        <v>107</v>
      </c>
      <c r="H105" t="s">
        <v>147</v>
      </c>
      <c r="J105" s="401">
        <v>16343.367611438855</v>
      </c>
      <c r="K105" s="244"/>
      <c r="L105" s="292">
        <v>16343.367611438855</v>
      </c>
      <c r="M105" s="292">
        <v>13521.234366871633</v>
      </c>
      <c r="N105" s="292">
        <v>13604.649898127527</v>
      </c>
      <c r="O105" s="292">
        <v>13699.816367126728</v>
      </c>
      <c r="P105" s="292">
        <v>13946.917811826268</v>
      </c>
    </row>
    <row r="106" spans="3:16" x14ac:dyDescent="0.25">
      <c r="C106" s="76"/>
      <c r="F106" t="s">
        <v>1019</v>
      </c>
      <c r="G106" t="s">
        <v>107</v>
      </c>
      <c r="H106" t="s">
        <v>147</v>
      </c>
      <c r="J106" s="401">
        <v>42340.329001522616</v>
      </c>
      <c r="K106" s="244"/>
      <c r="L106" s="292">
        <v>42340.329001522616</v>
      </c>
      <c r="M106" s="292">
        <v>33508.615843007421</v>
      </c>
      <c r="N106" s="292">
        <v>33719.180838323671</v>
      </c>
      <c r="O106" s="292">
        <v>33864.889838295014</v>
      </c>
      <c r="P106" s="292">
        <v>34462.292566915938</v>
      </c>
    </row>
    <row r="107" spans="3:16" x14ac:dyDescent="0.25">
      <c r="C107" s="76"/>
      <c r="F107" t="s">
        <v>1020</v>
      </c>
      <c r="G107" t="s">
        <v>107</v>
      </c>
      <c r="H107" t="s">
        <v>147</v>
      </c>
      <c r="J107" s="401">
        <v>89516.122424196423</v>
      </c>
      <c r="K107" s="244"/>
      <c r="L107" s="292">
        <v>89516.122424196423</v>
      </c>
      <c r="M107" s="292">
        <v>72426.466714164664</v>
      </c>
      <c r="N107" s="292">
        <v>72878.996445884259</v>
      </c>
      <c r="O107" s="292">
        <v>73254.603780716483</v>
      </c>
      <c r="P107" s="292">
        <v>74555.89774726826</v>
      </c>
    </row>
    <row r="108" spans="3:16" x14ac:dyDescent="0.25">
      <c r="C108" s="76"/>
      <c r="F108" t="s">
        <v>1021</v>
      </c>
      <c r="G108" t="s">
        <v>107</v>
      </c>
      <c r="H108" t="s">
        <v>147</v>
      </c>
      <c r="J108" s="401">
        <v>214378.13044037417</v>
      </c>
      <c r="K108" s="244"/>
      <c r="L108" s="292">
        <v>214378.13044037417</v>
      </c>
      <c r="M108" s="292">
        <v>166202.63936983747</v>
      </c>
      <c r="N108" s="292">
        <v>167256.4378112081</v>
      </c>
      <c r="O108" s="292">
        <v>167758.61013374568</v>
      </c>
      <c r="P108" s="292">
        <v>170685.39216908239</v>
      </c>
    </row>
    <row r="109" spans="3:16" x14ac:dyDescent="0.25">
      <c r="C109" s="76"/>
      <c r="F109" t="s">
        <v>932</v>
      </c>
      <c r="G109" t="s">
        <v>107</v>
      </c>
      <c r="H109" t="s">
        <v>147</v>
      </c>
      <c r="J109" s="401">
        <v>152.11120571392121</v>
      </c>
      <c r="K109" s="244"/>
      <c r="L109" s="292">
        <v>152.11120571392121</v>
      </c>
      <c r="M109" s="292">
        <v>109.80923947285159</v>
      </c>
      <c r="N109" s="292">
        <v>110.50540801600665</v>
      </c>
      <c r="O109" s="292">
        <v>111.27265378495611</v>
      </c>
      <c r="P109" s="292">
        <v>113.26889494182487</v>
      </c>
    </row>
    <row r="110" spans="3:16" x14ac:dyDescent="0.25">
      <c r="C110" s="76"/>
      <c r="F110" t="s">
        <v>933</v>
      </c>
      <c r="G110" t="s">
        <v>107</v>
      </c>
      <c r="H110" t="s">
        <v>147</v>
      </c>
      <c r="J110" s="401">
        <v>-99.89697230326297</v>
      </c>
      <c r="K110" s="244"/>
      <c r="L110" s="292">
        <v>-99.89697230326297</v>
      </c>
      <c r="M110" s="292">
        <v>-112.91212990403073</v>
      </c>
      <c r="N110" s="292">
        <v>-113.54949017274474</v>
      </c>
      <c r="O110" s="292">
        <v>-115.28224368522075</v>
      </c>
      <c r="P110" s="292">
        <v>-118.29036322456815</v>
      </c>
    </row>
    <row r="111" spans="3:16" x14ac:dyDescent="0.25">
      <c r="C111" s="76"/>
      <c r="F111" t="s">
        <v>934</v>
      </c>
      <c r="G111" t="s">
        <v>107</v>
      </c>
      <c r="H111" t="s">
        <v>147</v>
      </c>
      <c r="J111" s="401">
        <v>-634.61336000000006</v>
      </c>
      <c r="K111" s="244"/>
      <c r="L111" s="292">
        <v>-634.61336000000006</v>
      </c>
      <c r="M111" s="292">
        <v>-715.70231999999999</v>
      </c>
      <c r="N111" s="292">
        <v>-719.70632000000001</v>
      </c>
      <c r="O111" s="292">
        <v>-730.55843999999991</v>
      </c>
      <c r="P111" s="292">
        <v>-749.68859999999995</v>
      </c>
    </row>
    <row r="112" spans="3:16" x14ac:dyDescent="0.25">
      <c r="C112" s="76"/>
      <c r="F112" t="s">
        <v>935</v>
      </c>
      <c r="G112" t="s">
        <v>107</v>
      </c>
      <c r="H112" t="s">
        <v>147</v>
      </c>
      <c r="J112" s="401">
        <v>0</v>
      </c>
      <c r="K112" s="244"/>
      <c r="L112" s="292">
        <v>0</v>
      </c>
      <c r="M112" s="292">
        <v>0</v>
      </c>
      <c r="N112" s="292">
        <v>0</v>
      </c>
      <c r="O112" s="292">
        <v>0</v>
      </c>
      <c r="P112" s="292">
        <v>0</v>
      </c>
    </row>
    <row r="113" spans="2:18" x14ac:dyDescent="0.25">
      <c r="C113" s="76"/>
      <c r="F113" t="s">
        <v>936</v>
      </c>
      <c r="G113" t="s">
        <v>107</v>
      </c>
      <c r="H113" t="s">
        <v>147</v>
      </c>
      <c r="J113" s="202">
        <v>0</v>
      </c>
      <c r="K113" s="244"/>
      <c r="L113" s="465">
        <v>0</v>
      </c>
      <c r="M113" s="465">
        <v>0</v>
      </c>
      <c r="N113" s="465">
        <v>0</v>
      </c>
      <c r="O113" s="465">
        <v>0</v>
      </c>
      <c r="P113" s="465">
        <v>0</v>
      </c>
    </row>
    <row r="114" spans="2:18" x14ac:dyDescent="0.25">
      <c r="C114" s="76"/>
      <c r="F114" t="s">
        <v>937</v>
      </c>
      <c r="G114" t="s">
        <v>107</v>
      </c>
      <c r="H114" t="s">
        <v>147</v>
      </c>
      <c r="J114" s="459">
        <v>0</v>
      </c>
      <c r="K114" s="244"/>
      <c r="L114" s="292">
        <v>0</v>
      </c>
      <c r="M114" s="292">
        <v>0</v>
      </c>
      <c r="N114" s="292">
        <v>0</v>
      </c>
      <c r="O114" s="292">
        <v>0</v>
      </c>
      <c r="P114" s="292">
        <v>0</v>
      </c>
    </row>
    <row r="115" spans="2:18" x14ac:dyDescent="0.25">
      <c r="C115" s="76"/>
      <c r="F115" t="s">
        <v>938</v>
      </c>
      <c r="G115" t="s">
        <v>107</v>
      </c>
      <c r="H115" t="s">
        <v>147</v>
      </c>
      <c r="J115" s="202">
        <v>0</v>
      </c>
      <c r="K115" s="244"/>
      <c r="L115" s="465">
        <v>0</v>
      </c>
      <c r="M115" s="465">
        <v>0</v>
      </c>
      <c r="N115" s="465">
        <v>0</v>
      </c>
      <c r="O115" s="465">
        <v>0</v>
      </c>
      <c r="P115" s="465">
        <v>0</v>
      </c>
    </row>
    <row r="116" spans="2:18" x14ac:dyDescent="0.25">
      <c r="C116" s="76"/>
      <c r="F116" t="s">
        <v>939</v>
      </c>
      <c r="G116" t="s">
        <v>107</v>
      </c>
      <c r="H116" t="s">
        <v>147</v>
      </c>
      <c r="J116" s="401">
        <v>0</v>
      </c>
      <c r="K116" s="244"/>
      <c r="L116" s="292">
        <v>0</v>
      </c>
      <c r="M116" s="292">
        <v>0</v>
      </c>
      <c r="N116" s="292">
        <v>0</v>
      </c>
      <c r="O116" s="292">
        <v>0</v>
      </c>
      <c r="P116" s="292">
        <v>0</v>
      </c>
    </row>
    <row r="117" spans="2:18" x14ac:dyDescent="0.25">
      <c r="C117" s="76"/>
      <c r="F117" s="17" t="s">
        <v>940</v>
      </c>
      <c r="G117" s="17" t="s">
        <v>107</v>
      </c>
      <c r="H117" s="17" t="s">
        <v>147</v>
      </c>
      <c r="I117" s="17"/>
      <c r="J117" s="203">
        <v>0</v>
      </c>
      <c r="K117" s="246"/>
      <c r="L117" s="295">
        <v>0</v>
      </c>
      <c r="M117" s="295">
        <v>0</v>
      </c>
      <c r="N117" s="295">
        <v>0</v>
      </c>
      <c r="O117" s="295">
        <v>0</v>
      </c>
      <c r="P117" s="295">
        <v>0</v>
      </c>
    </row>
    <row r="118" spans="2:18" x14ac:dyDescent="0.25">
      <c r="D118"/>
      <c r="E118"/>
    </row>
    <row r="119" spans="2:18" x14ac:dyDescent="0.25">
      <c r="B119" s="82" t="s">
        <v>109</v>
      </c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64"/>
      <c r="O119" s="64"/>
      <c r="P119" s="64"/>
      <c r="Q119" s="64"/>
      <c r="R119" s="64"/>
    </row>
    <row r="121" spans="2:18" x14ac:dyDescent="0.25">
      <c r="D121"/>
      <c r="E121" t="s">
        <v>415</v>
      </c>
      <c r="G121" s="46" t="s">
        <v>588</v>
      </c>
      <c r="H121" s="263">
        <f t="array" ref="H121">SUM(IF(ISERROR($I$17:$Q$118), 1))</f>
        <v>0</v>
      </c>
    </row>
    <row r="123" spans="2:18" x14ac:dyDescent="0.25">
      <c r="B123" s="82" t="s">
        <v>110</v>
      </c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64"/>
      <c r="O123" s="64"/>
      <c r="P123" s="64"/>
      <c r="Q123" s="64"/>
      <c r="R123" s="64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6" ma:contentTypeDescription="Create a new document." ma:contentTypeScope="" ma:versionID="b0c4a1b394f54adf9dea6fa0d344b31f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c30160deef21f5587b767b69d66c6457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433340-7BEC-4F3D-99D4-81DABA0ADC90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df11e38d-df47-44a9-bb81-9cb5331e96c9"/>
    <ds:schemaRef ds:uri="http://schemas.microsoft.com/office/infopath/2007/PartnerControls"/>
    <ds:schemaRef ds:uri="http://schemas.openxmlformats.org/package/2006/metadata/core-properties"/>
    <ds:schemaRef ds:uri="dcbf8a88-e063-4a69-82e9-42d02808f636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8C605CA-BF76-4747-8BDC-B516F35B9E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dcbf8a88-e063-4a69-82e9-42d02808f6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GASTON, DAVID</cp:lastModifiedBy>
  <cp:revision/>
  <cp:lastPrinted>2018-05-04T14:21:24Z</cp:lastPrinted>
  <dcterms:created xsi:type="dcterms:W3CDTF">2017-07-12T09:37:31Z</dcterms:created>
  <dcterms:modified xsi:type="dcterms:W3CDTF">2022-12-29T15:58:02Z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2022-12-29T15:58:02Z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46a33d80-49b7-496e-ba86-ae3c1f2014b6</vt:lpwstr>
  </property>
  <property fmtid="{D5CDD505-2E9C-101B-9397-08002B2CF9AE}" pid="9" name="MSIP_Label_019c027e-33b7-45fc-a572-8ffa5d09ec36_ContentBits">
    <vt:lpwstr>2</vt:lpwstr>
  </property>
</Properties>
</file>